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AppData\Roaming\VNPT Plugin\Files\FileTemp\"/>
    </mc:Choice>
  </mc:AlternateContent>
  <xr:revisionPtr revIDLastSave="0" documentId="13_ncr:1_{874090CF-DFFB-43A9-A380-47E9ACF2FD2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 01" sheetId="1" r:id="rId1"/>
    <sheet name="PL 02" sheetId="2" r:id="rId2"/>
    <sheet name="TUMO RONG (1)" sheetId="3" state="hidden" r:id="rId3"/>
    <sheet name="LONG LEO(2)" sheetId="4" state="hidden" r:id="rId4"/>
    <sheet name="ĐĂK CHUM 1(3)" sheetId="5" state="hidden" r:id="rId5"/>
    <sheet name="ĐĂK CHUM II(4)" sheetId="6" state="hidden" r:id="rId6"/>
    <sheet name="TU CẤP(5)" sheetId="7" state="hidden" r:id="rId7"/>
    <sheet name="ĐĂK KA(6)" sheetId="8" state="hidden" r:id="rId8"/>
    <sheet name="VĂN SANG(7)" sheetId="9" state="hidden" r:id="rId9"/>
    <sheet name="ĐĂK NEANG(8)" sheetId="10" state="hidden" r:id="rId10"/>
    <sheet name="NGỌC LEANG(9)" sheetId="11" state="hidden" r:id="rId11"/>
    <sheet name="ĐĂK SIÊNG(10)" sheetId="12" state="hidden" r:id="rId12"/>
    <sheet name="KON TUN(11)" sheetId="13" state="hidden" r:id="rId13"/>
    <sheet name="MÔ PẢ(12)" sheetId="14" state="hidden" r:id="rId14"/>
    <sheet name="TY TU(13)" sheetId="15" state="hidden" r:id="rId15"/>
    <sheet name="KON LING(14)" sheetId="16" state="hidden" r:id="rId16"/>
    <sheet name="ĐĂK PƠ TRANG(15)" sheetId="17" state="hidden" r:id="rId17"/>
    <sheet name="KON PIA(16)" sheetId="18" state="hidden" r:id="rId18"/>
    <sheet name="ĐĂK HÀ(17)" sheetId="19" state="hidden" r:id="rId19"/>
  </sheets>
  <definedNames>
    <definedName name="____CON1">#REF!</definedName>
    <definedName name="____CON2">#REF!</definedName>
    <definedName name="____NET2">#REF!</definedName>
    <definedName name="___a100000">#REF!</definedName>
    <definedName name="___a80000">#REF!</definedName>
    <definedName name="___boi1">#REF!</definedName>
    <definedName name="___boi2">#REF!</definedName>
    <definedName name="___CON1">#REF!</definedName>
    <definedName name="___CON2">#REF!</definedName>
    <definedName name="___ddn400">#REF!</definedName>
    <definedName name="___ddn600">#REF!</definedName>
    <definedName name="___KM188">#REF!</definedName>
    <definedName name="___km189">#REF!</definedName>
    <definedName name="___km190">#REF!</definedName>
    <definedName name="___km191">#REF!</definedName>
    <definedName name="___km192">#REF!</definedName>
    <definedName name="___km193">#REF!</definedName>
    <definedName name="___km194">#REF!</definedName>
    <definedName name="___km195">#REF!</definedName>
    <definedName name="___km196">#REF!</definedName>
    <definedName name="___km197">#REF!</definedName>
    <definedName name="___km198">#REF!</definedName>
    <definedName name="___lap1">#REF!</definedName>
    <definedName name="___lap2">#REF!</definedName>
    <definedName name="___MAC12">#REF!</definedName>
    <definedName name="___MAC46">#REF!</definedName>
    <definedName name="___NCL100">#REF!</definedName>
    <definedName name="___NCL200">#REF!</definedName>
    <definedName name="___NCL250">#REF!</definedName>
    <definedName name="___NET2">#REF!</definedName>
    <definedName name="___nin190">#REF!</definedName>
    <definedName name="___sc1">#REF!</definedName>
    <definedName name="___SC2">#REF!</definedName>
    <definedName name="___sc3">#REF!</definedName>
    <definedName name="___SN3">#REF!</definedName>
    <definedName name="___TB1">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z593">#REF!</definedName>
    <definedName name="___VL100">#REF!</definedName>
    <definedName name="___VL200">#REF!</definedName>
    <definedName name="___VL250">#REF!</definedName>
    <definedName name="__a100000">#REF!</definedName>
    <definedName name="__a80000">#REF!</definedName>
    <definedName name="__boi1">#REF!</definedName>
    <definedName name="__boi2">#REF!</definedName>
    <definedName name="__CON1">#REF!</definedName>
    <definedName name="__CON2">#REF!</definedName>
    <definedName name="__ddn400">#REF!</definedName>
    <definedName name="__ddn600">#REF!</definedName>
    <definedName name="__KM188">#REF!</definedName>
    <definedName name="__km189">#REF!</definedName>
    <definedName name="__km190">#REF!</definedName>
    <definedName name="__km191">#REF!</definedName>
    <definedName name="__km192">#REF!</definedName>
    <definedName name="__km193">#REF!</definedName>
    <definedName name="__km194">#REF!</definedName>
    <definedName name="__km195">#REF!</definedName>
    <definedName name="__km196">#REF!</definedName>
    <definedName name="__km197">#REF!</definedName>
    <definedName name="__km198">#REF!</definedName>
    <definedName name="__lap1">#REF!</definedName>
    <definedName name="__lap2">#REF!</definedName>
    <definedName name="__MAC12">#REF!</definedName>
    <definedName name="__MAC46">#REF!</definedName>
    <definedName name="__NCL100">#REF!</definedName>
    <definedName name="__NCL200">#REF!</definedName>
    <definedName name="__NCL250">#REF!</definedName>
    <definedName name="__NET2">#REF!</definedName>
    <definedName name="__nin190">#REF!</definedName>
    <definedName name="__sc1">#REF!</definedName>
    <definedName name="__SC2">#REF!</definedName>
    <definedName name="__sc3">#REF!</definedName>
    <definedName name="__SN3">#REF!</definedName>
    <definedName name="__TB1">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z593">#REF!</definedName>
    <definedName name="__VL100">#REF!</definedName>
    <definedName name="__VL200">#REF!</definedName>
    <definedName name="__VL250">#REF!</definedName>
    <definedName name="_05.6022">#REF!</definedName>
    <definedName name="_1">#REF!</definedName>
    <definedName name="_1000A01">#REF!</definedName>
    <definedName name="_2">#REF!</definedName>
    <definedName name="_a100000">#REF!</definedName>
    <definedName name="_a80000">#REF!</definedName>
    <definedName name="_boi1">#REF!</definedName>
    <definedName name="_boi2">#REF!</definedName>
    <definedName name="_CON1">#REF!</definedName>
    <definedName name="_CON1_2">#REF!</definedName>
    <definedName name="_CON2">#REF!</definedName>
    <definedName name="_CON2_2">#REF!</definedName>
    <definedName name="_ddn400">#REF!</definedName>
    <definedName name="_ddn600">#REF!</definedName>
    <definedName name="_Fill">#REF!</definedName>
    <definedName name="_Key1">#REF!</definedName>
    <definedName name="_Key2">#REF!</definedName>
    <definedName name="_KM188">#REF!</definedName>
    <definedName name="_km189">#REF!</definedName>
    <definedName name="_km190">#REF!</definedName>
    <definedName name="_km191">#REF!</definedName>
    <definedName name="_km192">#REF!</definedName>
    <definedName name="_km193">#REF!</definedName>
    <definedName name="_km194">#REF!</definedName>
    <definedName name="_km195">#REF!</definedName>
    <definedName name="_km196">#REF!</definedName>
    <definedName name="_km197">#REF!</definedName>
    <definedName name="_km198">#REF!</definedName>
    <definedName name="_lap1">#REF!</definedName>
    <definedName name="_lap2">#REF!</definedName>
    <definedName name="_MAC12">#REF!</definedName>
    <definedName name="_MAC46">#REF!</definedName>
    <definedName name="_NCL100">#REF!</definedName>
    <definedName name="_NCL200">#REF!</definedName>
    <definedName name="_NCL250">#REF!</definedName>
    <definedName name="_NET2">#REF!</definedName>
    <definedName name="_NET2_2">#REF!</definedName>
    <definedName name="_nin190">#REF!</definedName>
    <definedName name="_sc1">#REF!</definedName>
    <definedName name="_SC2">#REF!</definedName>
    <definedName name="_sc3">#REF!</definedName>
    <definedName name="_SN3">#REF!</definedName>
    <definedName name="_Sort">#REF!</definedName>
    <definedName name="_TB1">#REF!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z593">#REF!</definedName>
    <definedName name="_VL100">#REF!</definedName>
    <definedName name="_VL200">#REF!</definedName>
    <definedName name="_VL250">#REF!</definedName>
    <definedName name="A01_">#REF!</definedName>
    <definedName name="A01AC">#REF!</definedName>
    <definedName name="A01CAT">#REF!</definedName>
    <definedName name="A01CODE">#REF!</definedName>
    <definedName name="A01DATA">#REF!</definedName>
    <definedName name="A01MI">#REF!</definedName>
    <definedName name="A01TO">#REF!</definedName>
    <definedName name="A120_">#REF!</definedName>
    <definedName name="a277Print_Titles">#REF!</definedName>
    <definedName name="A35_">#REF!</definedName>
    <definedName name="A50_">#REF!</definedName>
    <definedName name="A70_">#REF!</definedName>
    <definedName name="A95_">#REF!</definedName>
    <definedName name="AA">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g15F80">#REF!</definedName>
    <definedName name="All_Item">#REF!</definedName>
    <definedName name="ALPIN">#REF!</definedName>
    <definedName name="ALPJYOU">#REF!</definedName>
    <definedName name="ALPTOI">#REF!</definedName>
    <definedName name="Bang_cly">#REF!</definedName>
    <definedName name="Bang_CVC">#REF!</definedName>
    <definedName name="bang_gia">#REF!</definedName>
    <definedName name="Bang_travl">#REF!</definedName>
    <definedName name="BB">#REF!</definedName>
    <definedName name="Biengioi">#REF!</definedName>
    <definedName name="blkh">#REF!</definedName>
    <definedName name="blkh1">#REF!</definedName>
    <definedName name="BMPB">#REF!</definedName>
    <definedName name="BOQ">#REF!</definedName>
    <definedName name="BT">#REF!</definedName>
    <definedName name="BTB">#REF!</definedName>
    <definedName name="BTM">#REF!</definedName>
    <definedName name="BTN">#REF!</definedName>
    <definedName name="BTT">#REF!</definedName>
    <definedName name="BVCISUMMARY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ap">#REF!</definedName>
    <definedName name="cap0.7">#REF!</definedName>
    <definedName name="Category_All">#REF!</definedName>
    <definedName name="CATIN">#REF!</definedName>
    <definedName name="CATJYOU">#REF!</definedName>
    <definedName name="CATREC">#REF!</definedName>
    <definedName name="CATSYU">#REF!</definedName>
    <definedName name="CCS">#REF!</definedName>
    <definedName name="CDD">#REF!</definedName>
    <definedName name="CDDD1PHA">#REF!</definedName>
    <definedName name="CDDD3PHA">#REF!</definedName>
    <definedName name="Cdo_8bat">#REF!</definedName>
    <definedName name="Cdo_TK50">#REF!</definedName>
    <definedName name="Cho_2">#REF!</definedName>
    <definedName name="CK">#REF!</definedName>
    <definedName name="CL">#REF!</definedName>
    <definedName name="CLVC35">#REF!</definedName>
    <definedName name="CLVCTB">#REF!</definedName>
    <definedName name="CN_RC1">#REF!</definedName>
    <definedName name="CN_RC2">#REF!</definedName>
    <definedName name="CN_Rnha">#REF!</definedName>
    <definedName name="CN_Rs">#REF!</definedName>
    <definedName name="Cneo_8bat">#REF!</definedName>
    <definedName name="Cneo_TK50">#REF!</definedName>
    <definedName name="Co">#REF!</definedName>
    <definedName name="Code">#REF!</definedName>
    <definedName name="Cöï_ly_vaän_chuyeãn">#REF!</definedName>
    <definedName name="CÖÏ_LY_VAÄN_CHUYEÅN">#REF!</definedName>
    <definedName name="COMMON">#REF!</definedName>
    <definedName name="COMMON_2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ST_EQ">#REF!</definedName>
    <definedName name="Coù__4">#REF!</definedName>
    <definedName name="COVER">#REF!</definedName>
    <definedName name="CPKDP">#REF!</definedName>
    <definedName name="CPKTW">#REF!</definedName>
    <definedName name="cptkdp">#REF!</definedName>
    <definedName name="CPVC100">#REF!</definedName>
    <definedName name="CPVC35">#REF!</definedName>
    <definedName name="CRD">#REF!</definedName>
    <definedName name="CRITINST">#REF!</definedName>
    <definedName name="CRITPURC">#REF!</definedName>
    <definedName name="CRS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3p">#REF!</definedName>
    <definedName name="csddg1p">#REF!</definedName>
    <definedName name="csddt1p">#REF!</definedName>
    <definedName name="csht3p">#REF!</definedName>
    <definedName name="CT">#REF!</definedName>
    <definedName name="CT_134">#REF!</definedName>
    <definedName name="CT_168">#REF!</definedName>
    <definedName name="CT_194_2">#REF!</definedName>
    <definedName name="ctdn9697">#REF!</definedName>
    <definedName name="ctiep">#REF!</definedName>
    <definedName name="CTK">#REF!</definedName>
    <definedName name="cuoc_vc">#REF!</definedName>
    <definedName name="CURRENCY">#REF!</definedName>
    <definedName name="cx">#REF!</definedName>
    <definedName name="D_7101A_B">#REF!</definedName>
    <definedName name="DATA_DATA2_List">#REF!</definedName>
    <definedName name="data1">#REF!</definedName>
    <definedName name="data2">#REF!</definedName>
    <definedName name="data3">#REF!</definedName>
    <definedName name="DD">#REF!</definedName>
    <definedName name="den_bu">#REF!</definedName>
    <definedName name="dg">#REF!</definedName>
    <definedName name="DGCTI592">#REF!</definedName>
    <definedName name="dgnc">#REF!</definedName>
    <definedName name="DGTH">#REF!</definedName>
    <definedName name="dgthss3">#REF!</definedName>
    <definedName name="DGTV">#REF!</definedName>
    <definedName name="dgvl">#REF!</definedName>
    <definedName name="Discount">#REF!</definedName>
    <definedName name="display_area_2">#REF!</definedName>
    <definedName name="DLCC">#REF!</definedName>
    <definedName name="DM">#REF!</definedName>
    <definedName name="dobt">#REF!</definedName>
    <definedName name="Documents_array">#REF!</definedName>
    <definedName name="Dongia">#REF!</definedName>
    <definedName name="DS1p1vc">#REF!</definedName>
    <definedName name="ds1p2nc">#REF!</definedName>
    <definedName name="ds1p2vc">#REF!</definedName>
    <definedName name="ds1p2vl">#REF!</definedName>
    <definedName name="ds1pnc">#REF!</definedName>
    <definedName name="ds1pvl">#REF!</definedName>
    <definedName name="ds3pctnc">#REF!</definedName>
    <definedName name="ds3pctvc">#REF!</definedName>
    <definedName name="ds3pctvl">#REF!</definedName>
    <definedName name="ds3pmnc">#REF!</definedName>
    <definedName name="ds3pmvc">#REF!</definedName>
    <definedName name="ds3pmvl">#REF!</definedName>
    <definedName name="ds3pnc">#REF!</definedName>
    <definedName name="ds3pvl">#REF!</definedName>
    <definedName name="dsh">#REF!</definedName>
    <definedName name="DSPK1p1nc">#REF!</definedName>
    <definedName name="DSPK1p1vl">#REF!</definedName>
    <definedName name="DSPK1pnc">#REF!</definedName>
    <definedName name="DSPK1pvl">#REF!</definedName>
    <definedName name="DSUMDATA">#REF!</definedName>
    <definedName name="DU_ODA">#REF!</definedName>
    <definedName name="DUDAUCO">#REF!</definedName>
    <definedName name="DUDAUNO">#REF!</definedName>
    <definedName name="Dulich">#REF!</definedName>
    <definedName name="ee">#REF!</definedName>
    <definedName name="emb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x">#REF!</definedName>
    <definedName name="Excel_BuiltIn_Database">#REF!</definedName>
    <definedName name="Excel_BuiltIn_Database_2">#REF!</definedName>
    <definedName name="Excel_BuiltIn_Print_Area">#REF!</definedName>
    <definedName name="Excel_BuiltIn_Print_Area_2">#REF!</definedName>
    <definedName name="Excel_BuiltIn_Print_Titles">#REF!</definedName>
    <definedName name="Excel_BuiltIn_Recorder">#REF!</definedName>
    <definedName name="f">#REF!</definedName>
    <definedName name="f82E46">#REF!</definedName>
    <definedName name="FACTOR">#REF!</definedName>
    <definedName name="FCode">#REF!</definedName>
    <definedName name="geo">#REF!</definedName>
    <definedName name="Gia_CT">#REF!</definedName>
    <definedName name="gia_tien">#REF!</definedName>
    <definedName name="gia_tien_BTN">#REF!</definedName>
    <definedName name="Gia_VT">#REF!</definedName>
    <definedName name="GIAVLIEUTN">#REF!</definedName>
    <definedName name="gl3p">#REF!</definedName>
    <definedName name="GTXL">#REF!</definedName>
    <definedName name="H_THUCHTHH">#REF!</definedName>
    <definedName name="H_THUCTT">#REF!</definedName>
    <definedName name="heä_soá_sình_laày">#REF!</definedName>
    <definedName name="HHTT">#REF!</definedName>
    <definedName name="HiddenRows">#REF!</definedName>
    <definedName name="hien">#REF!</definedName>
    <definedName name="Hinh_thuc">#REF!</definedName>
    <definedName name="HOME_MANP">#REF!</definedName>
    <definedName name="HOME_MANP_2">#REF!</definedName>
    <definedName name="HOMEOFFICE_COST">#REF!</definedName>
    <definedName name="HOMEOFFICE_COST_2">#REF!</definedName>
    <definedName name="HS">#REF!</definedName>
    <definedName name="hsdc1">#REF!</definedName>
    <definedName name="HSHH">#REF!</definedName>
    <definedName name="HSHHUT">#REF!</definedName>
    <definedName name="HSKK35">#REF!</definedName>
    <definedName name="HSLXH">#REF!</definedName>
    <definedName name="HSLXP">#REF!</definedName>
    <definedName name="HSSL">#REF!</definedName>
    <definedName name="HSVC1">#REF!</definedName>
    <definedName name="HSVC2">#REF!</definedName>
    <definedName name="HSVC3">#REF!</definedName>
    <definedName name="HTHH">#REF!</definedName>
    <definedName name="HTNC">#REF!</definedName>
    <definedName name="HTVL">#REF!</definedName>
    <definedName name="Huyenmoi">#REF!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j">#REF!</definedName>
    <definedName name="j356C8">#REF!</definedName>
    <definedName name="k">#REF!</definedName>
    <definedName name="kcong">#REF!</definedName>
    <definedName name="KH_Chang">#REF!</definedName>
    <definedName name="Khac">#REF!</definedName>
    <definedName name="Khäúi_læåüng">#REF!</definedName>
    <definedName name="KhuCN">#REF!</definedName>
    <definedName name="Kiem_tra_trung_ten">#REF!</definedName>
    <definedName name="KLTHDN">#REF!</definedName>
    <definedName name="KLVANKHUON">#REF!</definedName>
    <definedName name="kp1ph">#REF!</definedName>
    <definedName name="KSTK">#REF!</definedName>
    <definedName name="KVC">#REF!</definedName>
    <definedName name="L_mong">#REF!</definedName>
    <definedName name="Langnghe">#REF!</definedName>
    <definedName name="lk">#REF!</definedName>
    <definedName name="LK_hathe">#REF!</definedName>
    <definedName name="Lmk">#REF!</definedName>
    <definedName name="Loai_TD">#REF!</definedName>
    <definedName name="lVC">#REF!</definedName>
    <definedName name="m">#REF!</definedName>
    <definedName name="M10aavc">#REF!</definedName>
    <definedName name="M12ba3p">#REF!</definedName>
    <definedName name="M12bb1p">#REF!</definedName>
    <definedName name="M12cbnc">#REF!</definedName>
    <definedName name="M12cbvl">#REF!</definedName>
    <definedName name="M14bb1p">#REF!</definedName>
    <definedName name="m8aanc">#REF!</definedName>
    <definedName name="m8aavl">#REF!</definedName>
    <definedName name="Ma3pnc">#REF!</definedName>
    <definedName name="Ma3pvl">#REF!</definedName>
    <definedName name="Maa3pnc">#REF!</definedName>
    <definedName name="Maa3pvl">#REF!</definedName>
    <definedName name="Maïy">#REF!</definedName>
    <definedName name="MAJ_CON_EQP">#REF!</definedName>
    <definedName name="Maùy_bieán_aùp_löïc_110_22_15KV___40MVA">#REF!</definedName>
    <definedName name="MAVANKHUON">#REF!</definedName>
    <definedName name="MAVLTHDN">#REF!</definedName>
    <definedName name="Mba1p">#REF!</definedName>
    <definedName name="Mba3p">#REF!</definedName>
    <definedName name="Mbb3p">#REF!</definedName>
    <definedName name="Mbn1p">#REF!</definedName>
    <definedName name="mc">#REF!</definedName>
    <definedName name="Mcdn3">#REF!</definedName>
    <definedName name="Mckcung">#REF!</definedName>
    <definedName name="MG_A">#REF!</definedName>
    <definedName name="Mhdn3">#REF!</definedName>
    <definedName name="Moùng">#REF!</definedName>
    <definedName name="MSCT">#REF!</definedName>
    <definedName name="MTMAC12">#REF!</definedName>
    <definedName name="mtram">#REF!</definedName>
    <definedName name="n1pig">#REF!</definedName>
    <definedName name="N1pIGvc">#REF!</definedName>
    <definedName name="n1pind">#REF!</definedName>
    <definedName name="N1pINDvc">#REF!</definedName>
    <definedName name="n1ping">#REF!</definedName>
    <definedName name="N1pINGvc">#REF!</definedName>
    <definedName name="n1pint">#REF!</definedName>
    <definedName name="N1pINTvc">#REF!</definedName>
    <definedName name="N1pNLnc">#REF!</definedName>
    <definedName name="N1pNLvc">#REF!</definedName>
    <definedName name="N1pNLvl">#REF!</definedName>
    <definedName name="nc">#REF!</definedName>
    <definedName name="nc1p">#REF!</definedName>
    <definedName name="nc3p">#REF!</definedName>
    <definedName name="NCBD100">#REF!</definedName>
    <definedName name="NCBD200">#REF!</definedName>
    <definedName name="NCBD250">#REF!</definedName>
    <definedName name="NCcap0.7">#REF!</definedName>
    <definedName name="NCcap1">#REF!</definedName>
    <definedName name="NCCT3p">#REF!</definedName>
    <definedName name="Ncdn3">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GCT">#REF!</definedName>
    <definedName name="NGNKC">#REF!</definedName>
    <definedName name="NH">#REF!</definedName>
    <definedName name="nhan">#REF!</definedName>
    <definedName name="nhan_2">#REF!</definedName>
    <definedName name="Nhán_cäng">#REF!</definedName>
    <definedName name="Nhdn3">#REF!</definedName>
    <definedName name="Nhdn4">#REF!</definedName>
    <definedName name="nhn">#REF!</definedName>
    <definedName name="NHot">#REF!</definedName>
    <definedName name="nig">#REF!</definedName>
    <definedName name="nig1p">#REF!</definedName>
    <definedName name="nig3p">#REF!</definedName>
    <definedName name="NIGnc">#REF!</definedName>
    <definedName name="nignc1p">#REF!</definedName>
    <definedName name="NIGvc">#REF!</definedName>
    <definedName name="NIGvl">#REF!</definedName>
    <definedName name="nigvl1p">#REF!</definedName>
    <definedName name="nin">#REF!</definedName>
    <definedName name="nin14nc3p">#REF!</definedName>
    <definedName name="nin14vl3p">#REF!</definedName>
    <definedName name="nin1903p">#REF!</definedName>
    <definedName name="nin190nc3p">#REF!</definedName>
    <definedName name="nin190vl3p">#REF!</definedName>
    <definedName name="nin2903p">#REF!</definedName>
    <definedName name="nin290nc3p">#REF!</definedName>
    <definedName name="nin290vl3p">#REF!</definedName>
    <definedName name="nin3p">#REF!</definedName>
    <definedName name="nind">#REF!</definedName>
    <definedName name="nind1p">#REF!</definedName>
    <definedName name="nind3p">#REF!</definedName>
    <definedName name="nindnc1p">#REF!</definedName>
    <definedName name="nindnc3p">#REF!</definedName>
    <definedName name="NINDvc">#REF!</definedName>
    <definedName name="nindvl1p">#REF!</definedName>
    <definedName name="nindvl3p">#REF!</definedName>
    <definedName name="ning1p">#REF!</definedName>
    <definedName name="ningnc1p">#REF!</definedName>
    <definedName name="ningvl1p">#REF!</definedName>
    <definedName name="ninnc3p">#REF!</definedName>
    <definedName name="nint1p">#REF!</definedName>
    <definedName name="nintnc1p">#REF!</definedName>
    <definedName name="nintvl1p">#REF!</definedName>
    <definedName name="NINvc">#REF!</definedName>
    <definedName name="ninvl3p">#REF!</definedName>
    <definedName name="nl">#REF!</definedName>
    <definedName name="nl1p">#REF!</definedName>
    <definedName name="nl3p">#REF!</definedName>
    <definedName name="nlnc3p">#REF!</definedName>
    <definedName name="nlnc3pha">#REF!</definedName>
    <definedName name="NLTK1p">#REF!</definedName>
    <definedName name="nlvl3p">#REF!</definedName>
    <definedName name="nn">#REF!</definedName>
    <definedName name="nn1p">#REF!</definedName>
    <definedName name="nn3p">#REF!</definedName>
    <definedName name="nnnc3p">#REF!</definedName>
    <definedName name="nnvl3p">#REF!</definedName>
    <definedName name="No">#REF!</definedName>
    <definedName name="NTK">#REF!</definedName>
    <definedName name="OrderTable">#REF!</definedName>
    <definedName name="PA">#REF!</definedName>
    <definedName name="phu_luc_vua">#REF!</definedName>
    <definedName name="PRICE">#REF!</definedName>
    <definedName name="PRICE1">#REF!</definedName>
    <definedName name="Print_Titles_MI">#REF!</definedName>
    <definedName name="PRINTA">#REF!</definedName>
    <definedName name="PRINTA_2">#REF!</definedName>
    <definedName name="PRINTB">#REF!</definedName>
    <definedName name="PRINTB_2">#REF!</definedName>
    <definedName name="PRINTC">#REF!</definedName>
    <definedName name="PRINTC_2">#REF!</definedName>
    <definedName name="ProdForm">#REF!</definedName>
    <definedName name="Product">#REF!</definedName>
    <definedName name="PROPOSAL">#REF!</definedName>
    <definedName name="PT_Duong">#REF!</definedName>
    <definedName name="ptdg">#REF!</definedName>
    <definedName name="PTDG_cau">#REF!</definedName>
    <definedName name="pvd">#REF!</definedName>
    <definedName name="q">#REF!</definedName>
    <definedName name="QTRON">#REF!</definedName>
    <definedName name="ra11p">#REF!</definedName>
    <definedName name="ra13p">#REF!</definedName>
    <definedName name="RCArea">#REF!</definedName>
    <definedName name="RECOUT">#REF!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SCH">#REF!</definedName>
    <definedName name="sd1p">#REF!</definedName>
    <definedName name="SDMONG">#REF!</definedName>
    <definedName name="sht1p">#REF!</definedName>
    <definedName name="SHTTK">#REF!</definedName>
    <definedName name="SIZE">#REF!</definedName>
    <definedName name="SL_CRD">#REF!</definedName>
    <definedName name="SL_CRS">#REF!</definedName>
    <definedName name="SL_CS">#REF!</definedName>
    <definedName name="SL_DD">#REF!</definedName>
    <definedName name="SNKC">#REF!</definedName>
    <definedName name="soc3p">#REF!</definedName>
    <definedName name="solieu">#REF!</definedName>
    <definedName name="SORT">#REF!</definedName>
    <definedName name="SPEC">#REF!</definedName>
    <definedName name="SpecialPrice">#REF!</definedName>
    <definedName name="SPECSUMMARY">#REF!</definedName>
    <definedName name="SPSCO">#REF!</definedName>
    <definedName name="SPSNO">#REF!</definedName>
    <definedName name="st1p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BCPC1">#REF!</definedName>
    <definedName name="STBCPC2">#REF!</definedName>
    <definedName name="STBCPT1">#REF!</definedName>
    <definedName name="STBCPT2">#REF!</definedName>
    <definedName name="STTK">#REF!</definedName>
    <definedName name="sub">#REF!</definedName>
    <definedName name="SUMMARY">#REF!</definedName>
    <definedName name="SUMMARY_2">#REF!</definedName>
    <definedName name="sur">#REF!</definedName>
    <definedName name="T">#REF!</definedName>
    <definedName name="t101p">#REF!</definedName>
    <definedName name="t103p">#REF!</definedName>
    <definedName name="t10nc1p">#REF!</definedName>
    <definedName name="T10vc">#REF!</definedName>
    <definedName name="t10vl1p">#REF!</definedName>
    <definedName name="t121p">#REF!</definedName>
    <definedName name="t123p">#REF!</definedName>
    <definedName name="T12vc">#REF!</definedName>
    <definedName name="t141p">#REF!</definedName>
    <definedName name="t143p">#REF!</definedName>
    <definedName name="t14nc3p">#REF!</definedName>
    <definedName name="t14vl3p">#REF!</definedName>
    <definedName name="TAM">#REF!</definedName>
    <definedName name="Taptrung">#REF!</definedName>
    <definedName name="TBA">#REF!</definedName>
    <definedName name="TBH">#REF!</definedName>
    <definedName name="tbl_ProdInfo">#REF!</definedName>
    <definedName name="tbtram">#REF!</definedName>
    <definedName name="TBXD">#REF!</definedName>
    <definedName name="TC">#REF!</definedName>
    <definedName name="TC_NHANH1">#REF!</definedName>
    <definedName name="TD12vl">#REF!</definedName>
    <definedName name="td1p">#REF!</definedName>
    <definedName name="TD1p1nc">#REF!</definedName>
    <definedName name="td1p1vc">#REF!</definedName>
    <definedName name="TD1p1vl">#REF!</definedName>
    <definedName name="TD1p2nc">#REF!</definedName>
    <definedName name="TD1p2vc">#REF!</definedName>
    <definedName name="TD1p2vl">#REF!</definedName>
    <definedName name="td3p">#REF!</definedName>
    <definedName name="TDctnc">#REF!</definedName>
    <definedName name="TDctvc">#REF!</definedName>
    <definedName name="TDctvl">#REF!</definedName>
    <definedName name="TDmnc">#REF!</definedName>
    <definedName name="TDmvc">#REF!</definedName>
    <definedName name="TDmvl">#REF!</definedName>
    <definedName name="tdnc1p">#REF!</definedName>
    <definedName name="tdtr2cnc">#REF!</definedName>
    <definedName name="tdtr2cvl">#REF!</definedName>
    <definedName name="tdvl1p">#REF!</definedName>
    <definedName name="th_da_son">#REF!</definedName>
    <definedName name="THGO1pnc">#REF!</definedName>
    <definedName name="thht">#REF!</definedName>
    <definedName name="THI">#REF!</definedName>
    <definedName name="THI_2">#REF!</definedName>
    <definedName name="thkp3">#REF!</definedName>
    <definedName name="thßngbaovon">#REF!</definedName>
    <definedName name="THT">#REF!</definedName>
    <definedName name="thtt">#REF!</definedName>
    <definedName name="Thuysan_2">#REF!</definedName>
    <definedName name="Tien">#REF!</definedName>
    <definedName name="Tinhoc_2">#REF!</definedName>
    <definedName name="TITAN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e">#REF!</definedName>
    <definedName name="TONGDUTOAN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">#REF!</definedName>
    <definedName name="TRA_VL">#REF!</definedName>
    <definedName name="TRADE2">#REF!</definedName>
    <definedName name="TRAM">#REF!</definedName>
    <definedName name="TRAVL">#REF!</definedName>
    <definedName name="TRON">#REF!</definedName>
    <definedName name="Tru">#REF!</definedName>
    <definedName name="Trusoxa_2">#REF!</definedName>
    <definedName name="Truyenhinh_2">#REF!</definedName>
    <definedName name="TT_1P">#REF!</definedName>
    <definedName name="TT_3p">#REF!</definedName>
    <definedName name="ttbt">#REF!</definedName>
    <definedName name="tthi">#REF!</definedName>
    <definedName name="TTHUE">#REF!</definedName>
    <definedName name="ttronmk">#REF!</definedName>
    <definedName name="tv75nc">#REF!</definedName>
    <definedName name="tv75vl">#REF!</definedName>
    <definedName name="ty_le">#REF!</definedName>
    <definedName name="ty_le_BTN">#REF!</definedName>
    <definedName name="Ty_le1">#REF!</definedName>
    <definedName name="Value0">#REF!</definedName>
    <definedName name="Value1">#REF!</definedName>
    <definedName name="Value10">#REF!</definedName>
    <definedName name="Value11">#REF!</definedName>
    <definedName name="Value12">#REF!</definedName>
    <definedName name="Value13">#REF!</definedName>
    <definedName name="Value14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6">#REF!</definedName>
    <definedName name="Value7">#REF!</definedName>
    <definedName name="Value8">#REF!</definedName>
    <definedName name="Value9">#REF!</definedName>
    <definedName name="VARIINST">#REF!</definedName>
    <definedName name="VARIPURC">#REF!</definedName>
    <definedName name="VatTu">#REF!</definedName>
    <definedName name="Váût_liãûu">#REF!</definedName>
    <definedName name="vbtchongnuocm300">#REF!</definedName>
    <definedName name="vbtm150">#REF!</definedName>
    <definedName name="vbtm300">#REF!</definedName>
    <definedName name="vbtm400">#REF!</definedName>
    <definedName name="vccot">#REF!</definedName>
    <definedName name="VCDD1P">#REF!</definedName>
    <definedName name="VCDDCT3p">#REF!</definedName>
    <definedName name="VCDDMBA">#REF!</definedName>
    <definedName name="Vcdn3">#REF!</definedName>
    <definedName name="VCHT">#REF!</definedName>
    <definedName name="Vckcung">#REF!</definedName>
    <definedName name="vctb">#REF!</definedName>
    <definedName name="VCTT">#REF!</definedName>
    <definedName name="vd3p">#REF!</definedName>
    <definedName name="Vhdn3">#REF!</definedName>
    <definedName name="vkcauthang">#REF!</definedName>
    <definedName name="vksan">#REF!</definedName>
    <definedName name="vl">#REF!</definedName>
    <definedName name="VL_RC1">#REF!</definedName>
    <definedName name="VL_RC2">#REF!</definedName>
    <definedName name="VL_Rnha">#REF!</definedName>
    <definedName name="VL_RS">#REF!</definedName>
    <definedName name="vl1p">#REF!</definedName>
    <definedName name="vl3p">#REF!</definedName>
    <definedName name="Vlcap0.7">#REF!</definedName>
    <definedName name="VLcap1">#REF!</definedName>
    <definedName name="VLCT3p">#REF!</definedName>
    <definedName name="vldn400">#REF!</definedName>
    <definedName name="vldn600">#REF!</definedName>
    <definedName name="VLM">#REF!</definedName>
    <definedName name="vltram">#REF!</definedName>
    <definedName name="voc">#REF!</definedName>
    <definedName name="Vonnuocngoai">#REF!</definedName>
    <definedName name="vr3p">#REF!</definedName>
    <definedName name="vt">#REF!</definedName>
    <definedName name="VungTL">#REF!</definedName>
    <definedName name="Vuonquocgia_2">#REF!</definedName>
    <definedName name="W">#REF!</definedName>
    <definedName name="X">#REF!</definedName>
    <definedName name="x1pind">#REF!</definedName>
    <definedName name="X1pINDvc">#REF!</definedName>
    <definedName name="x1ping">#REF!</definedName>
    <definedName name="X1pINGvc">#REF!</definedName>
    <definedName name="x1pint">#REF!</definedName>
    <definedName name="XE">#REF!</definedName>
    <definedName name="xfco">#REF!</definedName>
    <definedName name="xfco3p">#REF!</definedName>
    <definedName name="xfcotnc">#REF!</definedName>
    <definedName name="xfcotvl">#REF!</definedName>
    <definedName name="XFCOvc">#REF!</definedName>
    <definedName name="xh">#REF!</definedName>
    <definedName name="xhn">#REF!</definedName>
    <definedName name="xig">#REF!</definedName>
    <definedName name="xig1p">#REF!</definedName>
    <definedName name="xig3p">#REF!</definedName>
    <definedName name="xignc3p">#REF!</definedName>
    <definedName name="XIGvc">#REF!</definedName>
    <definedName name="xigvl3p">#REF!</definedName>
    <definedName name="xin">#REF!</definedName>
    <definedName name="xin1903p">#REF!</definedName>
    <definedName name="XIN190vc">#REF!</definedName>
    <definedName name="xin2903p">#REF!</definedName>
    <definedName name="xin290nc3p">#REF!</definedName>
    <definedName name="xin290vl3p">#REF!</definedName>
    <definedName name="xin3p">#REF!</definedName>
    <definedName name="xind">#REF!</definedName>
    <definedName name="xind1p">#REF!</definedName>
    <definedName name="xind3p">#REF!</definedName>
    <definedName name="xindnc1p">#REF!</definedName>
    <definedName name="XINDvc">#REF!</definedName>
    <definedName name="xindvl1p">#REF!</definedName>
    <definedName name="xing1p">#REF!</definedName>
    <definedName name="xingnc1p">#REF!</definedName>
    <definedName name="xingvl1p">#REF!</definedName>
    <definedName name="xinnc3p">#REF!</definedName>
    <definedName name="xint1p">#REF!</definedName>
    <definedName name="XINvc">#REF!</definedName>
    <definedName name="xinvl3p">#REF!</definedName>
    <definedName name="xit">#REF!</definedName>
    <definedName name="xit1p">#REF!</definedName>
    <definedName name="xit2nc3p">#REF!</definedName>
    <definedName name="xit2vl3p">#REF!</definedName>
    <definedName name="xit3p">#REF!</definedName>
    <definedName name="xitnc3p">#REF!</definedName>
    <definedName name="XITvc">#REF!</definedName>
    <definedName name="xitvl3p">#REF!</definedName>
    <definedName name="xmcax">#REF!</definedName>
    <definedName name="xn">#REF!</definedName>
    <definedName name="XSKT_2">#REF!</definedName>
    <definedName name="y">#REF!</definedName>
    <definedName name="Yte_2">#REF!</definedName>
    <definedName name="z">#REF!</definedName>
    <definedName name="ZXD">#REF!</definedName>
    <definedName name="ZYX">#REF!</definedName>
    <definedName name="ZZZ">#REF!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8" i="1" l="1"/>
  <c r="F73" i="1"/>
  <c r="G68" i="1"/>
  <c r="I57" i="1"/>
  <c r="H98" i="19"/>
  <c r="H96" i="19"/>
  <c r="G96" i="19"/>
  <c r="F96" i="19"/>
  <c r="E96" i="19"/>
  <c r="D96" i="19"/>
  <c r="H95" i="19"/>
  <c r="G94" i="19"/>
  <c r="F94" i="19"/>
  <c r="H94" i="19" s="1"/>
  <c r="E94" i="19"/>
  <c r="D94" i="19"/>
  <c r="G93" i="19"/>
  <c r="E93" i="19"/>
  <c r="H93" i="19" s="1"/>
  <c r="H92" i="19"/>
  <c r="G92" i="19"/>
  <c r="E92" i="19"/>
  <c r="G91" i="19"/>
  <c r="E91" i="19"/>
  <c r="H91" i="19" s="1"/>
  <c r="G90" i="19"/>
  <c r="E90" i="19"/>
  <c r="H90" i="19" s="1"/>
  <c r="G89" i="19"/>
  <c r="E89" i="19"/>
  <c r="H89" i="19" s="1"/>
  <c r="G88" i="19"/>
  <c r="F88" i="19"/>
  <c r="D88" i="19"/>
  <c r="H87" i="19"/>
  <c r="G83" i="19"/>
  <c r="F83" i="19"/>
  <c r="E83" i="19"/>
  <c r="D83" i="19"/>
  <c r="H82" i="19"/>
  <c r="G81" i="19"/>
  <c r="D81" i="19"/>
  <c r="G76" i="19"/>
  <c r="F76" i="19"/>
  <c r="F73" i="19" s="1"/>
  <c r="E76" i="19"/>
  <c r="D76" i="19"/>
  <c r="D73" i="19" s="1"/>
  <c r="H75" i="19"/>
  <c r="E75" i="19"/>
  <c r="E74" i="19" s="1"/>
  <c r="D75" i="19"/>
  <c r="H74" i="19"/>
  <c r="G74" i="19"/>
  <c r="F74" i="19"/>
  <c r="G73" i="19"/>
  <c r="G71" i="19" s="1"/>
  <c r="G67" i="19" s="1"/>
  <c r="G72" i="19"/>
  <c r="F72" i="19"/>
  <c r="E72" i="19"/>
  <c r="D72" i="19"/>
  <c r="F71" i="19"/>
  <c r="G68" i="19"/>
  <c r="F68" i="19"/>
  <c r="E68" i="19"/>
  <c r="D68" i="19"/>
  <c r="H65" i="19"/>
  <c r="G64" i="19"/>
  <c r="F64" i="19"/>
  <c r="H64" i="19" s="1"/>
  <c r="E64" i="19"/>
  <c r="D64" i="19"/>
  <c r="H63" i="19"/>
  <c r="H62" i="19"/>
  <c r="H61" i="19"/>
  <c r="G61" i="19"/>
  <c r="F61" i="19"/>
  <c r="E61" i="19"/>
  <c r="D61" i="19"/>
  <c r="H60" i="19"/>
  <c r="H59" i="19"/>
  <c r="H58" i="19"/>
  <c r="G58" i="19"/>
  <c r="G57" i="19" s="1"/>
  <c r="G55" i="19" s="1"/>
  <c r="F58" i="19"/>
  <c r="F57" i="19" s="1"/>
  <c r="F55" i="19" s="1"/>
  <c r="F46" i="19" s="1"/>
  <c r="E58" i="19"/>
  <c r="D58" i="19"/>
  <c r="E57" i="19"/>
  <c r="D57" i="19"/>
  <c r="D55" i="19" s="1"/>
  <c r="H56" i="19"/>
  <c r="E56" i="19"/>
  <c r="E53" i="19"/>
  <c r="G52" i="19"/>
  <c r="F52" i="19"/>
  <c r="D52" i="19"/>
  <c r="H51" i="19"/>
  <c r="E51" i="19"/>
  <c r="D51" i="19"/>
  <c r="E50" i="19"/>
  <c r="H50" i="19" s="1"/>
  <c r="G49" i="19"/>
  <c r="F49" i="19"/>
  <c r="E49" i="19"/>
  <c r="H49" i="19" s="1"/>
  <c r="D49" i="19"/>
  <c r="E48" i="19" s="1"/>
  <c r="H48" i="19" s="1"/>
  <c r="G47" i="19"/>
  <c r="F47" i="19"/>
  <c r="D47" i="19"/>
  <c r="D46" i="19" s="1"/>
  <c r="G46" i="19"/>
  <c r="F45" i="19"/>
  <c r="E45" i="19"/>
  <c r="D45" i="19"/>
  <c r="H44" i="19"/>
  <c r="H43" i="19"/>
  <c r="G43" i="19"/>
  <c r="G45" i="19" s="1"/>
  <c r="G42" i="19"/>
  <c r="F42" i="19"/>
  <c r="E42" i="19"/>
  <c r="D42" i="19"/>
  <c r="H41" i="19"/>
  <c r="H40" i="19"/>
  <c r="H39" i="19"/>
  <c r="G39" i="19"/>
  <c r="F39" i="19"/>
  <c r="E39" i="19"/>
  <c r="D39" i="19"/>
  <c r="H38" i="19"/>
  <c r="H37" i="19"/>
  <c r="H36" i="19"/>
  <c r="G36" i="19"/>
  <c r="F36" i="19"/>
  <c r="E36" i="19"/>
  <c r="D36" i="19"/>
  <c r="H35" i="19"/>
  <c r="H34" i="19"/>
  <c r="G30" i="19"/>
  <c r="F30" i="19"/>
  <c r="H29" i="19"/>
  <c r="G29" i="19"/>
  <c r="F29" i="19"/>
  <c r="E29" i="19"/>
  <c r="D29" i="19"/>
  <c r="G28" i="19"/>
  <c r="F28" i="19"/>
  <c r="E28" i="19"/>
  <c r="D28" i="19"/>
  <c r="D30" i="19" s="1"/>
  <c r="H27" i="19"/>
  <c r="G27" i="19"/>
  <c r="F27" i="19"/>
  <c r="E27" i="19"/>
  <c r="D27" i="19"/>
  <c r="H26" i="19"/>
  <c r="H25" i="19"/>
  <c r="H23" i="19"/>
  <c r="H22" i="19"/>
  <c r="G20" i="19"/>
  <c r="F20" i="19"/>
  <c r="E20" i="19"/>
  <c r="D20" i="19"/>
  <c r="D14" i="19" s="1"/>
  <c r="H19" i="19"/>
  <c r="G19" i="19"/>
  <c r="F19" i="19"/>
  <c r="E19" i="19"/>
  <c r="D19" i="19"/>
  <c r="H18" i="19"/>
  <c r="G18" i="19"/>
  <c r="F18" i="19"/>
  <c r="E18" i="19"/>
  <c r="D18" i="19"/>
  <c r="H17" i="19"/>
  <c r="H16" i="19"/>
  <c r="E14" i="19"/>
  <c r="G13" i="19"/>
  <c r="G10" i="19" s="1"/>
  <c r="F13" i="19"/>
  <c r="F10" i="19"/>
  <c r="H98" i="18"/>
  <c r="E98" i="18"/>
  <c r="E96" i="18" s="1"/>
  <c r="H97" i="18"/>
  <c r="H96" i="18"/>
  <c r="G96" i="18"/>
  <c r="F96" i="18"/>
  <c r="D96" i="18"/>
  <c r="H95" i="18"/>
  <c r="G94" i="18"/>
  <c r="F94" i="18"/>
  <c r="E94" i="18"/>
  <c r="D94" i="18"/>
  <c r="G93" i="18"/>
  <c r="E93" i="18"/>
  <c r="H93" i="18" s="1"/>
  <c r="G92" i="18"/>
  <c r="E92" i="18"/>
  <c r="H92" i="18" s="1"/>
  <c r="H91" i="18"/>
  <c r="G91" i="18"/>
  <c r="E91" i="18"/>
  <c r="H90" i="18"/>
  <c r="G90" i="18"/>
  <c r="E90" i="18"/>
  <c r="G89" i="18"/>
  <c r="E89" i="18"/>
  <c r="H89" i="18" s="1"/>
  <c r="F88" i="18"/>
  <c r="E88" i="18"/>
  <c r="D88" i="18"/>
  <c r="H87" i="18"/>
  <c r="G83" i="18"/>
  <c r="F83" i="18"/>
  <c r="H83" i="18" s="1"/>
  <c r="E83" i="18"/>
  <c r="D83" i="18"/>
  <c r="D81" i="18" s="1"/>
  <c r="H82" i="18"/>
  <c r="D82" i="18"/>
  <c r="G81" i="18"/>
  <c r="E81" i="18"/>
  <c r="G76" i="18"/>
  <c r="F76" i="18"/>
  <c r="E76" i="18"/>
  <c r="D76" i="18"/>
  <c r="E75" i="18"/>
  <c r="D75" i="18"/>
  <c r="D74" i="18" s="1"/>
  <c r="G74" i="18"/>
  <c r="F74" i="18"/>
  <c r="G73" i="18"/>
  <c r="G71" i="18" s="1"/>
  <c r="F73" i="18"/>
  <c r="E73" i="18"/>
  <c r="G72" i="18"/>
  <c r="F72" i="18"/>
  <c r="D72" i="18"/>
  <c r="G68" i="18"/>
  <c r="F68" i="18"/>
  <c r="E68" i="18"/>
  <c r="D68" i="18"/>
  <c r="G67" i="18"/>
  <c r="H65" i="18"/>
  <c r="H64" i="18"/>
  <c r="G64" i="18"/>
  <c r="F64" i="18"/>
  <c r="E64" i="18"/>
  <c r="D64" i="18"/>
  <c r="H63" i="18"/>
  <c r="H62" i="18"/>
  <c r="H61" i="18"/>
  <c r="G61" i="18"/>
  <c r="F61" i="18"/>
  <c r="E61" i="18"/>
  <c r="D61" i="18"/>
  <c r="D57" i="18" s="1"/>
  <c r="D55" i="18" s="1"/>
  <c r="H60" i="18"/>
  <c r="H59" i="18"/>
  <c r="G58" i="18"/>
  <c r="F58" i="18"/>
  <c r="E58" i="18"/>
  <c r="D58" i="18"/>
  <c r="E53" i="18"/>
  <c r="H53" i="18" s="1"/>
  <c r="G52" i="18"/>
  <c r="F52" i="18"/>
  <c r="H52" i="18" s="1"/>
  <c r="E52" i="18"/>
  <c r="D52" i="18"/>
  <c r="H51" i="18"/>
  <c r="D51" i="18"/>
  <c r="D49" i="18" s="1"/>
  <c r="H50" i="18"/>
  <c r="G49" i="18"/>
  <c r="F49" i="18"/>
  <c r="E49" i="18"/>
  <c r="E48" i="18"/>
  <c r="G47" i="18"/>
  <c r="D47" i="18"/>
  <c r="D46" i="18"/>
  <c r="F45" i="18"/>
  <c r="H45" i="18" s="1"/>
  <c r="E45" i="18"/>
  <c r="D45" i="18"/>
  <c r="H44" i="18"/>
  <c r="H43" i="18"/>
  <c r="G43" i="18"/>
  <c r="G45" i="18" s="1"/>
  <c r="G42" i="18"/>
  <c r="F42" i="18"/>
  <c r="H42" i="18" s="1"/>
  <c r="E42" i="18"/>
  <c r="D42" i="18"/>
  <c r="H41" i="18"/>
  <c r="H40" i="18"/>
  <c r="G39" i="18"/>
  <c r="F39" i="18"/>
  <c r="H39" i="18" s="1"/>
  <c r="E39" i="18"/>
  <c r="D39" i="18"/>
  <c r="H38" i="18"/>
  <c r="H37" i="18"/>
  <c r="G36" i="18"/>
  <c r="F36" i="18"/>
  <c r="E36" i="18"/>
  <c r="H36" i="18" s="1"/>
  <c r="D36" i="18"/>
  <c r="H35" i="18"/>
  <c r="H34" i="18"/>
  <c r="G30" i="18"/>
  <c r="D30" i="18"/>
  <c r="H29" i="18"/>
  <c r="G29" i="18"/>
  <c r="F29" i="18"/>
  <c r="E29" i="18"/>
  <c r="D29" i="18"/>
  <c r="G28" i="18"/>
  <c r="F28" i="18"/>
  <c r="E28" i="18"/>
  <c r="E30" i="18" s="1"/>
  <c r="D28" i="18"/>
  <c r="H23" i="18"/>
  <c r="H22" i="18"/>
  <c r="G21" i="18"/>
  <c r="D21" i="18"/>
  <c r="G20" i="18"/>
  <c r="F20" i="18"/>
  <c r="E20" i="18"/>
  <c r="D20" i="18"/>
  <c r="G19" i="18"/>
  <c r="G13" i="18" s="1"/>
  <c r="F19" i="18"/>
  <c r="E19" i="18"/>
  <c r="D19" i="18"/>
  <c r="H18" i="18"/>
  <c r="G18" i="18"/>
  <c r="F18" i="18"/>
  <c r="E18" i="18"/>
  <c r="D18" i="18"/>
  <c r="H17" i="18"/>
  <c r="H16" i="18"/>
  <c r="G15" i="18"/>
  <c r="G12" i="18" s="1"/>
  <c r="G11" i="18" s="1"/>
  <c r="G14" i="18"/>
  <c r="D14" i="18"/>
  <c r="E13" i="18"/>
  <c r="D13" i="18"/>
  <c r="G10" i="18"/>
  <c r="G96" i="17"/>
  <c r="F96" i="17"/>
  <c r="E96" i="17"/>
  <c r="D96" i="17"/>
  <c r="G94" i="17"/>
  <c r="F94" i="17"/>
  <c r="E94" i="17"/>
  <c r="D94" i="17"/>
  <c r="G93" i="17"/>
  <c r="E93" i="17"/>
  <c r="H93" i="17" s="1"/>
  <c r="G91" i="17"/>
  <c r="E91" i="17"/>
  <c r="H91" i="17" s="1"/>
  <c r="H90" i="17"/>
  <c r="G90" i="17"/>
  <c r="E90" i="17"/>
  <c r="H89" i="17"/>
  <c r="G89" i="17"/>
  <c r="E89" i="17"/>
  <c r="G88" i="17"/>
  <c r="F88" i="17"/>
  <c r="D88" i="17"/>
  <c r="H87" i="17"/>
  <c r="G83" i="17"/>
  <c r="F83" i="17"/>
  <c r="E83" i="17"/>
  <c r="D83" i="17"/>
  <c r="H82" i="17"/>
  <c r="G81" i="17"/>
  <c r="F81" i="17"/>
  <c r="G76" i="17"/>
  <c r="G74" i="17" s="1"/>
  <c r="F76" i="17"/>
  <c r="E76" i="17"/>
  <c r="D76" i="17"/>
  <c r="E75" i="17"/>
  <c r="F74" i="17"/>
  <c r="D74" i="17"/>
  <c r="F73" i="17"/>
  <c r="G72" i="17"/>
  <c r="F72" i="17"/>
  <c r="D72" i="17"/>
  <c r="G68" i="17"/>
  <c r="F68" i="17"/>
  <c r="E68" i="17"/>
  <c r="D68" i="17"/>
  <c r="G64" i="17"/>
  <c r="F64" i="17"/>
  <c r="E64" i="17"/>
  <c r="D64" i="17"/>
  <c r="H63" i="17"/>
  <c r="H62" i="17"/>
  <c r="G61" i="17"/>
  <c r="F61" i="17"/>
  <c r="E61" i="17"/>
  <c r="H61" i="17" s="1"/>
  <c r="D61" i="17"/>
  <c r="H60" i="17"/>
  <c r="H59" i="17"/>
  <c r="G58" i="17"/>
  <c r="F58" i="17"/>
  <c r="F57" i="17" s="1"/>
  <c r="F55" i="17" s="1"/>
  <c r="E58" i="17"/>
  <c r="D58" i="17"/>
  <c r="E57" i="17"/>
  <c r="E55" i="17" s="1"/>
  <c r="H55" i="17" s="1"/>
  <c r="D57" i="17"/>
  <c r="D55" i="17" s="1"/>
  <c r="H56" i="17"/>
  <c r="E56" i="17"/>
  <c r="D54" i="17"/>
  <c r="D52" i="17" s="1"/>
  <c r="H53" i="17"/>
  <c r="E53" i="17"/>
  <c r="E52" i="17" s="1"/>
  <c r="H52" i="17" s="1"/>
  <c r="G52" i="17"/>
  <c r="F52" i="17"/>
  <c r="H50" i="17"/>
  <c r="H49" i="17"/>
  <c r="G49" i="17"/>
  <c r="F49" i="17"/>
  <c r="F47" i="17" s="1"/>
  <c r="E49" i="17"/>
  <c r="D49" i="17"/>
  <c r="E48" i="17"/>
  <c r="H48" i="17" s="1"/>
  <c r="G47" i="17"/>
  <c r="E47" i="17"/>
  <c r="E46" i="17" s="1"/>
  <c r="D47" i="17"/>
  <c r="F46" i="17"/>
  <c r="G45" i="17"/>
  <c r="F45" i="17"/>
  <c r="H45" i="17" s="1"/>
  <c r="E45" i="17"/>
  <c r="D45" i="17"/>
  <c r="H44" i="17"/>
  <c r="H43" i="17"/>
  <c r="G43" i="17"/>
  <c r="G42" i="17"/>
  <c r="F42" i="17"/>
  <c r="H42" i="17" s="1"/>
  <c r="E42" i="17"/>
  <c r="D42" i="17"/>
  <c r="H41" i="17"/>
  <c r="H40" i="17"/>
  <c r="H39" i="17"/>
  <c r="G39" i="17"/>
  <c r="F39" i="17"/>
  <c r="E39" i="17"/>
  <c r="D39" i="17"/>
  <c r="H38" i="17"/>
  <c r="H37" i="17"/>
  <c r="H36" i="17"/>
  <c r="G36" i="17"/>
  <c r="F36" i="17"/>
  <c r="E36" i="17"/>
  <c r="D36" i="17"/>
  <c r="H35" i="17"/>
  <c r="H34" i="17"/>
  <c r="G30" i="17"/>
  <c r="F30" i="17"/>
  <c r="G29" i="17"/>
  <c r="F29" i="17"/>
  <c r="E29" i="17"/>
  <c r="H29" i="17" s="1"/>
  <c r="D29" i="17"/>
  <c r="D30" i="17" s="1"/>
  <c r="H28" i="17"/>
  <c r="G28" i="17"/>
  <c r="F28" i="17"/>
  <c r="E28" i="17"/>
  <c r="D28" i="17"/>
  <c r="H26" i="17"/>
  <c r="H23" i="17"/>
  <c r="H22" i="17"/>
  <c r="F21" i="17"/>
  <c r="H21" i="17" s="1"/>
  <c r="E21" i="17"/>
  <c r="G20" i="17"/>
  <c r="G14" i="17" s="1"/>
  <c r="F20" i="17"/>
  <c r="E20" i="17"/>
  <c r="D20" i="17"/>
  <c r="H19" i="17"/>
  <c r="G19" i="17"/>
  <c r="F19" i="17"/>
  <c r="E19" i="17"/>
  <c r="D19" i="17"/>
  <c r="G18" i="17"/>
  <c r="F18" i="17"/>
  <c r="E18" i="17"/>
  <c r="H18" i="17" s="1"/>
  <c r="D18" i="17"/>
  <c r="H17" i="17"/>
  <c r="H16" i="17"/>
  <c r="E14" i="17"/>
  <c r="D14" i="17"/>
  <c r="F13" i="17"/>
  <c r="F10" i="17" s="1"/>
  <c r="E13" i="17"/>
  <c r="E10" i="17" s="1"/>
  <c r="H10" i="17" s="1"/>
  <c r="G96" i="16"/>
  <c r="F96" i="16"/>
  <c r="E96" i="16"/>
  <c r="D96" i="16"/>
  <c r="G94" i="16"/>
  <c r="F94" i="16"/>
  <c r="E94" i="16"/>
  <c r="D94" i="16"/>
  <c r="H93" i="16"/>
  <c r="G93" i="16"/>
  <c r="E93" i="16"/>
  <c r="G92" i="16"/>
  <c r="E92" i="16"/>
  <c r="H92" i="16" s="1"/>
  <c r="H91" i="16"/>
  <c r="G91" i="16"/>
  <c r="E91" i="16"/>
  <c r="H90" i="16"/>
  <c r="G90" i="16"/>
  <c r="E90" i="16"/>
  <c r="G88" i="16"/>
  <c r="F88" i="16"/>
  <c r="D88" i="16"/>
  <c r="H87" i="16"/>
  <c r="G83" i="16"/>
  <c r="G81" i="16" s="1"/>
  <c r="F83" i="16"/>
  <c r="E83" i="16"/>
  <c r="D83" i="16"/>
  <c r="E82" i="16"/>
  <c r="H82" i="16" s="1"/>
  <c r="D81" i="16"/>
  <c r="G76" i="16"/>
  <c r="F76" i="16"/>
  <c r="F73" i="16" s="1"/>
  <c r="H73" i="16" s="1"/>
  <c r="E76" i="16"/>
  <c r="E73" i="16" s="1"/>
  <c r="D76" i="16"/>
  <c r="D74" i="16" s="1"/>
  <c r="H75" i="16"/>
  <c r="G74" i="16"/>
  <c r="F74" i="16"/>
  <c r="H74" i="16" s="1"/>
  <c r="E74" i="16"/>
  <c r="G73" i="16"/>
  <c r="D73" i="16"/>
  <c r="G72" i="16"/>
  <c r="G71" i="16" s="1"/>
  <c r="F72" i="16"/>
  <c r="E72" i="16"/>
  <c r="D72" i="16"/>
  <c r="D71" i="16" s="1"/>
  <c r="D67" i="16" s="1"/>
  <c r="G68" i="16"/>
  <c r="F68" i="16"/>
  <c r="E68" i="16"/>
  <c r="D68" i="16"/>
  <c r="G67" i="16"/>
  <c r="G64" i="16"/>
  <c r="F64" i="16"/>
  <c r="E64" i="16"/>
  <c r="D64" i="16"/>
  <c r="H63" i="16"/>
  <c r="H62" i="16"/>
  <c r="D62" i="16"/>
  <c r="D61" i="16" s="1"/>
  <c r="D57" i="16" s="1"/>
  <c r="G61" i="16"/>
  <c r="G57" i="16" s="1"/>
  <c r="G55" i="16" s="1"/>
  <c r="G46" i="16" s="1"/>
  <c r="F61" i="16"/>
  <c r="H61" i="16" s="1"/>
  <c r="E61" i="16"/>
  <c r="H60" i="16"/>
  <c r="H59" i="16"/>
  <c r="H58" i="16"/>
  <c r="G58" i="16"/>
  <c r="F58" i="16"/>
  <c r="E58" i="16"/>
  <c r="D58" i="16"/>
  <c r="F57" i="16"/>
  <c r="E57" i="16"/>
  <c r="H56" i="16"/>
  <c r="E56" i="16"/>
  <c r="D55" i="16"/>
  <c r="D46" i="16" s="1"/>
  <c r="E53" i="16"/>
  <c r="H53" i="16" s="1"/>
  <c r="G52" i="16"/>
  <c r="F52" i="16"/>
  <c r="E52" i="16"/>
  <c r="H52" i="16" s="1"/>
  <c r="D52" i="16"/>
  <c r="H50" i="16"/>
  <c r="G49" i="16"/>
  <c r="G47" i="16" s="1"/>
  <c r="F49" i="16"/>
  <c r="H49" i="16" s="1"/>
  <c r="E49" i="16"/>
  <c r="D49" i="16"/>
  <c r="H48" i="16"/>
  <c r="E48" i="16"/>
  <c r="E47" i="16" s="1"/>
  <c r="F47" i="16"/>
  <c r="H47" i="16" s="1"/>
  <c r="D47" i="16"/>
  <c r="H45" i="16"/>
  <c r="G45" i="16"/>
  <c r="F45" i="16"/>
  <c r="E45" i="16"/>
  <c r="D45" i="16"/>
  <c r="H44" i="16"/>
  <c r="H43" i="16"/>
  <c r="G43" i="16"/>
  <c r="H42" i="16"/>
  <c r="G42" i="16"/>
  <c r="F42" i="16"/>
  <c r="E42" i="16"/>
  <c r="D42" i="16"/>
  <c r="H41" i="16"/>
  <c r="H40" i="16"/>
  <c r="G39" i="16"/>
  <c r="F39" i="16"/>
  <c r="H39" i="16" s="1"/>
  <c r="E39" i="16"/>
  <c r="D39" i="16"/>
  <c r="H38" i="16"/>
  <c r="H37" i="16"/>
  <c r="G36" i="16"/>
  <c r="F36" i="16"/>
  <c r="H36" i="16" s="1"/>
  <c r="E36" i="16"/>
  <c r="D36" i="16"/>
  <c r="H35" i="16"/>
  <c r="H34" i="16"/>
  <c r="G30" i="16"/>
  <c r="E30" i="16"/>
  <c r="D30" i="16"/>
  <c r="G29" i="16"/>
  <c r="F29" i="16"/>
  <c r="H29" i="16" s="1"/>
  <c r="E29" i="16"/>
  <c r="D29" i="16"/>
  <c r="G28" i="16"/>
  <c r="F28" i="16"/>
  <c r="E28" i="16"/>
  <c r="D28" i="16"/>
  <c r="H26" i="16"/>
  <c r="H24" i="16"/>
  <c r="G24" i="16"/>
  <c r="F24" i="16"/>
  <c r="E24" i="16"/>
  <c r="D24" i="16"/>
  <c r="H23" i="16"/>
  <c r="H22" i="16"/>
  <c r="G21" i="16"/>
  <c r="G20" i="16"/>
  <c r="F20" i="16"/>
  <c r="E20" i="16"/>
  <c r="D20" i="16"/>
  <c r="H19" i="16"/>
  <c r="G19" i="16"/>
  <c r="F19" i="16"/>
  <c r="F21" i="16" s="1"/>
  <c r="E19" i="16"/>
  <c r="D19" i="16"/>
  <c r="G18" i="16"/>
  <c r="F18" i="16"/>
  <c r="E18" i="16"/>
  <c r="D18" i="16"/>
  <c r="H17" i="16"/>
  <c r="G14" i="16"/>
  <c r="G15" i="16" s="1"/>
  <c r="G12" i="16" s="1"/>
  <c r="G11" i="16" s="1"/>
  <c r="F14" i="16"/>
  <c r="G13" i="16"/>
  <c r="E13" i="16"/>
  <c r="D13" i="16"/>
  <c r="E10" i="16"/>
  <c r="D10" i="16"/>
  <c r="H97" i="15"/>
  <c r="G96" i="15"/>
  <c r="F96" i="15"/>
  <c r="E96" i="15"/>
  <c r="H96" i="15" s="1"/>
  <c r="D96" i="15"/>
  <c r="H95" i="15"/>
  <c r="G94" i="15"/>
  <c r="F94" i="15"/>
  <c r="H94" i="15" s="1"/>
  <c r="E94" i="15"/>
  <c r="D94" i="15"/>
  <c r="H93" i="15"/>
  <c r="G93" i="15"/>
  <c r="G88" i="15" s="1"/>
  <c r="E93" i="15"/>
  <c r="H91" i="15"/>
  <c r="G91" i="15"/>
  <c r="H90" i="15"/>
  <c r="G90" i="15"/>
  <c r="E90" i="15"/>
  <c r="D90" i="15"/>
  <c r="H89" i="15"/>
  <c r="G89" i="15"/>
  <c r="E89" i="15"/>
  <c r="E88" i="15" s="1"/>
  <c r="H88" i="15" s="1"/>
  <c r="F88" i="15"/>
  <c r="D88" i="15"/>
  <c r="H87" i="15"/>
  <c r="G83" i="15"/>
  <c r="G81" i="15" s="1"/>
  <c r="F83" i="15"/>
  <c r="E83" i="15"/>
  <c r="D83" i="15"/>
  <c r="E82" i="15"/>
  <c r="H82" i="15" s="1"/>
  <c r="E81" i="15"/>
  <c r="D81" i="15"/>
  <c r="G76" i="15"/>
  <c r="F76" i="15"/>
  <c r="E76" i="15"/>
  <c r="D76" i="15"/>
  <c r="E75" i="15" s="1"/>
  <c r="F74" i="15"/>
  <c r="D74" i="15"/>
  <c r="E73" i="15"/>
  <c r="D73" i="15"/>
  <c r="G72" i="15"/>
  <c r="F72" i="15"/>
  <c r="E72" i="15"/>
  <c r="D72" i="15"/>
  <c r="D71" i="15" s="1"/>
  <c r="D67" i="15" s="1"/>
  <c r="G68" i="15"/>
  <c r="F68" i="15"/>
  <c r="E68" i="15"/>
  <c r="D68" i="15"/>
  <c r="H65" i="15"/>
  <c r="G64" i="15"/>
  <c r="F64" i="15"/>
  <c r="E64" i="15"/>
  <c r="D64" i="15"/>
  <c r="H63" i="15"/>
  <c r="H62" i="15"/>
  <c r="H61" i="15"/>
  <c r="G61" i="15"/>
  <c r="F61" i="15"/>
  <c r="E61" i="15"/>
  <c r="D61" i="15"/>
  <c r="D57" i="15" s="1"/>
  <c r="H60" i="15"/>
  <c r="H59" i="15"/>
  <c r="H58" i="15"/>
  <c r="G58" i="15"/>
  <c r="F58" i="15"/>
  <c r="E58" i="15"/>
  <c r="D58" i="15"/>
  <c r="G57" i="15"/>
  <c r="G55" i="15" s="1"/>
  <c r="F57" i="15"/>
  <c r="E57" i="15"/>
  <c r="E56" i="15"/>
  <c r="H56" i="15" s="1"/>
  <c r="F55" i="15"/>
  <c r="D55" i="15"/>
  <c r="H53" i="15"/>
  <c r="E53" i="15"/>
  <c r="D53" i="15"/>
  <c r="H52" i="15"/>
  <c r="G52" i="15"/>
  <c r="F52" i="15"/>
  <c r="E52" i="15"/>
  <c r="D52" i="15"/>
  <c r="H51" i="15"/>
  <c r="H50" i="15"/>
  <c r="G49" i="15"/>
  <c r="G47" i="15" s="1"/>
  <c r="G46" i="15" s="1"/>
  <c r="F49" i="15"/>
  <c r="E49" i="15"/>
  <c r="D49" i="15"/>
  <c r="H48" i="15"/>
  <c r="E48" i="15"/>
  <c r="E47" i="15" s="1"/>
  <c r="F47" i="15"/>
  <c r="D47" i="15"/>
  <c r="G45" i="15"/>
  <c r="F45" i="15"/>
  <c r="H45" i="15" s="1"/>
  <c r="E45" i="15"/>
  <c r="D45" i="15"/>
  <c r="H44" i="15"/>
  <c r="H43" i="15"/>
  <c r="G43" i="15"/>
  <c r="G42" i="15"/>
  <c r="F42" i="15"/>
  <c r="H42" i="15" s="1"/>
  <c r="E42" i="15"/>
  <c r="D42" i="15"/>
  <c r="H41" i="15"/>
  <c r="H40" i="15"/>
  <c r="G39" i="15"/>
  <c r="F39" i="15"/>
  <c r="E39" i="15"/>
  <c r="D39" i="15"/>
  <c r="H38" i="15"/>
  <c r="H36" i="15"/>
  <c r="G36" i="15"/>
  <c r="F36" i="15"/>
  <c r="E36" i="15"/>
  <c r="D36" i="15"/>
  <c r="H35" i="15"/>
  <c r="H34" i="15"/>
  <c r="G30" i="15"/>
  <c r="F30" i="15"/>
  <c r="H30" i="15" s="1"/>
  <c r="H29" i="15"/>
  <c r="G29" i="15"/>
  <c r="F29" i="15"/>
  <c r="E29" i="15"/>
  <c r="D29" i="15"/>
  <c r="H28" i="15"/>
  <c r="G28" i="15"/>
  <c r="F28" i="15"/>
  <c r="E28" i="15"/>
  <c r="E30" i="15" s="1"/>
  <c r="D28" i="15"/>
  <c r="G27" i="15"/>
  <c r="F27" i="15"/>
  <c r="E27" i="15"/>
  <c r="D27" i="15"/>
  <c r="H26" i="15"/>
  <c r="H25" i="15"/>
  <c r="G24" i="15"/>
  <c r="F24" i="15"/>
  <c r="E24" i="15"/>
  <c r="H24" i="15" s="1"/>
  <c r="D24" i="15"/>
  <c r="H23" i="15"/>
  <c r="H22" i="15"/>
  <c r="G21" i="15"/>
  <c r="F21" i="15"/>
  <c r="H20" i="15"/>
  <c r="G20" i="15"/>
  <c r="F20" i="15"/>
  <c r="E20" i="15"/>
  <c r="E14" i="15" s="1"/>
  <c r="D20" i="15"/>
  <c r="D14" i="15" s="1"/>
  <c r="G19" i="15"/>
  <c r="F19" i="15"/>
  <c r="E19" i="15"/>
  <c r="D19" i="15"/>
  <c r="G18" i="15"/>
  <c r="F18" i="15"/>
  <c r="H18" i="15" s="1"/>
  <c r="E18" i="15"/>
  <c r="H17" i="15"/>
  <c r="H16" i="15"/>
  <c r="D15" i="15"/>
  <c r="D12" i="15" s="1"/>
  <c r="H14" i="15"/>
  <c r="G14" i="15"/>
  <c r="F14" i="15"/>
  <c r="G13" i="15"/>
  <c r="F13" i="15"/>
  <c r="D13" i="15"/>
  <c r="F10" i="15"/>
  <c r="D10" i="15"/>
  <c r="G96" i="14"/>
  <c r="F96" i="14"/>
  <c r="E96" i="14"/>
  <c r="D96" i="14"/>
  <c r="H95" i="14"/>
  <c r="G94" i="14"/>
  <c r="F94" i="14"/>
  <c r="E94" i="14"/>
  <c r="D94" i="14"/>
  <c r="G93" i="14"/>
  <c r="E93" i="14"/>
  <c r="H93" i="14" s="1"/>
  <c r="G92" i="14"/>
  <c r="E92" i="14"/>
  <c r="H92" i="14" s="1"/>
  <c r="H91" i="14"/>
  <c r="G91" i="14"/>
  <c r="E91" i="14"/>
  <c r="H90" i="14"/>
  <c r="G90" i="14"/>
  <c r="E90" i="14"/>
  <c r="G89" i="14"/>
  <c r="G88" i="14" s="1"/>
  <c r="E89" i="14"/>
  <c r="F88" i="14"/>
  <c r="D88" i="14"/>
  <c r="H87" i="14"/>
  <c r="G83" i="14"/>
  <c r="F83" i="14"/>
  <c r="E83" i="14"/>
  <c r="D83" i="14"/>
  <c r="D73" i="14" s="1"/>
  <c r="H82" i="14"/>
  <c r="E81" i="14"/>
  <c r="D81" i="14"/>
  <c r="G76" i="14"/>
  <c r="F76" i="14"/>
  <c r="E76" i="14"/>
  <c r="E73" i="14" s="1"/>
  <c r="D76" i="14"/>
  <c r="E75" i="14"/>
  <c r="D75" i="14"/>
  <c r="D74" i="14" s="1"/>
  <c r="G74" i="14"/>
  <c r="E74" i="14"/>
  <c r="G72" i="14"/>
  <c r="F72" i="14"/>
  <c r="D72" i="14"/>
  <c r="D71" i="14" s="1"/>
  <c r="G68" i="14"/>
  <c r="F68" i="14"/>
  <c r="E68" i="14"/>
  <c r="D68" i="14"/>
  <c r="D67" i="14" s="1"/>
  <c r="H65" i="14"/>
  <c r="G64" i="14"/>
  <c r="F64" i="14"/>
  <c r="H64" i="14" s="1"/>
  <c r="E64" i="14"/>
  <c r="D64" i="14"/>
  <c r="H63" i="14"/>
  <c r="H62" i="14"/>
  <c r="G61" i="14"/>
  <c r="F61" i="14"/>
  <c r="E61" i="14"/>
  <c r="D61" i="14"/>
  <c r="H60" i="14"/>
  <c r="H59" i="14"/>
  <c r="G58" i="14"/>
  <c r="F58" i="14"/>
  <c r="H58" i="14" s="1"/>
  <c r="E58" i="14"/>
  <c r="D58" i="14"/>
  <c r="D57" i="14" s="1"/>
  <c r="D55" i="14" s="1"/>
  <c r="G57" i="14"/>
  <c r="G55" i="14" s="1"/>
  <c r="F57" i="14"/>
  <c r="E56" i="14"/>
  <c r="E53" i="14"/>
  <c r="H53" i="14" s="1"/>
  <c r="D53" i="14"/>
  <c r="D52" i="14" s="1"/>
  <c r="H52" i="14"/>
  <c r="G52" i="14"/>
  <c r="F52" i="14"/>
  <c r="E52" i="14"/>
  <c r="H51" i="14"/>
  <c r="H50" i="14"/>
  <c r="G49" i="14"/>
  <c r="G47" i="14" s="1"/>
  <c r="F49" i="14"/>
  <c r="E49" i="14"/>
  <c r="H49" i="14" s="1"/>
  <c r="D49" i="14"/>
  <c r="F47" i="14"/>
  <c r="H45" i="14"/>
  <c r="F45" i="14"/>
  <c r="E45" i="14"/>
  <c r="D45" i="14"/>
  <c r="H44" i="14"/>
  <c r="H43" i="14"/>
  <c r="G43" i="14"/>
  <c r="G45" i="14" s="1"/>
  <c r="H42" i="14"/>
  <c r="G42" i="14"/>
  <c r="F42" i="14"/>
  <c r="E42" i="14"/>
  <c r="D42" i="14"/>
  <c r="H41" i="14"/>
  <c r="H40" i="14"/>
  <c r="H39" i="14"/>
  <c r="G39" i="14"/>
  <c r="F39" i="14"/>
  <c r="E39" i="14"/>
  <c r="D39" i="14"/>
  <c r="H38" i="14"/>
  <c r="H37" i="14"/>
  <c r="G36" i="14"/>
  <c r="F36" i="14"/>
  <c r="H36" i="14" s="1"/>
  <c r="E36" i="14"/>
  <c r="D36" i="14"/>
  <c r="H35" i="14"/>
  <c r="H34" i="14"/>
  <c r="F30" i="14"/>
  <c r="H29" i="14"/>
  <c r="G29" i="14"/>
  <c r="F29" i="14"/>
  <c r="E29" i="14"/>
  <c r="D29" i="14"/>
  <c r="G28" i="14"/>
  <c r="G30" i="14" s="1"/>
  <c r="F28" i="14"/>
  <c r="H28" i="14" s="1"/>
  <c r="E28" i="14"/>
  <c r="E10" i="14" s="1"/>
  <c r="D28" i="14"/>
  <c r="D30" i="14" s="1"/>
  <c r="G27" i="14"/>
  <c r="F27" i="14"/>
  <c r="E27" i="14"/>
  <c r="D27" i="14"/>
  <c r="H24" i="14"/>
  <c r="G24" i="14"/>
  <c r="F24" i="14"/>
  <c r="E24" i="14"/>
  <c r="D24" i="14"/>
  <c r="H23" i="14"/>
  <c r="H22" i="14"/>
  <c r="F21" i="14"/>
  <c r="H21" i="14" s="1"/>
  <c r="E21" i="14"/>
  <c r="D21" i="14"/>
  <c r="G20" i="14"/>
  <c r="F20" i="14"/>
  <c r="E20" i="14"/>
  <c r="D20" i="14"/>
  <c r="H19" i="14"/>
  <c r="G19" i="14"/>
  <c r="G13" i="14" s="1"/>
  <c r="F19" i="14"/>
  <c r="F13" i="14" s="1"/>
  <c r="E19" i="14"/>
  <c r="D19" i="14"/>
  <c r="G18" i="14"/>
  <c r="F18" i="14"/>
  <c r="E18" i="14"/>
  <c r="H18" i="14" s="1"/>
  <c r="D18" i="14"/>
  <c r="H17" i="14"/>
  <c r="H16" i="14"/>
  <c r="G14" i="14"/>
  <c r="E14" i="14"/>
  <c r="E15" i="14" s="1"/>
  <c r="E12" i="14" s="1"/>
  <c r="D14" i="14"/>
  <c r="E13" i="14"/>
  <c r="D13" i="14"/>
  <c r="F10" i="14"/>
  <c r="H10" i="14" s="1"/>
  <c r="H98" i="13"/>
  <c r="H97" i="13"/>
  <c r="G96" i="13"/>
  <c r="F96" i="13"/>
  <c r="E96" i="13"/>
  <c r="D96" i="13"/>
  <c r="H95" i="13"/>
  <c r="H94" i="13"/>
  <c r="G94" i="13"/>
  <c r="F94" i="13"/>
  <c r="E94" i="13"/>
  <c r="D94" i="13"/>
  <c r="G93" i="13"/>
  <c r="H95" i="1" s="1"/>
  <c r="H88" i="1" s="1"/>
  <c r="E93" i="13"/>
  <c r="H93" i="13" s="1"/>
  <c r="H92" i="13"/>
  <c r="G92" i="13"/>
  <c r="E92" i="13"/>
  <c r="G91" i="13"/>
  <c r="E91" i="13"/>
  <c r="H91" i="13" s="1"/>
  <c r="G90" i="13"/>
  <c r="E90" i="13"/>
  <c r="H89" i="13"/>
  <c r="G89" i="13"/>
  <c r="E89" i="13"/>
  <c r="F88" i="13"/>
  <c r="D88" i="13"/>
  <c r="H87" i="13"/>
  <c r="G83" i="13"/>
  <c r="F83" i="13"/>
  <c r="H83" i="13" s="1"/>
  <c r="E83" i="13"/>
  <c r="E81" i="13" s="1"/>
  <c r="D83" i="13"/>
  <c r="D81" i="13" s="1"/>
  <c r="H82" i="13"/>
  <c r="G81" i="13"/>
  <c r="H77" i="13"/>
  <c r="H76" i="13"/>
  <c r="G76" i="13"/>
  <c r="G73" i="13" s="1"/>
  <c r="F76" i="13"/>
  <c r="E76" i="13"/>
  <c r="D76" i="13"/>
  <c r="D75" i="13"/>
  <c r="G74" i="13"/>
  <c r="F74" i="13"/>
  <c r="F73" i="13"/>
  <c r="H73" i="13" s="1"/>
  <c r="E73" i="13"/>
  <c r="D73" i="13"/>
  <c r="G72" i="13"/>
  <c r="F72" i="13"/>
  <c r="G71" i="13"/>
  <c r="G67" i="13" s="1"/>
  <c r="F71" i="13"/>
  <c r="H70" i="13"/>
  <c r="G68" i="13"/>
  <c r="F68" i="13"/>
  <c r="E68" i="13"/>
  <c r="D68" i="13"/>
  <c r="G64" i="13"/>
  <c r="F64" i="13"/>
  <c r="E64" i="13"/>
  <c r="D64" i="13"/>
  <c r="H63" i="13"/>
  <c r="H62" i="13"/>
  <c r="G61" i="13"/>
  <c r="F61" i="13"/>
  <c r="E61" i="13"/>
  <c r="D61" i="13"/>
  <c r="H60" i="13"/>
  <c r="H59" i="13"/>
  <c r="G58" i="13"/>
  <c r="F58" i="13"/>
  <c r="E58" i="13"/>
  <c r="D58" i="13"/>
  <c r="D57" i="13" s="1"/>
  <c r="D55" i="13" s="1"/>
  <c r="G57" i="13"/>
  <c r="G55" i="13"/>
  <c r="E53" i="13"/>
  <c r="E52" i="13" s="1"/>
  <c r="D53" i="13"/>
  <c r="D52" i="13" s="1"/>
  <c r="G52" i="13"/>
  <c r="F52" i="13"/>
  <c r="H51" i="13"/>
  <c r="H50" i="13"/>
  <c r="G49" i="13"/>
  <c r="G47" i="13" s="1"/>
  <c r="F49" i="13"/>
  <c r="F47" i="13" s="1"/>
  <c r="E49" i="13"/>
  <c r="D49" i="13"/>
  <c r="E48" i="13"/>
  <c r="H48" i="13" s="1"/>
  <c r="E47" i="13"/>
  <c r="D47" i="13"/>
  <c r="D46" i="13"/>
  <c r="F45" i="13"/>
  <c r="H45" i="13" s="1"/>
  <c r="E45" i="13"/>
  <c r="D45" i="13"/>
  <c r="H44" i="13"/>
  <c r="H43" i="13"/>
  <c r="G43" i="13"/>
  <c r="G42" i="13"/>
  <c r="F42" i="13"/>
  <c r="H42" i="13" s="1"/>
  <c r="E42" i="13"/>
  <c r="D42" i="13"/>
  <c r="H41" i="13"/>
  <c r="H40" i="13"/>
  <c r="H39" i="13"/>
  <c r="G39" i="13"/>
  <c r="F39" i="13"/>
  <c r="E39" i="13"/>
  <c r="D39" i="13"/>
  <c r="H38" i="13"/>
  <c r="H37" i="13"/>
  <c r="G36" i="13"/>
  <c r="F36" i="13"/>
  <c r="H36" i="13" s="1"/>
  <c r="E36" i="13"/>
  <c r="D36" i="13"/>
  <c r="H35" i="13"/>
  <c r="H34" i="13"/>
  <c r="E30" i="13"/>
  <c r="D30" i="13"/>
  <c r="H29" i="13"/>
  <c r="G29" i="13"/>
  <c r="F29" i="13"/>
  <c r="E29" i="13"/>
  <c r="D29" i="13"/>
  <c r="G28" i="13"/>
  <c r="F28" i="13"/>
  <c r="F30" i="13" s="1"/>
  <c r="H30" i="13" s="1"/>
  <c r="E28" i="13"/>
  <c r="D28" i="13"/>
  <c r="G27" i="13"/>
  <c r="F27" i="13"/>
  <c r="E27" i="13"/>
  <c r="D27" i="13"/>
  <c r="G24" i="13"/>
  <c r="F24" i="13"/>
  <c r="E24" i="13"/>
  <c r="D24" i="13"/>
  <c r="H23" i="13"/>
  <c r="H20" i="13"/>
  <c r="G20" i="13"/>
  <c r="F20" i="13"/>
  <c r="E20" i="13"/>
  <c r="D20" i="13"/>
  <c r="G19" i="13"/>
  <c r="F19" i="13"/>
  <c r="E19" i="13"/>
  <c r="E13" i="13" s="1"/>
  <c r="D19" i="13"/>
  <c r="D21" i="13" s="1"/>
  <c r="H17" i="13"/>
  <c r="H14" i="13"/>
  <c r="F14" i="13"/>
  <c r="E14" i="13"/>
  <c r="D14" i="13"/>
  <c r="G13" i="13"/>
  <c r="D13" i="13"/>
  <c r="G96" i="12"/>
  <c r="F96" i="12"/>
  <c r="E96" i="12"/>
  <c r="D96" i="12"/>
  <c r="G94" i="12"/>
  <c r="F94" i="12"/>
  <c r="E94" i="12"/>
  <c r="D94" i="12"/>
  <c r="H93" i="12"/>
  <c r="G93" i="12"/>
  <c r="E93" i="12"/>
  <c r="D93" i="12"/>
  <c r="G91" i="12"/>
  <c r="E91" i="12"/>
  <c r="H91" i="12" s="1"/>
  <c r="D91" i="12"/>
  <c r="H90" i="12"/>
  <c r="G90" i="12"/>
  <c r="E90" i="12"/>
  <c r="D90" i="12"/>
  <c r="D88" i="12" s="1"/>
  <c r="G89" i="12"/>
  <c r="G88" i="12" s="1"/>
  <c r="E89" i="12"/>
  <c r="F88" i="12"/>
  <c r="H87" i="12"/>
  <c r="H83" i="12"/>
  <c r="G83" i="12"/>
  <c r="G73" i="12" s="1"/>
  <c r="G71" i="12" s="1"/>
  <c r="G67" i="12" s="1"/>
  <c r="F83" i="12"/>
  <c r="E83" i="12"/>
  <c r="D83" i="12"/>
  <c r="H82" i="12"/>
  <c r="F81" i="12"/>
  <c r="H81" i="12" s="1"/>
  <c r="E81" i="12"/>
  <c r="D81" i="12"/>
  <c r="G76" i="12"/>
  <c r="F76" i="12"/>
  <c r="E76" i="12"/>
  <c r="D76" i="12"/>
  <c r="D73" i="12" s="1"/>
  <c r="D75" i="12"/>
  <c r="E75" i="12" s="1"/>
  <c r="G74" i="12"/>
  <c r="F74" i="12"/>
  <c r="D74" i="12"/>
  <c r="H73" i="12"/>
  <c r="F73" i="12"/>
  <c r="E73" i="12"/>
  <c r="G72" i="12"/>
  <c r="F72" i="12"/>
  <c r="D72" i="12"/>
  <c r="D71" i="12" s="1"/>
  <c r="D67" i="12" s="1"/>
  <c r="H70" i="12"/>
  <c r="E69" i="12"/>
  <c r="E68" i="12" s="1"/>
  <c r="H68" i="12"/>
  <c r="G68" i="12"/>
  <c r="F68" i="12"/>
  <c r="D68" i="12"/>
  <c r="G64" i="12"/>
  <c r="F64" i="12"/>
  <c r="E64" i="12"/>
  <c r="D64" i="12"/>
  <c r="H63" i="12"/>
  <c r="H62" i="12"/>
  <c r="H61" i="12"/>
  <c r="G61" i="12"/>
  <c r="F61" i="12"/>
  <c r="E61" i="12"/>
  <c r="D61" i="12"/>
  <c r="H60" i="12"/>
  <c r="H59" i="12"/>
  <c r="H58" i="12"/>
  <c r="G58" i="12"/>
  <c r="F58" i="12"/>
  <c r="E58" i="12"/>
  <c r="D58" i="12"/>
  <c r="G57" i="12"/>
  <c r="G55" i="12" s="1"/>
  <c r="G46" i="12" s="1"/>
  <c r="F57" i="12"/>
  <c r="E57" i="12"/>
  <c r="D57" i="12"/>
  <c r="H56" i="12"/>
  <c r="E56" i="12"/>
  <c r="E55" i="12"/>
  <c r="D55" i="12"/>
  <c r="H53" i="12"/>
  <c r="E53" i="12"/>
  <c r="D53" i="12"/>
  <c r="G52" i="12"/>
  <c r="F52" i="12"/>
  <c r="E52" i="12"/>
  <c r="D52" i="12"/>
  <c r="H50" i="12"/>
  <c r="H49" i="12"/>
  <c r="G49" i="12"/>
  <c r="F49" i="12"/>
  <c r="E49" i="12"/>
  <c r="D49" i="12"/>
  <c r="D47" i="12" s="1"/>
  <c r="E48" i="12"/>
  <c r="G47" i="12"/>
  <c r="F47" i="12"/>
  <c r="F45" i="12"/>
  <c r="E45" i="12"/>
  <c r="H45" i="12" s="1"/>
  <c r="D45" i="12"/>
  <c r="H44" i="12"/>
  <c r="H43" i="12"/>
  <c r="G43" i="12"/>
  <c r="G45" i="12" s="1"/>
  <c r="G42" i="12"/>
  <c r="F42" i="12"/>
  <c r="E42" i="12"/>
  <c r="H42" i="12" s="1"/>
  <c r="D42" i="12"/>
  <c r="H41" i="12"/>
  <c r="H40" i="12"/>
  <c r="H39" i="12"/>
  <c r="G39" i="12"/>
  <c r="F39" i="12"/>
  <c r="E39" i="12"/>
  <c r="D39" i="12"/>
  <c r="H38" i="12"/>
  <c r="H37" i="12"/>
  <c r="H36" i="12"/>
  <c r="G36" i="12"/>
  <c r="F36" i="12"/>
  <c r="E36" i="12"/>
  <c r="D36" i="12"/>
  <c r="H35" i="12"/>
  <c r="H34" i="12"/>
  <c r="G30" i="12"/>
  <c r="G29" i="12"/>
  <c r="F29" i="12"/>
  <c r="E29" i="12"/>
  <c r="E30" i="12" s="1"/>
  <c r="D29" i="12"/>
  <c r="H28" i="12"/>
  <c r="G28" i="12"/>
  <c r="F28" i="12"/>
  <c r="F30" i="12" s="1"/>
  <c r="H30" i="12" s="1"/>
  <c r="E28" i="12"/>
  <c r="D28" i="12"/>
  <c r="H26" i="12"/>
  <c r="H23" i="12"/>
  <c r="F21" i="12"/>
  <c r="G20" i="12"/>
  <c r="G21" i="12" s="1"/>
  <c r="F20" i="12"/>
  <c r="E20" i="12"/>
  <c r="E14" i="12" s="1"/>
  <c r="D20" i="12"/>
  <c r="D21" i="12" s="1"/>
  <c r="G19" i="12"/>
  <c r="F19" i="12"/>
  <c r="F13" i="12" s="1"/>
  <c r="F10" i="12" s="1"/>
  <c r="E19" i="12"/>
  <c r="D19" i="12"/>
  <c r="G18" i="12"/>
  <c r="F18" i="12"/>
  <c r="E18" i="12"/>
  <c r="D18" i="12"/>
  <c r="H17" i="12"/>
  <c r="F14" i="12"/>
  <c r="F15" i="12" s="1"/>
  <c r="G13" i="12"/>
  <c r="E13" i="12"/>
  <c r="D13" i="12"/>
  <c r="F12" i="12"/>
  <c r="G10" i="12"/>
  <c r="G9" i="12"/>
  <c r="G96" i="11"/>
  <c r="F96" i="11"/>
  <c r="E96" i="11"/>
  <c r="D96" i="11"/>
  <c r="H95" i="11"/>
  <c r="H94" i="11"/>
  <c r="G94" i="11"/>
  <c r="F94" i="11"/>
  <c r="E94" i="11"/>
  <c r="D94" i="11"/>
  <c r="G93" i="11"/>
  <c r="E93" i="11"/>
  <c r="H93" i="11" s="1"/>
  <c r="E92" i="11"/>
  <c r="H91" i="11"/>
  <c r="G91" i="11"/>
  <c r="E91" i="11"/>
  <c r="G90" i="11"/>
  <c r="E90" i="11"/>
  <c r="H90" i="11" s="1"/>
  <c r="G89" i="11"/>
  <c r="G88" i="11" s="1"/>
  <c r="E89" i="11"/>
  <c r="F88" i="11"/>
  <c r="D88" i="11"/>
  <c r="H87" i="11"/>
  <c r="H83" i="11"/>
  <c r="G83" i="11"/>
  <c r="G81" i="11" s="1"/>
  <c r="F83" i="11"/>
  <c r="E83" i="11"/>
  <c r="D83" i="11"/>
  <c r="D81" i="11" s="1"/>
  <c r="H82" i="11"/>
  <c r="H81" i="11"/>
  <c r="F81" i="11"/>
  <c r="E81" i="11"/>
  <c r="H77" i="11"/>
  <c r="G76" i="11"/>
  <c r="G73" i="11" s="1"/>
  <c r="F76" i="11"/>
  <c r="E76" i="11"/>
  <c r="E73" i="11" s="1"/>
  <c r="D76" i="11"/>
  <c r="D75" i="11"/>
  <c r="G74" i="11"/>
  <c r="D74" i="11"/>
  <c r="G72" i="11"/>
  <c r="F72" i="11"/>
  <c r="D72" i="11"/>
  <c r="H70" i="11"/>
  <c r="H68" i="11"/>
  <c r="G68" i="11"/>
  <c r="F68" i="11"/>
  <c r="E68" i="11"/>
  <c r="D68" i="11"/>
  <c r="G64" i="11"/>
  <c r="F64" i="11"/>
  <c r="E64" i="11"/>
  <c r="D64" i="11"/>
  <c r="H63" i="11"/>
  <c r="H62" i="11"/>
  <c r="H61" i="11"/>
  <c r="G61" i="11"/>
  <c r="F61" i="11"/>
  <c r="E61" i="11"/>
  <c r="D61" i="11"/>
  <c r="H60" i="11"/>
  <c r="H59" i="11"/>
  <c r="H58" i="11"/>
  <c r="G58" i="11"/>
  <c r="G57" i="11" s="1"/>
  <c r="G55" i="11" s="1"/>
  <c r="F58" i="11"/>
  <c r="E58" i="11"/>
  <c r="D58" i="11"/>
  <c r="F57" i="11"/>
  <c r="E57" i="11"/>
  <c r="E55" i="11" s="1"/>
  <c r="D57" i="11"/>
  <c r="D55" i="11" s="1"/>
  <c r="H56" i="11"/>
  <c r="E56" i="11"/>
  <c r="F55" i="11"/>
  <c r="H53" i="11"/>
  <c r="E53" i="11"/>
  <c r="D53" i="11"/>
  <c r="G52" i="11"/>
  <c r="F52" i="11"/>
  <c r="H52" i="11" s="1"/>
  <c r="E52" i="11"/>
  <c r="D52" i="11"/>
  <c r="H50" i="11"/>
  <c r="G49" i="11"/>
  <c r="F49" i="11"/>
  <c r="H49" i="11" s="1"/>
  <c r="E49" i="11"/>
  <c r="D49" i="11"/>
  <c r="G47" i="11"/>
  <c r="G46" i="11"/>
  <c r="G45" i="11"/>
  <c r="F45" i="11"/>
  <c r="H45" i="11" s="1"/>
  <c r="E45" i="11"/>
  <c r="D45" i="11"/>
  <c r="H44" i="11"/>
  <c r="H43" i="11"/>
  <c r="G43" i="11"/>
  <c r="G42" i="11"/>
  <c r="F42" i="11"/>
  <c r="H42" i="11" s="1"/>
  <c r="E42" i="11"/>
  <c r="H41" i="11"/>
  <c r="H40" i="11"/>
  <c r="H39" i="11"/>
  <c r="G39" i="11"/>
  <c r="F39" i="11"/>
  <c r="E39" i="11"/>
  <c r="D39" i="11"/>
  <c r="H38" i="11"/>
  <c r="H37" i="11"/>
  <c r="H36" i="11"/>
  <c r="G36" i="11"/>
  <c r="F36" i="11"/>
  <c r="E36" i="11"/>
  <c r="D36" i="11"/>
  <c r="H35" i="11"/>
  <c r="H34" i="11"/>
  <c r="G30" i="11"/>
  <c r="G29" i="11"/>
  <c r="F29" i="11"/>
  <c r="E29" i="11"/>
  <c r="D29" i="11"/>
  <c r="H28" i="11"/>
  <c r="G28" i="11"/>
  <c r="F28" i="11"/>
  <c r="E28" i="11"/>
  <c r="D28" i="11"/>
  <c r="G24" i="11"/>
  <c r="F24" i="11"/>
  <c r="H24" i="11" s="1"/>
  <c r="E24" i="11"/>
  <c r="H23" i="11"/>
  <c r="H22" i="11"/>
  <c r="E21" i="11"/>
  <c r="D21" i="11"/>
  <c r="H20" i="11"/>
  <c r="G20" i="11"/>
  <c r="F20" i="11"/>
  <c r="E20" i="11"/>
  <c r="E14" i="11" s="1"/>
  <c r="D20" i="11"/>
  <c r="D14" i="11" s="1"/>
  <c r="G19" i="11"/>
  <c r="F19" i="11"/>
  <c r="E19" i="11"/>
  <c r="E13" i="11" s="1"/>
  <c r="D19" i="11"/>
  <c r="G18" i="11"/>
  <c r="F18" i="11"/>
  <c r="E18" i="11"/>
  <c r="D18" i="11"/>
  <c r="H17" i="11"/>
  <c r="H16" i="11"/>
  <c r="H14" i="11"/>
  <c r="G14" i="11"/>
  <c r="F14" i="11"/>
  <c r="D13" i="11"/>
  <c r="E98" i="10"/>
  <c r="E96" i="10" s="1"/>
  <c r="H96" i="10" s="1"/>
  <c r="H97" i="10"/>
  <c r="G96" i="10"/>
  <c r="F96" i="10"/>
  <c r="D96" i="10"/>
  <c r="G94" i="10"/>
  <c r="F94" i="10"/>
  <c r="E94" i="10"/>
  <c r="D94" i="10"/>
  <c r="G93" i="10"/>
  <c r="E93" i="10"/>
  <c r="H93" i="10" s="1"/>
  <c r="D93" i="10"/>
  <c r="G91" i="10"/>
  <c r="E91" i="10"/>
  <c r="H91" i="10" s="1"/>
  <c r="D91" i="10"/>
  <c r="G90" i="10"/>
  <c r="E90" i="10"/>
  <c r="H90" i="10" s="1"/>
  <c r="D90" i="10"/>
  <c r="G89" i="10"/>
  <c r="G88" i="10" s="1"/>
  <c r="E89" i="10"/>
  <c r="D89" i="10"/>
  <c r="F88" i="10"/>
  <c r="H87" i="10"/>
  <c r="H83" i="10"/>
  <c r="G83" i="10"/>
  <c r="F83" i="10"/>
  <c r="E83" i="10"/>
  <c r="D83" i="10"/>
  <c r="D81" i="10" s="1"/>
  <c r="H82" i="10"/>
  <c r="G81" i="10"/>
  <c r="F81" i="10"/>
  <c r="H81" i="10" s="1"/>
  <c r="E81" i="10"/>
  <c r="G76" i="10"/>
  <c r="F76" i="10"/>
  <c r="E76" i="10"/>
  <c r="E73" i="10" s="1"/>
  <c r="D76" i="10"/>
  <c r="D73" i="10" s="1"/>
  <c r="D75" i="10"/>
  <c r="G74" i="10"/>
  <c r="F74" i="10"/>
  <c r="D74" i="10"/>
  <c r="H73" i="10"/>
  <c r="G73" i="10"/>
  <c r="F73" i="10"/>
  <c r="G72" i="10"/>
  <c r="F72" i="10"/>
  <c r="D72" i="10"/>
  <c r="D71" i="10" s="1"/>
  <c r="F68" i="10"/>
  <c r="E68" i="10"/>
  <c r="D68" i="10"/>
  <c r="F64" i="10"/>
  <c r="E64" i="10"/>
  <c r="D64" i="10"/>
  <c r="H63" i="10"/>
  <c r="H62" i="10"/>
  <c r="G61" i="10"/>
  <c r="F61" i="10"/>
  <c r="H61" i="10" s="1"/>
  <c r="E61" i="10"/>
  <c r="D61" i="10"/>
  <c r="H60" i="10"/>
  <c r="H59" i="10"/>
  <c r="G58" i="10"/>
  <c r="F58" i="10"/>
  <c r="H58" i="10" s="1"/>
  <c r="E58" i="10"/>
  <c r="E57" i="10" s="1"/>
  <c r="D58" i="10"/>
  <c r="G57" i="10"/>
  <c r="F57" i="10"/>
  <c r="E56" i="10"/>
  <c r="H56" i="10" s="1"/>
  <c r="G55" i="10"/>
  <c r="G46" i="10" s="1"/>
  <c r="F55" i="10"/>
  <c r="H53" i="10"/>
  <c r="E53" i="10"/>
  <c r="G52" i="10"/>
  <c r="F52" i="10"/>
  <c r="E52" i="10"/>
  <c r="D52" i="10"/>
  <c r="H50" i="10"/>
  <c r="G49" i="10"/>
  <c r="F49" i="10"/>
  <c r="E49" i="10"/>
  <c r="D49" i="10"/>
  <c r="E48" i="10"/>
  <c r="E47" i="10" s="1"/>
  <c r="G47" i="10"/>
  <c r="D47" i="10"/>
  <c r="G45" i="10"/>
  <c r="F45" i="10"/>
  <c r="E45" i="10"/>
  <c r="D45" i="10"/>
  <c r="H44" i="10"/>
  <c r="H43" i="10"/>
  <c r="G43" i="10"/>
  <c r="G42" i="10"/>
  <c r="F42" i="10"/>
  <c r="E42" i="10"/>
  <c r="H41" i="10"/>
  <c r="H40" i="10"/>
  <c r="G39" i="10"/>
  <c r="F39" i="10"/>
  <c r="H39" i="10" s="1"/>
  <c r="E39" i="10"/>
  <c r="D39" i="10"/>
  <c r="H38" i="10"/>
  <c r="H37" i="10"/>
  <c r="H36" i="10"/>
  <c r="G36" i="10"/>
  <c r="F36" i="10"/>
  <c r="E36" i="10"/>
  <c r="D36" i="10"/>
  <c r="H35" i="10"/>
  <c r="H34" i="10"/>
  <c r="G30" i="10"/>
  <c r="G29" i="10"/>
  <c r="F29" i="10"/>
  <c r="H29" i="10" s="1"/>
  <c r="E29" i="10"/>
  <c r="D29" i="10"/>
  <c r="G28" i="10"/>
  <c r="F28" i="10"/>
  <c r="E28" i="10"/>
  <c r="E30" i="10" s="1"/>
  <c r="D28" i="10"/>
  <c r="D30" i="10" s="1"/>
  <c r="H23" i="10"/>
  <c r="H22" i="10"/>
  <c r="G20" i="10"/>
  <c r="G14" i="10" s="1"/>
  <c r="F20" i="10"/>
  <c r="E20" i="10"/>
  <c r="H20" i="10" s="1"/>
  <c r="D20" i="10"/>
  <c r="G19" i="10"/>
  <c r="G21" i="10" s="1"/>
  <c r="F19" i="10"/>
  <c r="F21" i="10" s="1"/>
  <c r="E19" i="10"/>
  <c r="D19" i="10"/>
  <c r="H18" i="10"/>
  <c r="G18" i="10"/>
  <c r="F18" i="10"/>
  <c r="E18" i="10"/>
  <c r="D18" i="10"/>
  <c r="H17" i="10"/>
  <c r="H16" i="10"/>
  <c r="F14" i="10"/>
  <c r="D14" i="10"/>
  <c r="E98" i="9"/>
  <c r="H98" i="9" s="1"/>
  <c r="G96" i="9"/>
  <c r="F96" i="9"/>
  <c r="E96" i="9"/>
  <c r="D96" i="9"/>
  <c r="G94" i="9"/>
  <c r="F94" i="9"/>
  <c r="E94" i="9"/>
  <c r="D94" i="9"/>
  <c r="G93" i="9"/>
  <c r="E93" i="9"/>
  <c r="H93" i="9" s="1"/>
  <c r="H91" i="9"/>
  <c r="G91" i="9"/>
  <c r="E91" i="9"/>
  <c r="G90" i="9"/>
  <c r="E90" i="9"/>
  <c r="H90" i="9" s="1"/>
  <c r="G89" i="9"/>
  <c r="G88" i="9" s="1"/>
  <c r="E89" i="9"/>
  <c r="E88" i="9" s="1"/>
  <c r="F88" i="9"/>
  <c r="D88" i="9"/>
  <c r="H87" i="9"/>
  <c r="H83" i="9"/>
  <c r="G83" i="9"/>
  <c r="F83" i="9"/>
  <c r="E83" i="9"/>
  <c r="D83" i="9"/>
  <c r="D81" i="9" s="1"/>
  <c r="H82" i="9"/>
  <c r="F81" i="9"/>
  <c r="E81" i="9"/>
  <c r="H81" i="9" s="1"/>
  <c r="G76" i="9"/>
  <c r="F76" i="9"/>
  <c r="E76" i="9"/>
  <c r="E73" i="9" s="1"/>
  <c r="H73" i="9" s="1"/>
  <c r="D76" i="9"/>
  <c r="D73" i="9" s="1"/>
  <c r="E75" i="9"/>
  <c r="E74" i="9" s="1"/>
  <c r="D75" i="9"/>
  <c r="G74" i="9"/>
  <c r="F74" i="9"/>
  <c r="H74" i="9" s="1"/>
  <c r="D74" i="9"/>
  <c r="F73" i="9"/>
  <c r="G72" i="9"/>
  <c r="F72" i="9"/>
  <c r="E72" i="9"/>
  <c r="E71" i="9" s="1"/>
  <c r="D72" i="9"/>
  <c r="D71" i="9" s="1"/>
  <c r="G68" i="9"/>
  <c r="F68" i="9"/>
  <c r="E68" i="9"/>
  <c r="D68" i="9"/>
  <c r="G64" i="9"/>
  <c r="F64" i="9"/>
  <c r="E64" i="9"/>
  <c r="D64" i="9"/>
  <c r="H63" i="9"/>
  <c r="H62" i="9"/>
  <c r="G61" i="9"/>
  <c r="F61" i="9"/>
  <c r="E61" i="9"/>
  <c r="D61" i="9"/>
  <c r="H60" i="9"/>
  <c r="H59" i="9"/>
  <c r="G58" i="9"/>
  <c r="F58" i="9"/>
  <c r="E58" i="9"/>
  <c r="D58" i="9"/>
  <c r="D57" i="9"/>
  <c r="D55" i="9" s="1"/>
  <c r="E56" i="9"/>
  <c r="H53" i="9"/>
  <c r="E53" i="9"/>
  <c r="E52" i="9" s="1"/>
  <c r="G52" i="9"/>
  <c r="F52" i="9"/>
  <c r="H52" i="9" s="1"/>
  <c r="D52" i="9"/>
  <c r="H50" i="9"/>
  <c r="D50" i="9"/>
  <c r="D49" i="9" s="1"/>
  <c r="E48" i="9" s="1"/>
  <c r="H48" i="9" s="1"/>
  <c r="G49" i="9"/>
  <c r="F49" i="9"/>
  <c r="E49" i="9"/>
  <c r="E47" i="9" s="1"/>
  <c r="G47" i="9"/>
  <c r="D47" i="9"/>
  <c r="D46" i="9"/>
  <c r="H45" i="9"/>
  <c r="F45" i="9"/>
  <c r="E45" i="9"/>
  <c r="D45" i="9"/>
  <c r="H44" i="9"/>
  <c r="H43" i="9"/>
  <c r="G43" i="9"/>
  <c r="G45" i="9" s="1"/>
  <c r="G42" i="9"/>
  <c r="F42" i="9"/>
  <c r="E42" i="9"/>
  <c r="H41" i="9"/>
  <c r="G39" i="9"/>
  <c r="F39" i="9"/>
  <c r="H39" i="9" s="1"/>
  <c r="E39" i="9"/>
  <c r="D39" i="9"/>
  <c r="H38" i="9"/>
  <c r="H37" i="9"/>
  <c r="G36" i="9"/>
  <c r="F36" i="9"/>
  <c r="H36" i="9" s="1"/>
  <c r="E36" i="9"/>
  <c r="D36" i="9"/>
  <c r="H35" i="9"/>
  <c r="H34" i="9"/>
  <c r="H29" i="9"/>
  <c r="G29" i="9"/>
  <c r="F29" i="9"/>
  <c r="E29" i="9"/>
  <c r="G28" i="9"/>
  <c r="F28" i="9"/>
  <c r="E28" i="9"/>
  <c r="D28" i="9"/>
  <c r="D30" i="9" s="1"/>
  <c r="H26" i="9"/>
  <c r="H24" i="9"/>
  <c r="G24" i="9"/>
  <c r="F24" i="9"/>
  <c r="E24" i="9"/>
  <c r="D24" i="9"/>
  <c r="H23" i="9"/>
  <c r="H22" i="9"/>
  <c r="F21" i="9"/>
  <c r="G20" i="9"/>
  <c r="G14" i="9" s="1"/>
  <c r="F20" i="9"/>
  <c r="E20" i="9"/>
  <c r="D20" i="9"/>
  <c r="D14" i="9" s="1"/>
  <c r="H19" i="9"/>
  <c r="G19" i="9"/>
  <c r="F19" i="9"/>
  <c r="E19" i="9"/>
  <c r="D19" i="9"/>
  <c r="G18" i="9"/>
  <c r="F18" i="9"/>
  <c r="E18" i="9"/>
  <c r="D18" i="9"/>
  <c r="H17" i="9"/>
  <c r="H16" i="9"/>
  <c r="E14" i="9"/>
  <c r="G13" i="9"/>
  <c r="G15" i="9" s="1"/>
  <c r="G12" i="9" s="1"/>
  <c r="F13" i="9"/>
  <c r="E13" i="9"/>
  <c r="E15" i="9" s="1"/>
  <c r="E12" i="9" s="1"/>
  <c r="G10" i="9"/>
  <c r="F10" i="9"/>
  <c r="H98" i="8"/>
  <c r="G96" i="8"/>
  <c r="F96" i="8"/>
  <c r="E96" i="8"/>
  <c r="H96" i="8" s="1"/>
  <c r="D96" i="8"/>
  <c r="G94" i="8"/>
  <c r="F94" i="8"/>
  <c r="E94" i="8"/>
  <c r="D94" i="8"/>
  <c r="G93" i="8"/>
  <c r="E93" i="8"/>
  <c r="H93" i="8" s="1"/>
  <c r="D93" i="8"/>
  <c r="H91" i="8"/>
  <c r="G91" i="8"/>
  <c r="E91" i="8"/>
  <c r="D91" i="8"/>
  <c r="G90" i="8"/>
  <c r="E90" i="8"/>
  <c r="H90" i="8" s="1"/>
  <c r="D90" i="8"/>
  <c r="H89" i="8"/>
  <c r="G89" i="8"/>
  <c r="E89" i="8"/>
  <c r="D89" i="8"/>
  <c r="F88" i="8"/>
  <c r="H87" i="8"/>
  <c r="G83" i="8"/>
  <c r="F83" i="8"/>
  <c r="H83" i="8" s="1"/>
  <c r="E83" i="8"/>
  <c r="D83" i="8"/>
  <c r="D81" i="8" s="1"/>
  <c r="E82" i="8"/>
  <c r="E81" i="8" s="1"/>
  <c r="G81" i="8"/>
  <c r="F76" i="8"/>
  <c r="E76" i="8"/>
  <c r="E73" i="8" s="1"/>
  <c r="D76" i="8"/>
  <c r="D75" i="8"/>
  <c r="G74" i="8"/>
  <c r="D74" i="8"/>
  <c r="G73" i="8"/>
  <c r="G72" i="8"/>
  <c r="G71" i="8" s="1"/>
  <c r="F72" i="8"/>
  <c r="D72" i="8"/>
  <c r="E69" i="8"/>
  <c r="E68" i="8" s="1"/>
  <c r="G68" i="8"/>
  <c r="F68" i="8"/>
  <c r="H68" i="8" s="1"/>
  <c r="D68" i="8"/>
  <c r="G67" i="8"/>
  <c r="G64" i="8"/>
  <c r="F64" i="8"/>
  <c r="E64" i="8"/>
  <c r="D64" i="8"/>
  <c r="H63" i="8"/>
  <c r="H62" i="8"/>
  <c r="G61" i="8"/>
  <c r="F61" i="8"/>
  <c r="H61" i="8" s="1"/>
  <c r="E61" i="8"/>
  <c r="D61" i="8"/>
  <c r="D57" i="8" s="1"/>
  <c r="H60" i="8"/>
  <c r="H59" i="8"/>
  <c r="H58" i="8"/>
  <c r="G58" i="8"/>
  <c r="F58" i="8"/>
  <c r="E58" i="8"/>
  <c r="D58" i="8"/>
  <c r="G57" i="8"/>
  <c r="F57" i="8"/>
  <c r="F55" i="8" s="1"/>
  <c r="E57" i="8"/>
  <c r="E55" i="8" s="1"/>
  <c r="E56" i="8"/>
  <c r="H56" i="8" s="1"/>
  <c r="G55" i="8"/>
  <c r="D55" i="8"/>
  <c r="E53" i="8"/>
  <c r="H53" i="8" s="1"/>
  <c r="D53" i="8"/>
  <c r="G52" i="8"/>
  <c r="F52" i="8"/>
  <c r="E52" i="8"/>
  <c r="D52" i="8"/>
  <c r="H50" i="8"/>
  <c r="G49" i="8"/>
  <c r="G47" i="8" s="1"/>
  <c r="G46" i="8" s="1"/>
  <c r="F49" i="8"/>
  <c r="E49" i="8"/>
  <c r="H49" i="8" s="1"/>
  <c r="D49" i="8"/>
  <c r="D47" i="8" s="1"/>
  <c r="D46" i="8" s="1"/>
  <c r="E48" i="8"/>
  <c r="F47" i="8"/>
  <c r="F45" i="8"/>
  <c r="E45" i="8"/>
  <c r="D45" i="8"/>
  <c r="H44" i="8"/>
  <c r="H43" i="8"/>
  <c r="G43" i="8"/>
  <c r="G45" i="8" s="1"/>
  <c r="G42" i="8"/>
  <c r="F42" i="8"/>
  <c r="E42" i="8"/>
  <c r="H41" i="8"/>
  <c r="H39" i="8"/>
  <c r="G39" i="8"/>
  <c r="F39" i="8"/>
  <c r="E39" i="8"/>
  <c r="D39" i="8"/>
  <c r="H38" i="8"/>
  <c r="H37" i="8"/>
  <c r="H36" i="8"/>
  <c r="G36" i="8"/>
  <c r="G30" i="8" s="1"/>
  <c r="G29" i="8" s="1"/>
  <c r="F36" i="8"/>
  <c r="E36" i="8"/>
  <c r="D36" i="8"/>
  <c r="H35" i="8"/>
  <c r="H34" i="8"/>
  <c r="F30" i="8"/>
  <c r="H30" i="8" s="1"/>
  <c r="E30" i="8"/>
  <c r="E29" i="8" s="1"/>
  <c r="H29" i="8" s="1"/>
  <c r="D30" i="8"/>
  <c r="D29" i="8"/>
  <c r="G28" i="8"/>
  <c r="F28" i="8"/>
  <c r="E28" i="8"/>
  <c r="D28" i="8"/>
  <c r="E27" i="8"/>
  <c r="D27" i="8"/>
  <c r="G24" i="8"/>
  <c r="F24" i="8"/>
  <c r="H24" i="8" s="1"/>
  <c r="E24" i="8"/>
  <c r="E21" i="8" s="1"/>
  <c r="D24" i="8"/>
  <c r="H23" i="8"/>
  <c r="H22" i="8"/>
  <c r="G21" i="8"/>
  <c r="D21" i="8"/>
  <c r="D15" i="8" s="1"/>
  <c r="D12" i="8" s="1"/>
  <c r="D11" i="8" s="1"/>
  <c r="G19" i="8"/>
  <c r="F19" i="8"/>
  <c r="E19" i="8"/>
  <c r="D19" i="8"/>
  <c r="D13" i="8" s="1"/>
  <c r="D10" i="8" s="1"/>
  <c r="H18" i="8"/>
  <c r="G18" i="8"/>
  <c r="G15" i="8" s="1"/>
  <c r="F18" i="8"/>
  <c r="E18" i="8"/>
  <c r="D18" i="8"/>
  <c r="H17" i="8"/>
  <c r="H16" i="8"/>
  <c r="G13" i="8"/>
  <c r="F13" i="8"/>
  <c r="G10" i="8"/>
  <c r="F10" i="8"/>
  <c r="G96" i="7"/>
  <c r="F96" i="7"/>
  <c r="E96" i="7"/>
  <c r="D96" i="7"/>
  <c r="G94" i="7"/>
  <c r="F94" i="7"/>
  <c r="E94" i="7"/>
  <c r="D94" i="7"/>
  <c r="H93" i="7"/>
  <c r="G93" i="7"/>
  <c r="E93" i="7"/>
  <c r="G91" i="7"/>
  <c r="E91" i="7"/>
  <c r="H91" i="7" s="1"/>
  <c r="D91" i="7"/>
  <c r="D88" i="7" s="1"/>
  <c r="H90" i="7"/>
  <c r="G90" i="7"/>
  <c r="E90" i="7"/>
  <c r="D90" i="7"/>
  <c r="G89" i="7"/>
  <c r="E89" i="7"/>
  <c r="F88" i="7"/>
  <c r="H87" i="7"/>
  <c r="G83" i="7"/>
  <c r="G81" i="7" s="1"/>
  <c r="F83" i="7"/>
  <c r="F81" i="7" s="1"/>
  <c r="E83" i="7"/>
  <c r="D83" i="7"/>
  <c r="H82" i="7"/>
  <c r="D81" i="7"/>
  <c r="G76" i="7"/>
  <c r="G74" i="7" s="1"/>
  <c r="F76" i="7"/>
  <c r="E76" i="7"/>
  <c r="D76" i="7"/>
  <c r="D75" i="7"/>
  <c r="D74" i="7" s="1"/>
  <c r="F74" i="7"/>
  <c r="G73" i="7"/>
  <c r="F73" i="7"/>
  <c r="D73" i="7"/>
  <c r="G72" i="7"/>
  <c r="F72" i="7"/>
  <c r="D72" i="7"/>
  <c r="D71" i="7" s="1"/>
  <c r="G71" i="7"/>
  <c r="G67" i="7" s="1"/>
  <c r="G68" i="7"/>
  <c r="F68" i="7"/>
  <c r="E68" i="7"/>
  <c r="D68" i="7"/>
  <c r="G64" i="7"/>
  <c r="F64" i="7"/>
  <c r="E64" i="7"/>
  <c r="D64" i="7"/>
  <c r="H63" i="7"/>
  <c r="H62" i="7"/>
  <c r="G61" i="7"/>
  <c r="F61" i="7"/>
  <c r="E61" i="7"/>
  <c r="E57" i="7" s="1"/>
  <c r="E55" i="7" s="1"/>
  <c r="D61" i="7"/>
  <c r="H60" i="7"/>
  <c r="H59" i="7"/>
  <c r="H58" i="7"/>
  <c r="G58" i="7"/>
  <c r="F58" i="7"/>
  <c r="E58" i="7"/>
  <c r="D58" i="7"/>
  <c r="H57" i="7"/>
  <c r="G57" i="7"/>
  <c r="F57" i="7"/>
  <c r="E56" i="7"/>
  <c r="H56" i="7" s="1"/>
  <c r="G55" i="7"/>
  <c r="G46" i="7" s="1"/>
  <c r="F55" i="7"/>
  <c r="E53" i="7"/>
  <c r="H53" i="7" s="1"/>
  <c r="D53" i="7"/>
  <c r="G52" i="7"/>
  <c r="F52" i="7"/>
  <c r="E52" i="7"/>
  <c r="H52" i="7" s="1"/>
  <c r="D52" i="7"/>
  <c r="H50" i="7"/>
  <c r="G49" i="7"/>
  <c r="F49" i="7"/>
  <c r="E49" i="7"/>
  <c r="D49" i="7"/>
  <c r="E48" i="7" s="1"/>
  <c r="H48" i="7" s="1"/>
  <c r="G47" i="7"/>
  <c r="E47" i="7"/>
  <c r="D47" i="7"/>
  <c r="G45" i="7"/>
  <c r="F45" i="7"/>
  <c r="H45" i="7" s="1"/>
  <c r="E45" i="7"/>
  <c r="D45" i="7"/>
  <c r="H44" i="7"/>
  <c r="H43" i="7"/>
  <c r="G43" i="7"/>
  <c r="G42" i="7"/>
  <c r="F42" i="7"/>
  <c r="E42" i="7"/>
  <c r="H41" i="7"/>
  <c r="H39" i="7"/>
  <c r="G39" i="7"/>
  <c r="F39" i="7"/>
  <c r="E39" i="7"/>
  <c r="H38" i="7"/>
  <c r="H37" i="7"/>
  <c r="G36" i="7"/>
  <c r="F36" i="7"/>
  <c r="H36" i="7" s="1"/>
  <c r="E36" i="7"/>
  <c r="D36" i="7"/>
  <c r="H35" i="7"/>
  <c r="H34" i="7"/>
  <c r="G30" i="7"/>
  <c r="E30" i="7"/>
  <c r="E29" i="7" s="1"/>
  <c r="D30" i="7"/>
  <c r="D29" i="7" s="1"/>
  <c r="G28" i="7"/>
  <c r="G10" i="7" s="1"/>
  <c r="F28" i="7"/>
  <c r="H28" i="7" s="1"/>
  <c r="E28" i="7"/>
  <c r="D28" i="7"/>
  <c r="G27" i="7"/>
  <c r="F27" i="7"/>
  <c r="E27" i="7"/>
  <c r="D27" i="7"/>
  <c r="H24" i="7"/>
  <c r="G24" i="7"/>
  <c r="G21" i="7" s="1"/>
  <c r="G15" i="7" s="1"/>
  <c r="F24" i="7"/>
  <c r="E24" i="7"/>
  <c r="D24" i="7"/>
  <c r="H23" i="7"/>
  <c r="H22" i="7"/>
  <c r="F21" i="7"/>
  <c r="E21" i="7"/>
  <c r="D21" i="7"/>
  <c r="D15" i="7" s="1"/>
  <c r="D12" i="7" s="1"/>
  <c r="G19" i="7"/>
  <c r="F19" i="7"/>
  <c r="E19" i="7"/>
  <c r="E13" i="7" s="1"/>
  <c r="D19" i="7"/>
  <c r="D13" i="7" s="1"/>
  <c r="D10" i="7" s="1"/>
  <c r="H18" i="7"/>
  <c r="G18" i="7"/>
  <c r="F18" i="7"/>
  <c r="E18" i="7"/>
  <c r="D18" i="7"/>
  <c r="H17" i="7"/>
  <c r="H16" i="7"/>
  <c r="G13" i="7"/>
  <c r="D11" i="7"/>
  <c r="E98" i="6"/>
  <c r="H98" i="6" s="1"/>
  <c r="G96" i="6"/>
  <c r="F96" i="6"/>
  <c r="E96" i="6"/>
  <c r="D96" i="6"/>
  <c r="G94" i="6"/>
  <c r="F94" i="6"/>
  <c r="E94" i="6"/>
  <c r="D94" i="6"/>
  <c r="G93" i="6"/>
  <c r="E93" i="6"/>
  <c r="H93" i="6" s="1"/>
  <c r="H91" i="6"/>
  <c r="G91" i="6"/>
  <c r="E91" i="6"/>
  <c r="G90" i="6"/>
  <c r="E90" i="6"/>
  <c r="H90" i="6" s="1"/>
  <c r="G89" i="6"/>
  <c r="G88" i="6" s="1"/>
  <c r="E89" i="6"/>
  <c r="F88" i="6"/>
  <c r="D88" i="6"/>
  <c r="H87" i="6"/>
  <c r="H83" i="6"/>
  <c r="G83" i="6"/>
  <c r="F83" i="6"/>
  <c r="E83" i="6"/>
  <c r="D83" i="6"/>
  <c r="F81" i="6"/>
  <c r="E81" i="6"/>
  <c r="D81" i="6"/>
  <c r="D80" i="6"/>
  <c r="G76" i="6"/>
  <c r="F76" i="6"/>
  <c r="E76" i="6"/>
  <c r="D76" i="6"/>
  <c r="D73" i="6" s="1"/>
  <c r="D75" i="6"/>
  <c r="D75" i="1" s="1"/>
  <c r="G74" i="6"/>
  <c r="F74" i="6"/>
  <c r="F73" i="6"/>
  <c r="H73" i="6" s="1"/>
  <c r="E73" i="6"/>
  <c r="G72" i="6"/>
  <c r="F72" i="6"/>
  <c r="E70" i="6"/>
  <c r="E68" i="6" s="1"/>
  <c r="H68" i="6"/>
  <c r="G68" i="6"/>
  <c r="F68" i="6"/>
  <c r="D68" i="6"/>
  <c r="G64" i="6"/>
  <c r="F64" i="6"/>
  <c r="E64" i="6"/>
  <c r="D64" i="6"/>
  <c r="H63" i="6"/>
  <c r="H62" i="6"/>
  <c r="G61" i="6"/>
  <c r="F61" i="6"/>
  <c r="H61" i="6" s="1"/>
  <c r="E61" i="6"/>
  <c r="D61" i="6"/>
  <c r="H60" i="6"/>
  <c r="H59" i="6"/>
  <c r="G58" i="6"/>
  <c r="G57" i="6" s="1"/>
  <c r="F58" i="6"/>
  <c r="F57" i="6" s="1"/>
  <c r="F55" i="6" s="1"/>
  <c r="E58" i="6"/>
  <c r="E57" i="6" s="1"/>
  <c r="D58" i="6"/>
  <c r="H57" i="6"/>
  <c r="E56" i="6"/>
  <c r="H56" i="6" s="1"/>
  <c r="G55" i="6"/>
  <c r="E53" i="6"/>
  <c r="E52" i="6" s="1"/>
  <c r="H52" i="6" s="1"/>
  <c r="D53" i="6"/>
  <c r="D52" i="6" s="1"/>
  <c r="G52" i="6"/>
  <c r="F52" i="6"/>
  <c r="H50" i="6"/>
  <c r="G49" i="6"/>
  <c r="G47" i="6" s="1"/>
  <c r="F49" i="6"/>
  <c r="E49" i="6"/>
  <c r="E47" i="6" s="1"/>
  <c r="D49" i="6"/>
  <c r="E48" i="6"/>
  <c r="H48" i="6" s="1"/>
  <c r="D47" i="6"/>
  <c r="G45" i="6"/>
  <c r="F45" i="6"/>
  <c r="H45" i="6" s="1"/>
  <c r="E45" i="6"/>
  <c r="D45" i="6"/>
  <c r="H44" i="6"/>
  <c r="H43" i="6"/>
  <c r="G43" i="6"/>
  <c r="G42" i="6"/>
  <c r="F42" i="6"/>
  <c r="E42" i="6"/>
  <c r="H41" i="6"/>
  <c r="G39" i="6"/>
  <c r="F39" i="6"/>
  <c r="H39" i="6" s="1"/>
  <c r="E39" i="6"/>
  <c r="H38" i="6"/>
  <c r="H37" i="6"/>
  <c r="H36" i="6"/>
  <c r="G36" i="6"/>
  <c r="F36" i="6"/>
  <c r="E36" i="6"/>
  <c r="E30" i="6" s="1"/>
  <c r="D36" i="6"/>
  <c r="D30" i="6" s="1"/>
  <c r="D29" i="6" s="1"/>
  <c r="H35" i="6"/>
  <c r="H34" i="6"/>
  <c r="G30" i="6"/>
  <c r="F30" i="6"/>
  <c r="H28" i="6"/>
  <c r="G28" i="6"/>
  <c r="F28" i="6"/>
  <c r="E28" i="6"/>
  <c r="D28" i="6"/>
  <c r="G27" i="6"/>
  <c r="F27" i="6"/>
  <c r="E27" i="6"/>
  <c r="D27" i="6"/>
  <c r="H26" i="6"/>
  <c r="H25" i="6"/>
  <c r="G24" i="6"/>
  <c r="G21" i="6" s="1"/>
  <c r="F24" i="6"/>
  <c r="H24" i="6" s="1"/>
  <c r="E24" i="6"/>
  <c r="E21" i="6" s="1"/>
  <c r="E15" i="6" s="1"/>
  <c r="D24" i="6"/>
  <c r="H23" i="6"/>
  <c r="H22" i="6"/>
  <c r="E20" i="6"/>
  <c r="H20" i="6" s="1"/>
  <c r="G19" i="6"/>
  <c r="F19" i="6"/>
  <c r="H19" i="6" s="1"/>
  <c r="E19" i="6"/>
  <c r="E13" i="6" s="1"/>
  <c r="D19" i="6"/>
  <c r="D13" i="6" s="1"/>
  <c r="G18" i="6"/>
  <c r="F18" i="6"/>
  <c r="E18" i="6"/>
  <c r="D18" i="6"/>
  <c r="H17" i="6"/>
  <c r="H16" i="6"/>
  <c r="G13" i="6"/>
  <c r="F13" i="6"/>
  <c r="E10" i="6"/>
  <c r="H97" i="5"/>
  <c r="G96" i="5"/>
  <c r="F96" i="5"/>
  <c r="E96" i="5"/>
  <c r="H96" i="5" s="1"/>
  <c r="D96" i="5"/>
  <c r="G94" i="5"/>
  <c r="F94" i="5"/>
  <c r="E94" i="5"/>
  <c r="D94" i="5"/>
  <c r="G93" i="5"/>
  <c r="E93" i="5"/>
  <c r="H93" i="5" s="1"/>
  <c r="G91" i="5"/>
  <c r="E91" i="5"/>
  <c r="H91" i="5" s="1"/>
  <c r="D91" i="5"/>
  <c r="D88" i="5" s="1"/>
  <c r="H90" i="5"/>
  <c r="G90" i="5"/>
  <c r="E90" i="5"/>
  <c r="D90" i="5"/>
  <c r="G89" i="5"/>
  <c r="G88" i="5" s="1"/>
  <c r="E89" i="5"/>
  <c r="F88" i="5"/>
  <c r="H87" i="5"/>
  <c r="G83" i="5"/>
  <c r="G81" i="5" s="1"/>
  <c r="F83" i="5"/>
  <c r="E83" i="5"/>
  <c r="D83" i="5"/>
  <c r="H82" i="5"/>
  <c r="E81" i="5"/>
  <c r="D81" i="5"/>
  <c r="H77" i="5"/>
  <c r="G76" i="5"/>
  <c r="F76" i="5"/>
  <c r="F73" i="5" s="1"/>
  <c r="E76" i="5"/>
  <c r="E73" i="5" s="1"/>
  <c r="D76" i="5"/>
  <c r="D73" i="5" s="1"/>
  <c r="E75" i="5"/>
  <c r="E74" i="5" s="1"/>
  <c r="D75" i="5"/>
  <c r="G74" i="5"/>
  <c r="F74" i="5"/>
  <c r="D74" i="5"/>
  <c r="H73" i="5"/>
  <c r="G73" i="5"/>
  <c r="G72" i="5"/>
  <c r="F72" i="5"/>
  <c r="D72" i="5"/>
  <c r="H70" i="5"/>
  <c r="E69" i="5"/>
  <c r="E68" i="5" s="1"/>
  <c r="D69" i="5"/>
  <c r="G68" i="5"/>
  <c r="F68" i="5"/>
  <c r="D68" i="5"/>
  <c r="H65" i="5"/>
  <c r="G64" i="5"/>
  <c r="F64" i="5"/>
  <c r="H64" i="5" s="1"/>
  <c r="E64" i="5"/>
  <c r="D64" i="5"/>
  <c r="H63" i="5"/>
  <c r="H62" i="5"/>
  <c r="G61" i="5"/>
  <c r="F61" i="5"/>
  <c r="E61" i="5"/>
  <c r="D61" i="5"/>
  <c r="H60" i="5"/>
  <c r="H59" i="5"/>
  <c r="G58" i="5"/>
  <c r="G57" i="5" s="1"/>
  <c r="F58" i="5"/>
  <c r="F57" i="5" s="1"/>
  <c r="E58" i="5"/>
  <c r="D58" i="5"/>
  <c r="F56" i="5"/>
  <c r="E56" i="5"/>
  <c r="H53" i="5"/>
  <c r="D53" i="5"/>
  <c r="H52" i="5"/>
  <c r="G52" i="5"/>
  <c r="F52" i="5"/>
  <c r="E52" i="5"/>
  <c r="H50" i="5"/>
  <c r="G49" i="5"/>
  <c r="G47" i="5" s="1"/>
  <c r="F49" i="5"/>
  <c r="H49" i="5" s="1"/>
  <c r="E49" i="5"/>
  <c r="D49" i="5"/>
  <c r="E48" i="5"/>
  <c r="H48" i="5" s="1"/>
  <c r="F47" i="5"/>
  <c r="E47" i="5"/>
  <c r="D47" i="5"/>
  <c r="H45" i="5"/>
  <c r="G45" i="5"/>
  <c r="F45" i="5"/>
  <c r="E45" i="5"/>
  <c r="D45" i="5"/>
  <c r="H44" i="5"/>
  <c r="H43" i="5"/>
  <c r="G43" i="5"/>
  <c r="G42" i="5"/>
  <c r="F42" i="5"/>
  <c r="E42" i="5"/>
  <c r="H41" i="5"/>
  <c r="G39" i="5"/>
  <c r="F39" i="5"/>
  <c r="H39" i="5" s="1"/>
  <c r="E39" i="5"/>
  <c r="H38" i="5"/>
  <c r="H37" i="5"/>
  <c r="G36" i="5"/>
  <c r="F36" i="5"/>
  <c r="H36" i="5" s="1"/>
  <c r="E36" i="5"/>
  <c r="E30" i="5" s="1"/>
  <c r="E29" i="5" s="1"/>
  <c r="H29" i="5" s="1"/>
  <c r="D36" i="5"/>
  <c r="D30" i="5" s="1"/>
  <c r="D29" i="5" s="1"/>
  <c r="H35" i="5"/>
  <c r="H34" i="5"/>
  <c r="H30" i="5"/>
  <c r="G30" i="5"/>
  <c r="F30" i="5"/>
  <c r="H28" i="5"/>
  <c r="G28" i="5"/>
  <c r="F28" i="5"/>
  <c r="E28" i="5"/>
  <c r="D28" i="5"/>
  <c r="G27" i="5"/>
  <c r="F27" i="5"/>
  <c r="H27" i="5" s="1"/>
  <c r="E27" i="5"/>
  <c r="D27" i="5"/>
  <c r="H26" i="5"/>
  <c r="H25" i="5"/>
  <c r="G24" i="5"/>
  <c r="G21" i="5" s="1"/>
  <c r="G15" i="5" s="1"/>
  <c r="F24" i="5"/>
  <c r="H24" i="5" s="1"/>
  <c r="E24" i="5"/>
  <c r="D24" i="5"/>
  <c r="D21" i="5" s="1"/>
  <c r="D15" i="5" s="1"/>
  <c r="D12" i="5" s="1"/>
  <c r="D11" i="5" s="1"/>
  <c r="H23" i="5"/>
  <c r="H22" i="5"/>
  <c r="G19" i="5"/>
  <c r="F19" i="5"/>
  <c r="F13" i="5" s="1"/>
  <c r="E19" i="5"/>
  <c r="E13" i="5" s="1"/>
  <c r="D19" i="5"/>
  <c r="D13" i="5" s="1"/>
  <c r="D10" i="5" s="1"/>
  <c r="H18" i="5"/>
  <c r="G18" i="5"/>
  <c r="F18" i="5"/>
  <c r="E18" i="5"/>
  <c r="D18" i="5"/>
  <c r="H17" i="5"/>
  <c r="H16" i="5"/>
  <c r="G13" i="5"/>
  <c r="G10" i="5"/>
  <c r="H97" i="4"/>
  <c r="G96" i="4"/>
  <c r="F96" i="4"/>
  <c r="H96" i="4" s="1"/>
  <c r="E96" i="4"/>
  <c r="D96" i="4"/>
  <c r="G94" i="4"/>
  <c r="F94" i="4"/>
  <c r="E94" i="4"/>
  <c r="D94" i="4"/>
  <c r="G93" i="4"/>
  <c r="E93" i="4"/>
  <c r="H93" i="4" s="1"/>
  <c r="D93" i="4"/>
  <c r="H91" i="4"/>
  <c r="G91" i="4"/>
  <c r="E91" i="4"/>
  <c r="D91" i="4"/>
  <c r="G90" i="4"/>
  <c r="E90" i="4"/>
  <c r="H90" i="4" s="1"/>
  <c r="G89" i="4"/>
  <c r="G88" i="4" s="1"/>
  <c r="E89" i="4"/>
  <c r="D89" i="4"/>
  <c r="F88" i="4"/>
  <c r="D88" i="4"/>
  <c r="H87" i="4"/>
  <c r="H83" i="4"/>
  <c r="G83" i="4"/>
  <c r="F83" i="4"/>
  <c r="E83" i="4"/>
  <c r="D83" i="4"/>
  <c r="D81" i="4" s="1"/>
  <c r="H82" i="4"/>
  <c r="G81" i="4"/>
  <c r="F81" i="4"/>
  <c r="H81" i="4" s="1"/>
  <c r="E81" i="4"/>
  <c r="G76" i="4"/>
  <c r="F76" i="4"/>
  <c r="F74" i="4" s="1"/>
  <c r="E76" i="4"/>
  <c r="E73" i="4" s="1"/>
  <c r="D76" i="4"/>
  <c r="D73" i="4" s="1"/>
  <c r="E75" i="4"/>
  <c r="G74" i="4"/>
  <c r="G73" i="4"/>
  <c r="F73" i="4"/>
  <c r="G72" i="4"/>
  <c r="G71" i="4" s="1"/>
  <c r="F72" i="4"/>
  <c r="F71" i="4" s="1"/>
  <c r="D72" i="4"/>
  <c r="D71" i="4" s="1"/>
  <c r="G68" i="4"/>
  <c r="F68" i="4"/>
  <c r="E68" i="4"/>
  <c r="D68" i="4"/>
  <c r="G64" i="4"/>
  <c r="F64" i="4"/>
  <c r="E64" i="4"/>
  <c r="D64" i="4"/>
  <c r="H63" i="4"/>
  <c r="H62" i="4"/>
  <c r="G61" i="4"/>
  <c r="F61" i="4"/>
  <c r="E61" i="4"/>
  <c r="D61" i="4"/>
  <c r="H60" i="4"/>
  <c r="H59" i="4"/>
  <c r="G58" i="4"/>
  <c r="G57" i="4" s="1"/>
  <c r="G55" i="4" s="1"/>
  <c r="F58" i="4"/>
  <c r="F57" i="4" s="1"/>
  <c r="E58" i="4"/>
  <c r="D58" i="4"/>
  <c r="F56" i="4"/>
  <c r="F55" i="4" s="1"/>
  <c r="E56" i="4"/>
  <c r="E53" i="4"/>
  <c r="H53" i="4" s="1"/>
  <c r="G52" i="4"/>
  <c r="F52" i="4"/>
  <c r="D52" i="4"/>
  <c r="E50" i="4"/>
  <c r="E49" i="4" s="1"/>
  <c r="E47" i="4" s="1"/>
  <c r="G49" i="4"/>
  <c r="G47" i="4" s="1"/>
  <c r="G46" i="4" s="1"/>
  <c r="F49" i="4"/>
  <c r="D49" i="4"/>
  <c r="E48" i="4"/>
  <c r="H48" i="4" s="1"/>
  <c r="F47" i="4"/>
  <c r="D47" i="4"/>
  <c r="H45" i="4"/>
  <c r="G45" i="4"/>
  <c r="F45" i="4"/>
  <c r="E45" i="4"/>
  <c r="D45" i="4"/>
  <c r="H44" i="4"/>
  <c r="H43" i="4"/>
  <c r="G43" i="4"/>
  <c r="G42" i="4"/>
  <c r="F42" i="4"/>
  <c r="E42" i="4"/>
  <c r="H41" i="4"/>
  <c r="G39" i="4"/>
  <c r="F39" i="4"/>
  <c r="H39" i="4" s="1"/>
  <c r="E39" i="4"/>
  <c r="H38" i="4"/>
  <c r="H37" i="4"/>
  <c r="G36" i="4"/>
  <c r="G30" i="4" s="1"/>
  <c r="G29" i="4" s="1"/>
  <c r="F36" i="4"/>
  <c r="H36" i="4" s="1"/>
  <c r="E36" i="4"/>
  <c r="E30" i="4" s="1"/>
  <c r="D36" i="4"/>
  <c r="D30" i="4" s="1"/>
  <c r="D29" i="4" s="1"/>
  <c r="H35" i="4"/>
  <c r="H34" i="4"/>
  <c r="H30" i="4"/>
  <c r="F30" i="4"/>
  <c r="E29" i="4"/>
  <c r="H29" i="4" s="1"/>
  <c r="G28" i="4"/>
  <c r="F28" i="4"/>
  <c r="H28" i="4" s="1"/>
  <c r="E28" i="4"/>
  <c r="D28" i="4"/>
  <c r="E27" i="4"/>
  <c r="D27" i="4"/>
  <c r="D21" i="4" s="1"/>
  <c r="G24" i="4"/>
  <c r="F24" i="4"/>
  <c r="D24" i="4"/>
  <c r="H23" i="4"/>
  <c r="E22" i="4"/>
  <c r="G21" i="4"/>
  <c r="F21" i="4"/>
  <c r="G19" i="4"/>
  <c r="G13" i="4" s="1"/>
  <c r="F19" i="4"/>
  <c r="D19" i="4"/>
  <c r="G18" i="4"/>
  <c r="G15" i="4" s="1"/>
  <c r="F18" i="4"/>
  <c r="F15" i="4" s="1"/>
  <c r="E18" i="4"/>
  <c r="D18" i="4"/>
  <c r="D15" i="4" s="1"/>
  <c r="H17" i="4"/>
  <c r="H16" i="4"/>
  <c r="F13" i="4"/>
  <c r="D13" i="4"/>
  <c r="G11" i="4"/>
  <c r="E98" i="3"/>
  <c r="G96" i="3"/>
  <c r="F96" i="3"/>
  <c r="D96" i="3"/>
  <c r="G94" i="3"/>
  <c r="F94" i="3"/>
  <c r="E94" i="3"/>
  <c r="D94" i="3"/>
  <c r="H93" i="3"/>
  <c r="G93" i="3"/>
  <c r="E93" i="3"/>
  <c r="D93" i="3"/>
  <c r="G92" i="3"/>
  <c r="E92" i="3"/>
  <c r="D92" i="3"/>
  <c r="D94" i="1" s="1"/>
  <c r="H91" i="3"/>
  <c r="G91" i="3"/>
  <c r="E91" i="3"/>
  <c r="D91" i="3"/>
  <c r="G90" i="3"/>
  <c r="E90" i="3"/>
  <c r="D90" i="3"/>
  <c r="D90" i="1" s="1"/>
  <c r="H89" i="3"/>
  <c r="G89" i="3"/>
  <c r="E89" i="3"/>
  <c r="D89" i="3"/>
  <c r="D88" i="3" s="1"/>
  <c r="G88" i="3"/>
  <c r="F88" i="3"/>
  <c r="H87" i="3"/>
  <c r="G83" i="3"/>
  <c r="G81" i="3" s="1"/>
  <c r="F83" i="3"/>
  <c r="H83" i="3" s="1"/>
  <c r="E83" i="3"/>
  <c r="E73" i="3" s="1"/>
  <c r="D83" i="3"/>
  <c r="H82" i="3"/>
  <c r="H77" i="3"/>
  <c r="H76" i="3"/>
  <c r="G76" i="3"/>
  <c r="F76" i="3"/>
  <c r="E76" i="3"/>
  <c r="D76" i="3"/>
  <c r="H75" i="3"/>
  <c r="F74" i="3"/>
  <c r="E74" i="3"/>
  <c r="D74" i="3"/>
  <c r="H72" i="3"/>
  <c r="G72" i="3"/>
  <c r="F72" i="3"/>
  <c r="E72" i="3"/>
  <c r="D72" i="3"/>
  <c r="E71" i="3"/>
  <c r="H70" i="3"/>
  <c r="D69" i="3"/>
  <c r="D68" i="3" s="1"/>
  <c r="G68" i="3"/>
  <c r="F68" i="3"/>
  <c r="G64" i="3"/>
  <c r="F64" i="3"/>
  <c r="E64" i="3"/>
  <c r="D64" i="3"/>
  <c r="H63" i="3"/>
  <c r="H62" i="3"/>
  <c r="G61" i="3"/>
  <c r="F61" i="3"/>
  <c r="E61" i="3"/>
  <c r="D61" i="3"/>
  <c r="H60" i="3"/>
  <c r="H59" i="3"/>
  <c r="G58" i="3"/>
  <c r="F58" i="3"/>
  <c r="F57" i="3" s="1"/>
  <c r="E58" i="3"/>
  <c r="D58" i="3"/>
  <c r="D57" i="3" s="1"/>
  <c r="D55" i="3" s="1"/>
  <c r="H56" i="3"/>
  <c r="G55" i="3"/>
  <c r="F55" i="3"/>
  <c r="H53" i="3"/>
  <c r="D53" i="3"/>
  <c r="D52" i="3" s="1"/>
  <c r="G52" i="3"/>
  <c r="F52" i="3"/>
  <c r="E52" i="3"/>
  <c r="H50" i="3"/>
  <c r="G49" i="3"/>
  <c r="G47" i="3" s="1"/>
  <c r="G46" i="3" s="1"/>
  <c r="F49" i="3"/>
  <c r="H49" i="3" s="1"/>
  <c r="E49" i="3"/>
  <c r="D49" i="3"/>
  <c r="G45" i="3"/>
  <c r="F45" i="3"/>
  <c r="E45" i="3"/>
  <c r="D45" i="3"/>
  <c r="D43" i="1" s="1"/>
  <c r="H44" i="3"/>
  <c r="H43" i="3"/>
  <c r="G43" i="3"/>
  <c r="G42" i="3"/>
  <c r="F42" i="3"/>
  <c r="E42" i="3"/>
  <c r="H41" i="3"/>
  <c r="H40" i="3"/>
  <c r="G39" i="3"/>
  <c r="F39" i="3"/>
  <c r="H39" i="3" s="1"/>
  <c r="E39" i="3"/>
  <c r="D39" i="3"/>
  <c r="H38" i="3"/>
  <c r="H37" i="3"/>
  <c r="G36" i="3"/>
  <c r="G30" i="3" s="1"/>
  <c r="F36" i="3"/>
  <c r="H36" i="3" s="1"/>
  <c r="E36" i="3"/>
  <c r="E30" i="3" s="1"/>
  <c r="E29" i="3" s="1"/>
  <c r="H29" i="3" s="1"/>
  <c r="D36" i="3"/>
  <c r="D30" i="3" s="1"/>
  <c r="H35" i="3"/>
  <c r="H34" i="3"/>
  <c r="H30" i="3"/>
  <c r="F30" i="3"/>
  <c r="D29" i="3"/>
  <c r="H28" i="3"/>
  <c r="G28" i="3"/>
  <c r="F28" i="3"/>
  <c r="E28" i="3"/>
  <c r="D28" i="3"/>
  <c r="G27" i="3"/>
  <c r="F27" i="3"/>
  <c r="E27" i="3"/>
  <c r="D27" i="3"/>
  <c r="H26" i="3"/>
  <c r="G24" i="3"/>
  <c r="G21" i="3" s="1"/>
  <c r="F24" i="3"/>
  <c r="H24" i="3" s="1"/>
  <c r="E24" i="3"/>
  <c r="D24" i="3"/>
  <c r="D21" i="3" s="1"/>
  <c r="H23" i="3"/>
  <c r="H22" i="3"/>
  <c r="H19" i="3"/>
  <c r="G19" i="3"/>
  <c r="F19" i="3"/>
  <c r="E19" i="3"/>
  <c r="D19" i="3"/>
  <c r="G18" i="3"/>
  <c r="G15" i="3" s="1"/>
  <c r="F18" i="3"/>
  <c r="E18" i="3"/>
  <c r="D18" i="3"/>
  <c r="H16" i="3"/>
  <c r="G13" i="3"/>
  <c r="F13" i="3"/>
  <c r="E13" i="3"/>
  <c r="H13" i="3" s="1"/>
  <c r="D13" i="3"/>
  <c r="D10" i="3" s="1"/>
  <c r="G10" i="3"/>
  <c r="F10" i="3"/>
  <c r="A5" i="3"/>
  <c r="A5" i="4" s="1"/>
  <c r="A5" i="5" s="1"/>
  <c r="A5" i="6" s="1"/>
  <c r="A5" i="7" s="1"/>
  <c r="A5" i="8" s="1"/>
  <c r="A5" i="9" s="1"/>
  <c r="A5" i="10" s="1"/>
  <c r="A5" i="11" s="1"/>
  <c r="A5" i="12" s="1"/>
  <c r="A5" i="13" s="1"/>
  <c r="A5" i="14" s="1"/>
  <c r="A5" i="15" s="1"/>
  <c r="A5" i="16" s="1"/>
  <c r="A5" i="17" s="1"/>
  <c r="A5" i="18" s="1"/>
  <c r="A5" i="19" s="1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H128" i="2" s="1"/>
  <c r="I127" i="2"/>
  <c r="H127" i="2" s="1"/>
  <c r="I126" i="2"/>
  <c r="H126" i="2"/>
  <c r="I125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09" i="2"/>
  <c r="H109" i="2"/>
  <c r="I108" i="2"/>
  <c r="H108" i="2"/>
  <c r="I107" i="2"/>
  <c r="I106" i="2"/>
  <c r="I105" i="2"/>
  <c r="I104" i="2"/>
  <c r="I103" i="2"/>
  <c r="I102" i="2"/>
  <c r="I97" i="2"/>
  <c r="I91" i="2"/>
  <c r="I90" i="2"/>
  <c r="I89" i="2"/>
  <c r="I88" i="2"/>
  <c r="I87" i="2"/>
  <c r="I86" i="2"/>
  <c r="I85" i="2"/>
  <c r="I84" i="2"/>
  <c r="I83" i="2"/>
  <c r="I82" i="2"/>
  <c r="I81" i="2"/>
  <c r="I80" i="2"/>
  <c r="I76" i="2"/>
  <c r="I75" i="2"/>
  <c r="H75" i="2"/>
  <c r="G75" i="2"/>
  <c r="I74" i="2"/>
  <c r="H73" i="2"/>
  <c r="F73" i="2"/>
  <c r="I73" i="2" s="1"/>
  <c r="I72" i="2"/>
  <c r="I71" i="2"/>
  <c r="I70" i="2"/>
  <c r="I69" i="2"/>
  <c r="I68" i="2"/>
  <c r="I67" i="2"/>
  <c r="I66" i="2"/>
  <c r="I65" i="2"/>
  <c r="I64" i="2"/>
  <c r="I63" i="2"/>
  <c r="I62" i="2"/>
  <c r="I60" i="2"/>
  <c r="I59" i="2"/>
  <c r="I58" i="2"/>
  <c r="I57" i="2"/>
  <c r="I56" i="2"/>
  <c r="I55" i="2"/>
  <c r="I54" i="2"/>
  <c r="I53" i="2"/>
  <c r="I52" i="2"/>
  <c r="I51" i="2"/>
  <c r="F50" i="2"/>
  <c r="I50" i="2" s="1"/>
  <c r="I49" i="2"/>
  <c r="I48" i="2"/>
  <c r="I47" i="2"/>
  <c r="I45" i="2"/>
  <c r="I43" i="2"/>
  <c r="I42" i="2"/>
  <c r="I41" i="2"/>
  <c r="I40" i="2"/>
  <c r="I39" i="2"/>
  <c r="I38" i="2"/>
  <c r="I36" i="2"/>
  <c r="I35" i="2"/>
  <c r="I34" i="2"/>
  <c r="I33" i="2"/>
  <c r="I32" i="2"/>
  <c r="I31" i="2"/>
  <c r="P30" i="2"/>
  <c r="I30" i="2"/>
  <c r="F29" i="2"/>
  <c r="I29" i="2" s="1"/>
  <c r="E29" i="2"/>
  <c r="D29" i="2"/>
  <c r="F28" i="2"/>
  <c r="I28" i="2" s="1"/>
  <c r="I27" i="2"/>
  <c r="E27" i="2"/>
  <c r="I26" i="2"/>
  <c r="I25" i="2"/>
  <c r="H25" i="2"/>
  <c r="D25" i="2"/>
  <c r="D27" i="2" s="1"/>
  <c r="I22" i="2"/>
  <c r="D22" i="2"/>
  <c r="I21" i="2"/>
  <c r="I20" i="2"/>
  <c r="I19" i="2"/>
  <c r="I17" i="2"/>
  <c r="I15" i="2"/>
  <c r="D15" i="2"/>
  <c r="I14" i="2"/>
  <c r="I13" i="2"/>
  <c r="H13" i="2"/>
  <c r="G13" i="2"/>
  <c r="D13" i="2"/>
  <c r="I12" i="2"/>
  <c r="I11" i="2"/>
  <c r="I9" i="2"/>
  <c r="I7" i="2"/>
  <c r="A3" i="2"/>
  <c r="H104" i="1"/>
  <c r="G104" i="1"/>
  <c r="F104" i="1"/>
  <c r="E104" i="1"/>
  <c r="D104" i="1"/>
  <c r="F103" i="1"/>
  <c r="I103" i="1" s="1"/>
  <c r="D103" i="1"/>
  <c r="H100" i="1"/>
  <c r="G100" i="1"/>
  <c r="F100" i="1"/>
  <c r="E100" i="1"/>
  <c r="E99" i="1" s="1"/>
  <c r="D100" i="1"/>
  <c r="H99" i="1"/>
  <c r="G99" i="1"/>
  <c r="H97" i="1"/>
  <c r="H96" i="1" s="1"/>
  <c r="G97" i="1"/>
  <c r="G96" i="1" s="1"/>
  <c r="I96" i="1" s="1"/>
  <c r="F97" i="1"/>
  <c r="F96" i="1" s="1"/>
  <c r="D97" i="1"/>
  <c r="D96" i="1" s="1"/>
  <c r="G95" i="1"/>
  <c r="F95" i="1"/>
  <c r="G94" i="1"/>
  <c r="F92" i="1"/>
  <c r="I92" i="1" s="1"/>
  <c r="D92" i="1"/>
  <c r="D89" i="1"/>
  <c r="E88" i="1"/>
  <c r="H87" i="1"/>
  <c r="G87" i="1"/>
  <c r="F87" i="1"/>
  <c r="D87" i="1"/>
  <c r="D83" i="1" s="1"/>
  <c r="D81" i="1" s="1"/>
  <c r="H86" i="1"/>
  <c r="G86" i="1"/>
  <c r="F86" i="1"/>
  <c r="H85" i="1"/>
  <c r="G85" i="1"/>
  <c r="F85" i="1"/>
  <c r="H84" i="1"/>
  <c r="H83" i="1" s="1"/>
  <c r="G84" i="1"/>
  <c r="G83" i="1" s="1"/>
  <c r="F84" i="1"/>
  <c r="H82" i="1"/>
  <c r="H81" i="1" s="1"/>
  <c r="G82" i="1"/>
  <c r="F82" i="1"/>
  <c r="D82" i="1"/>
  <c r="H80" i="1"/>
  <c r="G80" i="1"/>
  <c r="F80" i="1"/>
  <c r="D80" i="1"/>
  <c r="H79" i="1"/>
  <c r="G79" i="1"/>
  <c r="F79" i="1"/>
  <c r="D79" i="1"/>
  <c r="H78" i="1"/>
  <c r="H76" i="1" s="1"/>
  <c r="G78" i="1"/>
  <c r="G76" i="1" s="1"/>
  <c r="F78" i="1"/>
  <c r="F76" i="1" s="1"/>
  <c r="D78" i="1"/>
  <c r="H77" i="1"/>
  <c r="G77" i="1"/>
  <c r="F77" i="1"/>
  <c r="D77" i="1"/>
  <c r="D76" i="1" s="1"/>
  <c r="H75" i="1"/>
  <c r="G75" i="1"/>
  <c r="H72" i="1"/>
  <c r="G72" i="1"/>
  <c r="D70" i="1"/>
  <c r="H69" i="1"/>
  <c r="H68" i="1" s="1"/>
  <c r="G69" i="1"/>
  <c r="D69" i="1"/>
  <c r="D68" i="1" s="1"/>
  <c r="E68" i="1"/>
  <c r="H66" i="1"/>
  <c r="G66" i="1"/>
  <c r="F66" i="1"/>
  <c r="D66" i="1"/>
  <c r="I65" i="1"/>
  <c r="H65" i="1"/>
  <c r="H64" i="1" s="1"/>
  <c r="G65" i="1"/>
  <c r="F65" i="1"/>
  <c r="D65" i="1"/>
  <c r="G64" i="1"/>
  <c r="F64" i="1"/>
  <c r="D64" i="1"/>
  <c r="H63" i="1"/>
  <c r="G63" i="1"/>
  <c r="G61" i="1" s="1"/>
  <c r="F63" i="1"/>
  <c r="D63" i="1"/>
  <c r="H62" i="1"/>
  <c r="F62" i="1"/>
  <c r="F61" i="1" s="1"/>
  <c r="D62" i="1"/>
  <c r="D61" i="1" s="1"/>
  <c r="H61" i="1"/>
  <c r="F60" i="1"/>
  <c r="D60" i="1"/>
  <c r="D58" i="1" s="1"/>
  <c r="H59" i="1"/>
  <c r="H58" i="1" s="1"/>
  <c r="H57" i="1" s="1"/>
  <c r="G59" i="1"/>
  <c r="G58" i="1" s="1"/>
  <c r="F59" i="1"/>
  <c r="F58" i="1" s="1"/>
  <c r="F57" i="1" s="1"/>
  <c r="D59" i="1"/>
  <c r="G57" i="1"/>
  <c r="D56" i="1"/>
  <c r="H54" i="1"/>
  <c r="H50" i="1" s="1"/>
  <c r="H52" i="1" s="1"/>
  <c r="G54" i="1"/>
  <c r="G50" i="1" s="1"/>
  <c r="G52" i="1" s="1"/>
  <c r="F54" i="1"/>
  <c r="D54" i="1"/>
  <c r="H53" i="1"/>
  <c r="G53" i="1"/>
  <c r="I51" i="1"/>
  <c r="I49" i="1"/>
  <c r="F49" i="1"/>
  <c r="D49" i="1"/>
  <c r="D48" i="1"/>
  <c r="D47" i="1" s="1"/>
  <c r="H47" i="1"/>
  <c r="G47" i="1"/>
  <c r="H46" i="1"/>
  <c r="H45" i="1" s="1"/>
  <c r="G46" i="1"/>
  <c r="G45" i="1" s="1"/>
  <c r="D46" i="1"/>
  <c r="D45" i="1" s="1"/>
  <c r="H43" i="1"/>
  <c r="G43" i="1"/>
  <c r="E43" i="1"/>
  <c r="F41" i="1"/>
  <c r="F43" i="1" s="1"/>
  <c r="D41" i="1"/>
  <c r="H40" i="1"/>
  <c r="G40" i="1"/>
  <c r="E40" i="1"/>
  <c r="F38" i="1"/>
  <c r="F40" i="1" s="1"/>
  <c r="D38" i="1"/>
  <c r="D40" i="1" s="1"/>
  <c r="D37" i="1"/>
  <c r="H35" i="1"/>
  <c r="H37" i="1" s="1"/>
  <c r="G35" i="1"/>
  <c r="F35" i="1"/>
  <c r="F37" i="1" s="1"/>
  <c r="D35" i="1"/>
  <c r="F34" i="1"/>
  <c r="F28" i="1" s="1"/>
  <c r="F27" i="1" s="1"/>
  <c r="D34" i="1"/>
  <c r="D28" i="1" s="1"/>
  <c r="D27" i="1" s="1"/>
  <c r="H32" i="1"/>
  <c r="G32" i="1"/>
  <c r="F32" i="1"/>
  <c r="D32" i="1"/>
  <c r="H29" i="1"/>
  <c r="G29" i="1"/>
  <c r="F29" i="1"/>
  <c r="D29" i="1"/>
  <c r="D26" i="1" s="1"/>
  <c r="G26" i="1"/>
  <c r="I26" i="1" s="1"/>
  <c r="F26" i="1"/>
  <c r="H25" i="1"/>
  <c r="G25" i="1"/>
  <c r="D25" i="1"/>
  <c r="D19" i="1" s="1"/>
  <c r="F23" i="1"/>
  <c r="H22" i="1"/>
  <c r="H19" i="1" s="1"/>
  <c r="G22" i="1"/>
  <c r="D22" i="1"/>
  <c r="G19" i="1"/>
  <c r="H17" i="1"/>
  <c r="G17" i="1"/>
  <c r="D17" i="1"/>
  <c r="D11" i="1" s="1"/>
  <c r="F16" i="1"/>
  <c r="D16" i="1"/>
  <c r="I15" i="1"/>
  <c r="I14" i="1"/>
  <c r="H14" i="1"/>
  <c r="G14" i="1"/>
  <c r="G16" i="1" s="1"/>
  <c r="F14" i="1"/>
  <c r="D13" i="1"/>
  <c r="E9" i="1"/>
  <c r="M6" i="1"/>
  <c r="M5" i="1"/>
  <c r="G12" i="5" l="1"/>
  <c r="G11" i="5" s="1"/>
  <c r="G14" i="5"/>
  <c r="G73" i="1"/>
  <c r="G74" i="1"/>
  <c r="D11" i="4"/>
  <c r="D12" i="4"/>
  <c r="E14" i="6"/>
  <c r="E12" i="6"/>
  <c r="E11" i="6" s="1"/>
  <c r="H45" i="3"/>
  <c r="E21" i="3"/>
  <c r="E20" i="3" s="1"/>
  <c r="H20" i="3" s="1"/>
  <c r="H61" i="3"/>
  <c r="F9" i="4"/>
  <c r="G14" i="4"/>
  <c r="G12" i="4"/>
  <c r="F20" i="1"/>
  <c r="E19" i="4"/>
  <c r="E24" i="4"/>
  <c r="H22" i="4"/>
  <c r="D57" i="4"/>
  <c r="D55" i="4" s="1"/>
  <c r="D46" i="4" s="1"/>
  <c r="D9" i="4" s="1"/>
  <c r="H61" i="4"/>
  <c r="D67" i="4"/>
  <c r="H73" i="4"/>
  <c r="E57" i="5"/>
  <c r="H57" i="5" s="1"/>
  <c r="H74" i="5"/>
  <c r="D57" i="6"/>
  <c r="D55" i="6" s="1"/>
  <c r="H55" i="7"/>
  <c r="E30" i="9"/>
  <c r="F71" i="6"/>
  <c r="G11" i="3"/>
  <c r="G14" i="3"/>
  <c r="G12" i="3"/>
  <c r="H34" i="1"/>
  <c r="H28" i="1" s="1"/>
  <c r="H26" i="1"/>
  <c r="D81" i="3"/>
  <c r="D73" i="3"/>
  <c r="D71" i="3" s="1"/>
  <c r="D67" i="3" s="1"/>
  <c r="F25" i="1"/>
  <c r="I23" i="1"/>
  <c r="I16" i="1"/>
  <c r="G13" i="1"/>
  <c r="D18" i="1"/>
  <c r="H74" i="1"/>
  <c r="H73" i="1"/>
  <c r="H71" i="1" s="1"/>
  <c r="H67" i="1" s="1"/>
  <c r="F83" i="1"/>
  <c r="F99" i="1"/>
  <c r="H52" i="3"/>
  <c r="E57" i="3"/>
  <c r="E55" i="3" s="1"/>
  <c r="H55" i="3" s="1"/>
  <c r="E96" i="3"/>
  <c r="H96" i="3" s="1"/>
  <c r="H98" i="3"/>
  <c r="H47" i="4"/>
  <c r="F46" i="4"/>
  <c r="E57" i="4"/>
  <c r="H57" i="4" s="1"/>
  <c r="H13" i="5"/>
  <c r="D71" i="5"/>
  <c r="D67" i="5" s="1"/>
  <c r="H18" i="6"/>
  <c r="E88" i="7"/>
  <c r="H88" i="7" s="1"/>
  <c r="H89" i="7"/>
  <c r="H19" i="8"/>
  <c r="E13" i="8"/>
  <c r="E20" i="8"/>
  <c r="E15" i="8"/>
  <c r="F73" i="8"/>
  <c r="H73" i="8" s="1"/>
  <c r="F74" i="8"/>
  <c r="D10" i="13"/>
  <c r="D15" i="13"/>
  <c r="D12" i="13" s="1"/>
  <c r="D11" i="13" s="1"/>
  <c r="E46" i="6"/>
  <c r="G12" i="7"/>
  <c r="G11" i="7" s="1"/>
  <c r="G14" i="7"/>
  <c r="D12" i="1"/>
  <c r="D10" i="1"/>
  <c r="D9" i="1" s="1"/>
  <c r="E88" i="13"/>
  <c r="H90" i="13"/>
  <c r="G71" i="1"/>
  <c r="D73" i="1"/>
  <c r="H57" i="3"/>
  <c r="F67" i="4"/>
  <c r="D53" i="1"/>
  <c r="D50" i="1" s="1"/>
  <c r="D52" i="1" s="1"/>
  <c r="D52" i="5"/>
  <c r="E72" i="5"/>
  <c r="E71" i="5" s="1"/>
  <c r="E67" i="5" s="1"/>
  <c r="H13" i="6"/>
  <c r="F10" i="6"/>
  <c r="H10" i="6" s="1"/>
  <c r="G15" i="6"/>
  <c r="D21" i="6"/>
  <c r="D15" i="6" s="1"/>
  <c r="D12" i="6" s="1"/>
  <c r="D11" i="6" s="1"/>
  <c r="H27" i="6"/>
  <c r="D46" i="6"/>
  <c r="G88" i="7"/>
  <c r="H55" i="10"/>
  <c r="H88" i="19"/>
  <c r="H74" i="3"/>
  <c r="E88" i="4"/>
  <c r="F89" i="1"/>
  <c r="H89" i="4"/>
  <c r="D8" i="1"/>
  <c r="G46" i="6"/>
  <c r="H16" i="1"/>
  <c r="H13" i="1" s="1"/>
  <c r="H10" i="1" s="1"/>
  <c r="H9" i="1" s="1"/>
  <c r="H11" i="1"/>
  <c r="E48" i="3"/>
  <c r="D47" i="3"/>
  <c r="D46" i="3" s="1"/>
  <c r="G73" i="3"/>
  <c r="G71" i="3" s="1"/>
  <c r="G67" i="3" s="1"/>
  <c r="G9" i="3" s="1"/>
  <c r="G74" i="3"/>
  <c r="F94" i="1"/>
  <c r="I94" i="1" s="1"/>
  <c r="H92" i="3"/>
  <c r="D10" i="4"/>
  <c r="G10" i="4"/>
  <c r="G67" i="4"/>
  <c r="G9" i="4" s="1"/>
  <c r="E74" i="4"/>
  <c r="H74" i="4" s="1"/>
  <c r="E72" i="4"/>
  <c r="E71" i="4" s="1"/>
  <c r="E67" i="4" s="1"/>
  <c r="F71" i="5"/>
  <c r="H71" i="5" s="1"/>
  <c r="D10" i="6"/>
  <c r="D74" i="1"/>
  <c r="D72" i="1"/>
  <c r="D71" i="1" s="1"/>
  <c r="F71" i="7"/>
  <c r="E11" i="9"/>
  <c r="F73" i="11"/>
  <c r="H73" i="11" s="1"/>
  <c r="H76" i="11"/>
  <c r="F74" i="11"/>
  <c r="E55" i="4"/>
  <c r="H55" i="4" s="1"/>
  <c r="F55" i="5"/>
  <c r="H56" i="5"/>
  <c r="G56" i="5"/>
  <c r="I32" i="1"/>
  <c r="G34" i="1"/>
  <c r="G28" i="1" s="1"/>
  <c r="I41" i="1"/>
  <c r="I64" i="1"/>
  <c r="D95" i="1"/>
  <c r="D88" i="1" s="1"/>
  <c r="H30" i="6"/>
  <c r="E29" i="6"/>
  <c r="H29" i="6" s="1"/>
  <c r="H49" i="6"/>
  <c r="E20" i="7"/>
  <c r="H20" i="7" s="1"/>
  <c r="E15" i="7"/>
  <c r="G14" i="8"/>
  <c r="G12" i="8"/>
  <c r="G11" i="8" s="1"/>
  <c r="D88" i="8"/>
  <c r="H42" i="3"/>
  <c r="F14" i="4"/>
  <c r="F12" i="4"/>
  <c r="H47" i="5"/>
  <c r="D57" i="5"/>
  <c r="D55" i="5" s="1"/>
  <c r="D46" i="5" s="1"/>
  <c r="H61" i="5"/>
  <c r="H69" i="5"/>
  <c r="H83" i="5"/>
  <c r="F81" i="5"/>
  <c r="H81" i="5" s="1"/>
  <c r="G81" i="6"/>
  <c r="G73" i="6"/>
  <c r="G71" i="6" s="1"/>
  <c r="G67" i="6" s="1"/>
  <c r="E47" i="8"/>
  <c r="E46" i="8" s="1"/>
  <c r="H48" i="8"/>
  <c r="H55" i="8"/>
  <c r="F46" i="8"/>
  <c r="D10" i="11"/>
  <c r="D15" i="11"/>
  <c r="D12" i="11" s="1"/>
  <c r="G110" i="2"/>
  <c r="H110" i="2" s="1"/>
  <c r="D57" i="1"/>
  <c r="D55" i="1" s="1"/>
  <c r="D44" i="1" s="1"/>
  <c r="D7" i="1" s="1"/>
  <c r="I95" i="1"/>
  <c r="D15" i="3"/>
  <c r="G37" i="1"/>
  <c r="I35" i="1"/>
  <c r="D67" i="1"/>
  <c r="G81" i="1"/>
  <c r="D99" i="1"/>
  <c r="E15" i="3"/>
  <c r="E88" i="3"/>
  <c r="H88" i="3" s="1"/>
  <c r="F90" i="1"/>
  <c r="I90" i="1" s="1"/>
  <c r="H90" i="3"/>
  <c r="F11" i="4"/>
  <c r="H49" i="4"/>
  <c r="H75" i="4"/>
  <c r="H88" i="4"/>
  <c r="F10" i="5"/>
  <c r="E10" i="5"/>
  <c r="E21" i="5"/>
  <c r="E55" i="5"/>
  <c r="E46" i="5" s="1"/>
  <c r="G71" i="5"/>
  <c r="G67" i="5" s="1"/>
  <c r="H75" i="5"/>
  <c r="H89" i="5"/>
  <c r="E88" i="5"/>
  <c r="H88" i="5" s="1"/>
  <c r="E73" i="7"/>
  <c r="H73" i="7" s="1"/>
  <c r="E81" i="7"/>
  <c r="H81" i="7" s="1"/>
  <c r="H56" i="9"/>
  <c r="F71" i="12"/>
  <c r="E74" i="12"/>
  <c r="H74" i="12" s="1"/>
  <c r="H75" i="12"/>
  <c r="E72" i="12"/>
  <c r="E71" i="12" s="1"/>
  <c r="E67" i="12" s="1"/>
  <c r="E88" i="12"/>
  <c r="H88" i="12" s="1"/>
  <c r="H89" i="12"/>
  <c r="F15" i="7"/>
  <c r="H21" i="7"/>
  <c r="G9" i="8"/>
  <c r="H52" i="8"/>
  <c r="H28" i="9"/>
  <c r="H45" i="10"/>
  <c r="E55" i="10"/>
  <c r="H57" i="10"/>
  <c r="D10" i="12"/>
  <c r="G88" i="13"/>
  <c r="E48" i="14"/>
  <c r="D47" i="14"/>
  <c r="D46" i="14" s="1"/>
  <c r="D9" i="14" s="1"/>
  <c r="H55" i="15"/>
  <c r="F14" i="19"/>
  <c r="H14" i="19" s="1"/>
  <c r="F21" i="19"/>
  <c r="H20" i="19"/>
  <c r="G10" i="6"/>
  <c r="F47" i="6"/>
  <c r="E75" i="6"/>
  <c r="E46" i="7"/>
  <c r="H61" i="7"/>
  <c r="H45" i="8"/>
  <c r="H18" i="9"/>
  <c r="H98" i="10"/>
  <c r="F21" i="5"/>
  <c r="H81" i="6"/>
  <c r="H83" i="7"/>
  <c r="E88" i="8"/>
  <c r="G46" i="9"/>
  <c r="G9" i="9" s="1"/>
  <c r="D46" i="10"/>
  <c r="H88" i="10"/>
  <c r="H29" i="11"/>
  <c r="F30" i="11"/>
  <c r="H47" i="13"/>
  <c r="H89" i="14"/>
  <c r="E88" i="14"/>
  <c r="H88" i="14" s="1"/>
  <c r="E21" i="15"/>
  <c r="H21" i="15" s="1"/>
  <c r="H19" i="15"/>
  <c r="E13" i="15"/>
  <c r="E55" i="15"/>
  <c r="H57" i="15"/>
  <c r="D74" i="19"/>
  <c r="E81" i="19"/>
  <c r="E73" i="19"/>
  <c r="H73" i="19" s="1"/>
  <c r="F47" i="3"/>
  <c r="H58" i="3"/>
  <c r="F73" i="3"/>
  <c r="E81" i="3"/>
  <c r="H18" i="4"/>
  <c r="H50" i="4"/>
  <c r="H72" i="5"/>
  <c r="F21" i="6"/>
  <c r="H21" i="6" s="1"/>
  <c r="H53" i="6"/>
  <c r="H70" i="6"/>
  <c r="G9" i="7"/>
  <c r="E10" i="7"/>
  <c r="F30" i="7"/>
  <c r="H30" i="7" s="1"/>
  <c r="D67" i="7"/>
  <c r="H28" i="8"/>
  <c r="H82" i="8"/>
  <c r="H88" i="8"/>
  <c r="D67" i="9"/>
  <c r="H96" i="9"/>
  <c r="E75" i="10"/>
  <c r="D88" i="10"/>
  <c r="E15" i="11"/>
  <c r="E12" i="11" s="1"/>
  <c r="E11" i="11" s="1"/>
  <c r="E10" i="11"/>
  <c r="D30" i="11"/>
  <c r="G46" i="13"/>
  <c r="H73" i="18"/>
  <c r="F71" i="18"/>
  <c r="F10" i="4"/>
  <c r="D74" i="4"/>
  <c r="F53" i="1"/>
  <c r="I97" i="1"/>
  <c r="F21" i="3"/>
  <c r="H21" i="3" s="1"/>
  <c r="E69" i="3"/>
  <c r="F81" i="3"/>
  <c r="H81" i="3" s="1"/>
  <c r="H58" i="4"/>
  <c r="H58" i="5"/>
  <c r="H58" i="6"/>
  <c r="E88" i="6"/>
  <c r="H88" i="6" s="1"/>
  <c r="F13" i="7"/>
  <c r="H19" i="7"/>
  <c r="F21" i="8"/>
  <c r="H57" i="8"/>
  <c r="H89" i="9"/>
  <c r="E14" i="10"/>
  <c r="H14" i="10" s="1"/>
  <c r="E46" i="10"/>
  <c r="E88" i="10"/>
  <c r="H89" i="10"/>
  <c r="F13" i="11"/>
  <c r="F21" i="11"/>
  <c r="H21" i="11" s="1"/>
  <c r="H19" i="11"/>
  <c r="D47" i="11"/>
  <c r="D46" i="11" s="1"/>
  <c r="D9" i="11" s="1"/>
  <c r="E48" i="11"/>
  <c r="D15" i="12"/>
  <c r="D12" i="12" s="1"/>
  <c r="D11" i="12" s="1"/>
  <c r="H49" i="13"/>
  <c r="H20" i="18"/>
  <c r="F14" i="18"/>
  <c r="H28" i="18"/>
  <c r="F30" i="18"/>
  <c r="H30" i="18" s="1"/>
  <c r="F47" i="18"/>
  <c r="H49" i="18"/>
  <c r="H56" i="4"/>
  <c r="G11" i="1"/>
  <c r="G56" i="1"/>
  <c r="E52" i="4"/>
  <c r="H52" i="4" s="1"/>
  <c r="H19" i="5"/>
  <c r="H68" i="5"/>
  <c r="H76" i="5"/>
  <c r="E55" i="6"/>
  <c r="H55" i="6" s="1"/>
  <c r="D72" i="6"/>
  <c r="D71" i="6" s="1"/>
  <c r="D67" i="6" s="1"/>
  <c r="D9" i="6" s="1"/>
  <c r="D74" i="6"/>
  <c r="H96" i="6"/>
  <c r="E75" i="7"/>
  <c r="H69" i="8"/>
  <c r="E75" i="8"/>
  <c r="F75" i="1" s="1"/>
  <c r="D73" i="8"/>
  <c r="D71" i="8" s="1"/>
  <c r="D67" i="8" s="1"/>
  <c r="D9" i="8" s="1"/>
  <c r="F47" i="9"/>
  <c r="H49" i="9"/>
  <c r="G73" i="9"/>
  <c r="G81" i="9"/>
  <c r="H48" i="10"/>
  <c r="H52" i="10"/>
  <c r="G21" i="11"/>
  <c r="G13" i="11"/>
  <c r="E75" i="11"/>
  <c r="D73" i="11"/>
  <c r="D71" i="11" s="1"/>
  <c r="D67" i="11" s="1"/>
  <c r="E47" i="12"/>
  <c r="H48" i="12"/>
  <c r="G21" i="13"/>
  <c r="G14" i="13"/>
  <c r="G15" i="13" s="1"/>
  <c r="G12" i="13" s="1"/>
  <c r="G11" i="13" s="1"/>
  <c r="E14" i="16"/>
  <c r="H14" i="16" s="1"/>
  <c r="H20" i="16"/>
  <c r="D57" i="7"/>
  <c r="D55" i="7" s="1"/>
  <c r="D46" i="7" s="1"/>
  <c r="D9" i="7" s="1"/>
  <c r="F48" i="1"/>
  <c r="F70" i="1"/>
  <c r="I70" i="1" s="1"/>
  <c r="E10" i="3"/>
  <c r="H10" i="3" s="1"/>
  <c r="H89" i="6"/>
  <c r="H49" i="7"/>
  <c r="F47" i="7"/>
  <c r="G88" i="8"/>
  <c r="E10" i="9"/>
  <c r="H10" i="9" s="1"/>
  <c r="H13" i="9"/>
  <c r="G67" i="9"/>
  <c r="E88" i="11"/>
  <c r="H88" i="11" s="1"/>
  <c r="H89" i="11"/>
  <c r="F11" i="12"/>
  <c r="G45" i="13"/>
  <c r="G9" i="13"/>
  <c r="F71" i="17"/>
  <c r="H72" i="17"/>
  <c r="H20" i="9"/>
  <c r="F14" i="9"/>
  <c r="G30" i="9"/>
  <c r="G11" i="9" s="1"/>
  <c r="H61" i="9"/>
  <c r="F71" i="9"/>
  <c r="H71" i="9" s="1"/>
  <c r="H72" i="9"/>
  <c r="F30" i="10"/>
  <c r="H30" i="10" s="1"/>
  <c r="H42" i="10"/>
  <c r="E30" i="11"/>
  <c r="H57" i="11"/>
  <c r="G15" i="12"/>
  <c r="G12" i="12" s="1"/>
  <c r="G11" i="12" s="1"/>
  <c r="H20" i="12"/>
  <c r="F57" i="13"/>
  <c r="H61" i="13"/>
  <c r="H13" i="14"/>
  <c r="E81" i="16"/>
  <c r="E88" i="17"/>
  <c r="D15" i="18"/>
  <c r="D12" i="18" s="1"/>
  <c r="D11" i="18" s="1"/>
  <c r="D10" i="18"/>
  <c r="E57" i="18"/>
  <c r="E56" i="18"/>
  <c r="E55" i="19"/>
  <c r="H55" i="19" s="1"/>
  <c r="H57" i="19"/>
  <c r="D21" i="9"/>
  <c r="D13" i="9"/>
  <c r="E57" i="9"/>
  <c r="E55" i="9" s="1"/>
  <c r="E46" i="9" s="1"/>
  <c r="E9" i="9" s="1"/>
  <c r="G71" i="9"/>
  <c r="F71" i="10"/>
  <c r="F67" i="10" s="1"/>
  <c r="H57" i="12"/>
  <c r="F55" i="12"/>
  <c r="H52" i="13"/>
  <c r="E57" i="13"/>
  <c r="E56" i="13"/>
  <c r="D67" i="13"/>
  <c r="D9" i="13" s="1"/>
  <c r="D74" i="13"/>
  <c r="E75" i="13"/>
  <c r="D72" i="13"/>
  <c r="D71" i="13" s="1"/>
  <c r="G15" i="14"/>
  <c r="G12" i="14" s="1"/>
  <c r="G11" i="14" s="1"/>
  <c r="G10" i="14"/>
  <c r="F81" i="14"/>
  <c r="H81" i="14" s="1"/>
  <c r="H83" i="14"/>
  <c r="E72" i="17"/>
  <c r="E74" i="17"/>
  <c r="H88" i="17"/>
  <c r="F57" i="18"/>
  <c r="H58" i="18"/>
  <c r="F81" i="8"/>
  <c r="H81" i="8" s="1"/>
  <c r="E21" i="9"/>
  <c r="H21" i="9" s="1"/>
  <c r="F57" i="9"/>
  <c r="H58" i="9"/>
  <c r="E67" i="9"/>
  <c r="H75" i="9"/>
  <c r="D21" i="10"/>
  <c r="D13" i="10"/>
  <c r="H49" i="10"/>
  <c r="G71" i="10"/>
  <c r="G67" i="10" s="1"/>
  <c r="H18" i="11"/>
  <c r="F71" i="11"/>
  <c r="G14" i="12"/>
  <c r="G30" i="13"/>
  <c r="G10" i="13"/>
  <c r="H58" i="13"/>
  <c r="G21" i="14"/>
  <c r="F73" i="14"/>
  <c r="F74" i="14"/>
  <c r="H74" i="14" s="1"/>
  <c r="G81" i="14"/>
  <c r="G73" i="14"/>
  <c r="H21" i="16"/>
  <c r="E46" i="16"/>
  <c r="E9" i="16" s="1"/>
  <c r="H57" i="16"/>
  <c r="F55" i="16"/>
  <c r="E71" i="16"/>
  <c r="H72" i="16"/>
  <c r="H46" i="17"/>
  <c r="H75" i="17"/>
  <c r="D81" i="17"/>
  <c r="D73" i="17"/>
  <c r="D71" i="17" s="1"/>
  <c r="D67" i="17" s="1"/>
  <c r="G57" i="18"/>
  <c r="G55" i="18" s="1"/>
  <c r="G21" i="9"/>
  <c r="G57" i="9"/>
  <c r="G55" i="9" s="1"/>
  <c r="H88" i="9"/>
  <c r="E21" i="10"/>
  <c r="H21" i="10" s="1"/>
  <c r="E13" i="10"/>
  <c r="D57" i="10"/>
  <c r="D55" i="10" s="1"/>
  <c r="D67" i="10"/>
  <c r="H55" i="11"/>
  <c r="G71" i="11"/>
  <c r="G67" i="11" s="1"/>
  <c r="H14" i="12"/>
  <c r="H28" i="13"/>
  <c r="F67" i="13"/>
  <c r="H68" i="13"/>
  <c r="D10" i="14"/>
  <c r="D15" i="14"/>
  <c r="D12" i="14" s="1"/>
  <c r="D11" i="14" s="1"/>
  <c r="G71" i="14"/>
  <c r="G67" i="14" s="1"/>
  <c r="E46" i="15"/>
  <c r="D46" i="17"/>
  <c r="E81" i="17"/>
  <c r="H83" i="17"/>
  <c r="D71" i="18"/>
  <c r="D67" i="18" s="1"/>
  <c r="D9" i="18" s="1"/>
  <c r="E15" i="12"/>
  <c r="E12" i="12" s="1"/>
  <c r="E11" i="12" s="1"/>
  <c r="E21" i="12"/>
  <c r="E10" i="13"/>
  <c r="E15" i="13"/>
  <c r="E12" i="13" s="1"/>
  <c r="E11" i="13" s="1"/>
  <c r="H88" i="13"/>
  <c r="H96" i="13"/>
  <c r="G46" i="14"/>
  <c r="G9" i="14" s="1"/>
  <c r="E71" i="15"/>
  <c r="H72" i="15"/>
  <c r="E73" i="17"/>
  <c r="E10" i="18"/>
  <c r="D21" i="19"/>
  <c r="D13" i="19"/>
  <c r="G14" i="19"/>
  <c r="G15" i="19" s="1"/>
  <c r="G12" i="19" s="1"/>
  <c r="G11" i="19" s="1"/>
  <c r="G21" i="19"/>
  <c r="E52" i="19"/>
  <c r="H52" i="19" s="1"/>
  <c r="H53" i="19"/>
  <c r="F47" i="10"/>
  <c r="D46" i="12"/>
  <c r="D9" i="12" s="1"/>
  <c r="H52" i="12"/>
  <c r="F13" i="13"/>
  <c r="F21" i="13"/>
  <c r="E21" i="13"/>
  <c r="G9" i="15"/>
  <c r="H83" i="15"/>
  <c r="F81" i="15"/>
  <c r="H81" i="15" s="1"/>
  <c r="F73" i="15"/>
  <c r="G21" i="17"/>
  <c r="G13" i="17"/>
  <c r="H57" i="17"/>
  <c r="E74" i="18"/>
  <c r="H74" i="18" s="1"/>
  <c r="E72" i="18"/>
  <c r="H94" i="18"/>
  <c r="D71" i="19"/>
  <c r="D67" i="19" s="1"/>
  <c r="F30" i="9"/>
  <c r="H30" i="9" s="1"/>
  <c r="F13" i="10"/>
  <c r="H19" i="10"/>
  <c r="F47" i="11"/>
  <c r="E10" i="12"/>
  <c r="H10" i="12" s="1"/>
  <c r="D14" i="12"/>
  <c r="H29" i="12"/>
  <c r="H69" i="12"/>
  <c r="G81" i="12"/>
  <c r="H56" i="14"/>
  <c r="H27" i="15"/>
  <c r="D9" i="16"/>
  <c r="E67" i="16"/>
  <c r="E88" i="16"/>
  <c r="H88" i="16" s="1"/>
  <c r="H73" i="17"/>
  <c r="D73" i="18"/>
  <c r="H75" i="18"/>
  <c r="H88" i="18"/>
  <c r="F15" i="19"/>
  <c r="H13" i="19"/>
  <c r="F9" i="19"/>
  <c r="E71" i="19"/>
  <c r="E67" i="19" s="1"/>
  <c r="G13" i="10"/>
  <c r="H28" i="10"/>
  <c r="D30" i="12"/>
  <c r="E30" i="14"/>
  <c r="E11" i="14" s="1"/>
  <c r="F55" i="14"/>
  <c r="H47" i="15"/>
  <c r="F46" i="15"/>
  <c r="G73" i="15"/>
  <c r="G71" i="15" s="1"/>
  <c r="G67" i="15" s="1"/>
  <c r="G74" i="15"/>
  <c r="E15" i="16"/>
  <c r="E12" i="16" s="1"/>
  <c r="E11" i="16" s="1"/>
  <c r="D14" i="16"/>
  <c r="D15" i="16" s="1"/>
  <c r="D12" i="16" s="1"/>
  <c r="D11" i="16" s="1"/>
  <c r="D21" i="16"/>
  <c r="F30" i="16"/>
  <c r="H30" i="16" s="1"/>
  <c r="H28" i="16"/>
  <c r="E55" i="16"/>
  <c r="H47" i="17"/>
  <c r="E14" i="18"/>
  <c r="E15" i="18" s="1"/>
  <c r="E12" i="18" s="1"/>
  <c r="E11" i="18" s="1"/>
  <c r="E21" i="18"/>
  <c r="H48" i="18"/>
  <c r="E47" i="18"/>
  <c r="G9" i="19"/>
  <c r="E30" i="19"/>
  <c r="H30" i="19" s="1"/>
  <c r="H28" i="19"/>
  <c r="H61" i="14"/>
  <c r="F15" i="15"/>
  <c r="H13" i="15"/>
  <c r="D21" i="15"/>
  <c r="H64" i="15"/>
  <c r="E67" i="15"/>
  <c r="F13" i="16"/>
  <c r="E21" i="16"/>
  <c r="G9" i="16"/>
  <c r="G10" i="16"/>
  <c r="G73" i="17"/>
  <c r="G71" i="17" s="1"/>
  <c r="G67" i="17" s="1"/>
  <c r="E21" i="19"/>
  <c r="E13" i="19"/>
  <c r="H72" i="19"/>
  <c r="H83" i="19"/>
  <c r="H53" i="13"/>
  <c r="F46" i="14"/>
  <c r="E57" i="14"/>
  <c r="E55" i="14" s="1"/>
  <c r="H75" i="14"/>
  <c r="E72" i="14"/>
  <c r="G15" i="15"/>
  <c r="G12" i="15" s="1"/>
  <c r="G11" i="15" s="1"/>
  <c r="G10" i="15"/>
  <c r="E15" i="17"/>
  <c r="E12" i="17" s="1"/>
  <c r="E11" i="17" s="1"/>
  <c r="H20" i="17"/>
  <c r="F14" i="17"/>
  <c r="H14" i="17" s="1"/>
  <c r="F21" i="18"/>
  <c r="H19" i="18"/>
  <c r="F13" i="18"/>
  <c r="H45" i="19"/>
  <c r="F81" i="13"/>
  <c r="H81" i="13" s="1"/>
  <c r="H20" i="14"/>
  <c r="F14" i="14"/>
  <c r="H14" i="14" s="1"/>
  <c r="H94" i="14"/>
  <c r="D30" i="15"/>
  <c r="D11" i="15" s="1"/>
  <c r="D9" i="15"/>
  <c r="H49" i="15"/>
  <c r="E74" i="15"/>
  <c r="H74" i="15" s="1"/>
  <c r="H75" i="15"/>
  <c r="H83" i="16"/>
  <c r="F81" i="16"/>
  <c r="H81" i="16" s="1"/>
  <c r="D21" i="17"/>
  <c r="D13" i="17"/>
  <c r="E30" i="17"/>
  <c r="H30" i="17" s="1"/>
  <c r="G57" i="17"/>
  <c r="G55" i="17" s="1"/>
  <c r="G46" i="17" s="1"/>
  <c r="H81" i="17"/>
  <c r="G88" i="18"/>
  <c r="H42" i="19"/>
  <c r="F67" i="19"/>
  <c r="F81" i="19"/>
  <c r="D46" i="15"/>
  <c r="F71" i="16"/>
  <c r="H71" i="16" s="1"/>
  <c r="H13" i="17"/>
  <c r="H58" i="17"/>
  <c r="H74" i="17"/>
  <c r="G46" i="18"/>
  <c r="G9" i="18" s="1"/>
  <c r="F81" i="18"/>
  <c r="H81" i="18" s="1"/>
  <c r="E47" i="19"/>
  <c r="E88" i="19"/>
  <c r="E9" i="5" l="1"/>
  <c r="F72" i="1"/>
  <c r="F74" i="1"/>
  <c r="G9" i="6"/>
  <c r="E55" i="13"/>
  <c r="E46" i="13" s="1"/>
  <c r="H56" i="13"/>
  <c r="H55" i="5"/>
  <c r="H72" i="18"/>
  <c r="E71" i="18"/>
  <c r="E67" i="18" s="1"/>
  <c r="H57" i="13"/>
  <c r="F55" i="13"/>
  <c r="E47" i="11"/>
  <c r="E46" i="11" s="1"/>
  <c r="H48" i="11"/>
  <c r="D9" i="5"/>
  <c r="F15" i="6"/>
  <c r="F10" i="7"/>
  <c r="H10" i="7" s="1"/>
  <c r="H13" i="7"/>
  <c r="F9" i="7"/>
  <c r="F15" i="3"/>
  <c r="H57" i="14"/>
  <c r="F46" i="11"/>
  <c r="F67" i="9"/>
  <c r="H67" i="9" s="1"/>
  <c r="H55" i="12"/>
  <c r="F46" i="12"/>
  <c r="H71" i="19"/>
  <c r="F47" i="1"/>
  <c r="I47" i="1" s="1"/>
  <c r="I48" i="1"/>
  <c r="E46" i="12"/>
  <c r="E9" i="12" s="1"/>
  <c r="H47" i="12"/>
  <c r="E74" i="7"/>
  <c r="H74" i="7" s="1"/>
  <c r="H75" i="7"/>
  <c r="E72" i="7"/>
  <c r="H30" i="14"/>
  <c r="E74" i="10"/>
  <c r="H74" i="10" s="1"/>
  <c r="H75" i="10"/>
  <c r="E72" i="10"/>
  <c r="H21" i="19"/>
  <c r="D12" i="3"/>
  <c r="D11" i="3"/>
  <c r="D11" i="11"/>
  <c r="F46" i="5"/>
  <c r="E10" i="8"/>
  <c r="H10" i="8" s="1"/>
  <c r="H13" i="8"/>
  <c r="F15" i="17"/>
  <c r="F46" i="3"/>
  <c r="F67" i="7"/>
  <c r="D15" i="10"/>
  <c r="D12" i="10" s="1"/>
  <c r="D11" i="10" s="1"/>
  <c r="D10" i="10"/>
  <c r="D9" i="10"/>
  <c r="E47" i="14"/>
  <c r="H48" i="14"/>
  <c r="H71" i="4"/>
  <c r="G14" i="6"/>
  <c r="G12" i="6"/>
  <c r="G11" i="6" s="1"/>
  <c r="F12" i="19"/>
  <c r="D9" i="17"/>
  <c r="D10" i="17"/>
  <c r="D15" i="17"/>
  <c r="D12" i="17" s="1"/>
  <c r="D11" i="17" s="1"/>
  <c r="E10" i="19"/>
  <c r="H10" i="19" s="1"/>
  <c r="E15" i="19"/>
  <c r="E12" i="19" s="1"/>
  <c r="E11" i="19" s="1"/>
  <c r="F15" i="16"/>
  <c r="H13" i="16"/>
  <c r="F10" i="16"/>
  <c r="H10" i="16" s="1"/>
  <c r="H47" i="8"/>
  <c r="H14" i="18"/>
  <c r="F71" i="8"/>
  <c r="H72" i="12"/>
  <c r="D9" i="3"/>
  <c r="E21" i="4"/>
  <c r="H24" i="4"/>
  <c r="E46" i="4"/>
  <c r="F12" i="15"/>
  <c r="H47" i="10"/>
  <c r="F46" i="10"/>
  <c r="H46" i="10" s="1"/>
  <c r="G67" i="1"/>
  <c r="H55" i="14"/>
  <c r="H57" i="18"/>
  <c r="F55" i="18"/>
  <c r="E20" i="5"/>
  <c r="H20" i="5" s="1"/>
  <c r="E15" i="5"/>
  <c r="F67" i="6"/>
  <c r="E46" i="19"/>
  <c r="H46" i="19" s="1"/>
  <c r="H47" i="19"/>
  <c r="H81" i="19"/>
  <c r="H13" i="18"/>
  <c r="F10" i="18"/>
  <c r="H10" i="18" s="1"/>
  <c r="F15" i="18"/>
  <c r="E71" i="14"/>
  <c r="E67" i="14" s="1"/>
  <c r="H72" i="14"/>
  <c r="F67" i="16"/>
  <c r="H67" i="16" s="1"/>
  <c r="F10" i="10"/>
  <c r="H10" i="10" s="1"/>
  <c r="F9" i="10"/>
  <c r="F15" i="10"/>
  <c r="H13" i="10"/>
  <c r="G9" i="17"/>
  <c r="G15" i="17"/>
  <c r="G12" i="17" s="1"/>
  <c r="G11" i="17" s="1"/>
  <c r="G10" i="17"/>
  <c r="F67" i="11"/>
  <c r="E71" i="17"/>
  <c r="E67" i="17" s="1"/>
  <c r="E9" i="17" s="1"/>
  <c r="E74" i="13"/>
  <c r="H74" i="13" s="1"/>
  <c r="H75" i="13"/>
  <c r="E72" i="13"/>
  <c r="H14" i="9"/>
  <c r="F15" i="9"/>
  <c r="H11" i="12"/>
  <c r="F46" i="7"/>
  <c r="H46" i="7" s="1"/>
  <c r="H47" i="7"/>
  <c r="G55" i="1"/>
  <c r="F15" i="11"/>
  <c r="H13" i="11"/>
  <c r="F10" i="11"/>
  <c r="H10" i="11" s="1"/>
  <c r="F50" i="1"/>
  <c r="I53" i="1"/>
  <c r="F67" i="12"/>
  <c r="H67" i="12" s="1"/>
  <c r="H71" i="12"/>
  <c r="H10" i="5"/>
  <c r="E11" i="3"/>
  <c r="E12" i="3"/>
  <c r="E14" i="3"/>
  <c r="E14" i="7"/>
  <c r="E12" i="7"/>
  <c r="E11" i="7" s="1"/>
  <c r="E47" i="3"/>
  <c r="E46" i="3" s="1"/>
  <c r="F46" i="1"/>
  <c r="H48" i="3"/>
  <c r="F88" i="1"/>
  <c r="I89" i="1"/>
  <c r="G10" i="1"/>
  <c r="H19" i="4"/>
  <c r="E13" i="4"/>
  <c r="E15" i="10"/>
  <c r="E12" i="10" s="1"/>
  <c r="E11" i="10" s="1"/>
  <c r="E10" i="10"/>
  <c r="F46" i="6"/>
  <c r="H47" i="6"/>
  <c r="D10" i="9"/>
  <c r="D9" i="9"/>
  <c r="D15" i="9"/>
  <c r="D12" i="9" s="1"/>
  <c r="D11" i="9" s="1"/>
  <c r="F67" i="17"/>
  <c r="H75" i="8"/>
  <c r="E72" i="8"/>
  <c r="E74" i="8"/>
  <c r="H74" i="8" s="1"/>
  <c r="F46" i="18"/>
  <c r="H47" i="18"/>
  <c r="F69" i="1"/>
  <c r="H69" i="3"/>
  <c r="E68" i="3"/>
  <c r="H71" i="18"/>
  <c r="F67" i="18"/>
  <c r="H67" i="18" s="1"/>
  <c r="F56" i="1"/>
  <c r="F55" i="1" s="1"/>
  <c r="E12" i="8"/>
  <c r="E11" i="8" s="1"/>
  <c r="E14" i="8"/>
  <c r="H67" i="4"/>
  <c r="H67" i="19"/>
  <c r="F10" i="13"/>
  <c r="H10" i="13" s="1"/>
  <c r="F15" i="13"/>
  <c r="F12" i="13" s="1"/>
  <c r="F11" i="13" s="1"/>
  <c r="H11" i="13" s="1"/>
  <c r="D9" i="19"/>
  <c r="D10" i="19"/>
  <c r="D15" i="19"/>
  <c r="D12" i="19" s="1"/>
  <c r="D11" i="19" s="1"/>
  <c r="F71" i="14"/>
  <c r="H73" i="14"/>
  <c r="F55" i="9"/>
  <c r="H55" i="9" s="1"/>
  <c r="H57" i="9"/>
  <c r="E55" i="18"/>
  <c r="E46" i="18" s="1"/>
  <c r="E9" i="18" s="1"/>
  <c r="H56" i="18"/>
  <c r="F15" i="14"/>
  <c r="H75" i="11"/>
  <c r="E72" i="11"/>
  <c r="E74" i="11"/>
  <c r="H74" i="11" s="1"/>
  <c r="G8" i="1"/>
  <c r="H72" i="4"/>
  <c r="H73" i="3"/>
  <c r="F71" i="3"/>
  <c r="E9" i="15"/>
  <c r="E10" i="15"/>
  <c r="H10" i="15" s="1"/>
  <c r="E15" i="15"/>
  <c r="E12" i="15" s="1"/>
  <c r="E11" i="15" s="1"/>
  <c r="H30" i="11"/>
  <c r="H15" i="7"/>
  <c r="F12" i="7"/>
  <c r="F14" i="7"/>
  <c r="H14" i="7" s="1"/>
  <c r="G55" i="5"/>
  <c r="G46" i="5" s="1"/>
  <c r="G9" i="5" s="1"/>
  <c r="H56" i="1"/>
  <c r="H55" i="1" s="1"/>
  <c r="H44" i="1" s="1"/>
  <c r="H7" i="1" s="1"/>
  <c r="F81" i="1"/>
  <c r="H46" i="4"/>
  <c r="F22" i="1"/>
  <c r="F19" i="1" s="1"/>
  <c r="I20" i="1"/>
  <c r="F17" i="1"/>
  <c r="H21" i="18"/>
  <c r="H46" i="15"/>
  <c r="G9" i="10"/>
  <c r="G15" i="10"/>
  <c r="G12" i="10" s="1"/>
  <c r="G11" i="10" s="1"/>
  <c r="G10" i="10"/>
  <c r="H73" i="15"/>
  <c r="F71" i="15"/>
  <c r="H55" i="16"/>
  <c r="F46" i="16"/>
  <c r="H46" i="16" s="1"/>
  <c r="G15" i="11"/>
  <c r="G12" i="11" s="1"/>
  <c r="G11" i="11" s="1"/>
  <c r="G10" i="11"/>
  <c r="G9" i="11"/>
  <c r="F46" i="9"/>
  <c r="H47" i="9"/>
  <c r="H21" i="8"/>
  <c r="F15" i="8"/>
  <c r="H21" i="5"/>
  <c r="F15" i="5"/>
  <c r="E74" i="6"/>
  <c r="H74" i="6" s="1"/>
  <c r="E72" i="6"/>
  <c r="H75" i="6"/>
  <c r="H46" i="8"/>
  <c r="F67" i="5"/>
  <c r="H67" i="5" s="1"/>
  <c r="H8" i="1"/>
  <c r="I88" i="1"/>
  <c r="G9" i="1" l="1"/>
  <c r="H46" i="12"/>
  <c r="F9" i="12"/>
  <c r="H9" i="12" s="1"/>
  <c r="E67" i="3"/>
  <c r="E9" i="3" s="1"/>
  <c r="H68" i="3"/>
  <c r="H71" i="17"/>
  <c r="F9" i="11"/>
  <c r="H47" i="3"/>
  <c r="E71" i="8"/>
  <c r="E67" i="8" s="1"/>
  <c r="E9" i="8" s="1"/>
  <c r="H72" i="8"/>
  <c r="H55" i="13"/>
  <c r="F46" i="13"/>
  <c r="E9" i="19"/>
  <c r="H9" i="19" s="1"/>
  <c r="H15" i="8"/>
  <c r="F12" i="8"/>
  <c r="F14" i="8"/>
  <c r="H14" i="8" s="1"/>
  <c r="H71" i="15"/>
  <c r="F67" i="15"/>
  <c r="E71" i="11"/>
  <c r="H72" i="11"/>
  <c r="H67" i="17"/>
  <c r="F9" i="17"/>
  <c r="H9" i="17" s="1"/>
  <c r="F45" i="1"/>
  <c r="I46" i="1"/>
  <c r="I56" i="1"/>
  <c r="E71" i="13"/>
  <c r="H72" i="13"/>
  <c r="H15" i="18"/>
  <c r="F12" i="18"/>
  <c r="E20" i="4"/>
  <c r="H20" i="4" s="1"/>
  <c r="H21" i="4"/>
  <c r="E15" i="4"/>
  <c r="F9" i="16"/>
  <c r="H9" i="16" s="1"/>
  <c r="F9" i="3"/>
  <c r="H46" i="3"/>
  <c r="F71" i="1"/>
  <c r="I71" i="1" s="1"/>
  <c r="I72" i="1"/>
  <c r="F11" i="15"/>
  <c r="H11" i="15" s="1"/>
  <c r="H12" i="15"/>
  <c r="H46" i="6"/>
  <c r="F9" i="6"/>
  <c r="H46" i="5"/>
  <c r="F9" i="5"/>
  <c r="H9" i="5" s="1"/>
  <c r="H15" i="11"/>
  <c r="F12" i="11"/>
  <c r="H72" i="7"/>
  <c r="E71" i="7"/>
  <c r="F11" i="1"/>
  <c r="I17" i="1"/>
  <c r="H71" i="3"/>
  <c r="F67" i="3"/>
  <c r="F67" i="14"/>
  <c r="H71" i="14"/>
  <c r="F68" i="1"/>
  <c r="I69" i="1"/>
  <c r="E9" i="4"/>
  <c r="H9" i="4" s="1"/>
  <c r="E10" i="4"/>
  <c r="H10" i="4" s="1"/>
  <c r="H13" i="4"/>
  <c r="I55" i="1"/>
  <c r="G44" i="1"/>
  <c r="E14" i="5"/>
  <c r="E12" i="5"/>
  <c r="E11" i="5" s="1"/>
  <c r="H47" i="14"/>
  <c r="E46" i="14"/>
  <c r="H15" i="17"/>
  <c r="F12" i="17"/>
  <c r="H46" i="11"/>
  <c r="F14" i="6"/>
  <c r="H14" i="6" s="1"/>
  <c r="H15" i="6"/>
  <c r="F12" i="6"/>
  <c r="F11" i="3"/>
  <c r="F12" i="3"/>
  <c r="F14" i="3"/>
  <c r="F14" i="5"/>
  <c r="H15" i="5"/>
  <c r="F12" i="5"/>
  <c r="H15" i="9"/>
  <c r="F12" i="9"/>
  <c r="H71" i="8"/>
  <c r="F67" i="8"/>
  <c r="H46" i="9"/>
  <c r="F9" i="9"/>
  <c r="H9" i="9" s="1"/>
  <c r="F11" i="7"/>
  <c r="H11" i="7" s="1"/>
  <c r="H12" i="7"/>
  <c r="H15" i="14"/>
  <c r="F12" i="14"/>
  <c r="H15" i="10"/>
  <c r="F12" i="10"/>
  <c r="F11" i="19"/>
  <c r="H11" i="19" s="1"/>
  <c r="H12" i="19"/>
  <c r="E71" i="10"/>
  <c r="H72" i="10"/>
  <c r="H47" i="11"/>
  <c r="E71" i="6"/>
  <c r="H72" i="6"/>
  <c r="F18" i="1"/>
  <c r="F13" i="1"/>
  <c r="H46" i="18"/>
  <c r="F52" i="1"/>
  <c r="I52" i="1" s="1"/>
  <c r="I50" i="1"/>
  <c r="F9" i="18"/>
  <c r="H9" i="18" s="1"/>
  <c r="H55" i="18"/>
  <c r="H15" i="15"/>
  <c r="H15" i="16"/>
  <c r="F12" i="16"/>
  <c r="H15" i="19"/>
  <c r="F11" i="9" l="1"/>
  <c r="H11" i="9" s="1"/>
  <c r="H12" i="9"/>
  <c r="F11" i="6"/>
  <c r="H11" i="6" s="1"/>
  <c r="H12" i="6"/>
  <c r="E67" i="7"/>
  <c r="H71" i="7"/>
  <c r="I44" i="1"/>
  <c r="G7" i="1"/>
  <c r="I7" i="1" s="1"/>
  <c r="E11" i="4"/>
  <c r="H11" i="4" s="1"/>
  <c r="E14" i="4"/>
  <c r="H14" i="4" s="1"/>
  <c r="E12" i="4"/>
  <c r="H12" i="4" s="1"/>
  <c r="H15" i="4"/>
  <c r="H12" i="14"/>
  <c r="F11" i="14"/>
  <c r="H11" i="14" s="1"/>
  <c r="E67" i="11"/>
  <c r="H71" i="11"/>
  <c r="H9" i="3"/>
  <c r="H67" i="15"/>
  <c r="F9" i="15"/>
  <c r="H9" i="15" s="1"/>
  <c r="H12" i="16"/>
  <c r="F11" i="16"/>
  <c r="H11" i="16" s="1"/>
  <c r="H14" i="5"/>
  <c r="H67" i="14"/>
  <c r="F9" i="14"/>
  <c r="H9" i="14" s="1"/>
  <c r="F11" i="11"/>
  <c r="H11" i="11" s="1"/>
  <c r="H12" i="11"/>
  <c r="F44" i="1"/>
  <c r="I45" i="1"/>
  <c r="F11" i="8"/>
  <c r="H11" i="8" s="1"/>
  <c r="H12" i="8"/>
  <c r="E67" i="6"/>
  <c r="H71" i="6"/>
  <c r="E67" i="10"/>
  <c r="H71" i="10"/>
  <c r="F10" i="1"/>
  <c r="F12" i="1"/>
  <c r="I13" i="1"/>
  <c r="F11" i="17"/>
  <c r="H11" i="17" s="1"/>
  <c r="H12" i="17"/>
  <c r="H67" i="3"/>
  <c r="F8" i="1"/>
  <c r="I8" i="1" s="1"/>
  <c r="F7" i="1"/>
  <c r="M7" i="1" s="1"/>
  <c r="I11" i="1"/>
  <c r="H71" i="13"/>
  <c r="E67" i="13"/>
  <c r="F11" i="5"/>
  <c r="H11" i="5" s="1"/>
  <c r="H12" i="5"/>
  <c r="F67" i="1"/>
  <c r="I67" i="1" s="1"/>
  <c r="I68" i="1"/>
  <c r="F11" i="10"/>
  <c r="H11" i="10" s="1"/>
  <c r="H12" i="10"/>
  <c r="H67" i="8"/>
  <c r="F9" i="8"/>
  <c r="H9" i="8" s="1"/>
  <c r="H12" i="18"/>
  <c r="F11" i="18"/>
  <c r="H11" i="18" s="1"/>
  <c r="E9" i="14"/>
  <c r="H46" i="14"/>
  <c r="H46" i="13"/>
  <c r="F9" i="13"/>
  <c r="H67" i="11" l="1"/>
  <c r="E9" i="11"/>
  <c r="H9" i="11" s="1"/>
  <c r="H67" i="13"/>
  <c r="E9" i="13"/>
  <c r="E9" i="7"/>
  <c r="H9" i="7" s="1"/>
  <c r="H67" i="7"/>
  <c r="H9" i="13"/>
  <c r="F9" i="1"/>
  <c r="I9" i="1" s="1"/>
  <c r="I10" i="1"/>
  <c r="E9" i="6"/>
  <c r="H9" i="6" s="1"/>
  <c r="H67" i="6"/>
  <c r="H67" i="10"/>
  <c r="E9" i="10"/>
  <c r="H9" i="10" s="1"/>
  <c r="F124" i="2"/>
  <c r="I124" i="2"/>
  <c r="H124" i="2"/>
</calcChain>
</file>

<file path=xl/sharedStrings.xml><?xml version="1.0" encoding="utf-8"?>
<sst xmlns="http://schemas.openxmlformats.org/spreadsheetml/2006/main" count="4806" uniqueCount="291">
  <si>
    <t>Phụ biểu số 01</t>
  </si>
  <si>
    <t>TÌNH HÌNH THỰC HIỆN SẢN XUẤT NÔNG NGHIỆP - THỦY SẢN TRÊN ĐỊA BÀN XÃ TU MƠ RÔNG THÁNG 7 NĂM 2026</t>
  </si>
  <si>
    <t>(Kèm theo Báo cáo số        /BC-UBND, Ngày      tháng 7 năm 2026 của UBND xã Tu Mơ Rông)</t>
  </si>
  <si>
    <t>STT</t>
  </si>
  <si>
    <t>Chỉ tiêu</t>
  </si>
  <si>
    <t>ĐVT</t>
  </si>
  <si>
    <t>Thực hiện 
năm 2025</t>
  </si>
  <si>
    <t>Kế hoạch Tỉnh Giao năm 2026</t>
  </si>
  <si>
    <t>Năm 2026</t>
  </si>
  <si>
    <t>Ghi Chú</t>
  </si>
  <si>
    <t>Tổng số hộ</t>
  </si>
  <si>
    <t>Kế hoạch</t>
  </si>
  <si>
    <t>Thực hiện
 Tháng 7</t>
  </si>
  <si>
    <t>Ước thực hiện tháng 8</t>
  </si>
  <si>
    <t>So với 
Kế hoạch (%)</t>
  </si>
  <si>
    <t>Tổng số nhân khẩu</t>
  </si>
  <si>
    <t>A</t>
  </si>
  <si>
    <t>TRỒNG TRỌT</t>
  </si>
  <si>
    <t>Ha</t>
  </si>
  <si>
    <t>Cây lương thực</t>
  </si>
  <si>
    <t>Tổng sản lượng lương thực có hạt</t>
  </si>
  <si>
    <t>Tấn</t>
  </si>
  <si>
    <t>Trong đó: Lúa</t>
  </si>
  <si>
    <t>1.1</t>
  </si>
  <si>
    <t>Lúa cả năm</t>
  </si>
  <si>
    <t xml:space="preserve">   Năng suất</t>
  </si>
  <si>
    <t>Tạ/ha</t>
  </si>
  <si>
    <t xml:space="preserve">   Sản lượng</t>
  </si>
  <si>
    <t>a</t>
  </si>
  <si>
    <t>Lúa Đông Xuân</t>
  </si>
  <si>
    <t>b</t>
  </si>
  <si>
    <t>Lúa mùa</t>
  </si>
  <si>
    <t>*</t>
  </si>
  <si>
    <t>Lúa ruộng</t>
  </si>
  <si>
    <t>Lúa rẫy</t>
  </si>
  <si>
    <t>1.2</t>
  </si>
  <si>
    <t>Ngô cả năm</t>
  </si>
  <si>
    <t>Ngô vụ Đông xuân</t>
  </si>
  <si>
    <t>Ngô vụ mùa</t>
  </si>
  <si>
    <t>Sắn</t>
  </si>
  <si>
    <t>Đậu</t>
  </si>
  <si>
    <t>Cây rau các loại</t>
  </si>
  <si>
    <t>Cây lâu năm</t>
  </si>
  <si>
    <t>5.1</t>
  </si>
  <si>
    <t>Cà phê</t>
  </si>
  <si>
    <t xml:space="preserve">Diện tích hiện có </t>
  </si>
  <si>
    <t>Diện trồng mới</t>
  </si>
  <si>
    <t>-</t>
  </si>
  <si>
    <t>Trồng mới cà phê xứ lạnh (Catimo)</t>
  </si>
  <si>
    <t>Trồng mới cà phê Vối</t>
  </si>
  <si>
    <t>Diện tích cho thu hoạch</t>
  </si>
  <si>
    <t>Cà phê xứ lạnh</t>
  </si>
  <si>
    <t>Cà phê Vối</t>
  </si>
  <si>
    <t>5.2</t>
  </si>
  <si>
    <t>Cây ăn quả</t>
  </si>
  <si>
    <t>Diện tích cho thu hoạch (Hiện có)</t>
  </si>
  <si>
    <t>Diện tích dự kiến trồng mới</t>
  </si>
  <si>
    <t>Trồng mới cây ăn quả lâu năm</t>
  </si>
  <si>
    <t>DT trồng mới sầu riêng, mít, riêng, bơ, xoài…...</t>
  </si>
  <si>
    <t>DT trồng mới cây Cây có múi (Cam, chanh, bưởi …..)</t>
  </si>
  <si>
    <t>Trồng mới cây ăn quả hằng năm</t>
  </si>
  <si>
    <t>Diện tích trồng mới cây Dứa, Chuối, …....</t>
  </si>
  <si>
    <t>Các loại cây trồng hằng năm khác …</t>
  </si>
  <si>
    <t>5.3</t>
  </si>
  <si>
    <t>Cây Mắc ca</t>
  </si>
  <si>
    <t>Trồng mới</t>
  </si>
  <si>
    <t>Dược liệu</t>
  </si>
  <si>
    <t>6.1</t>
  </si>
  <si>
    <t>Sâm Ngọc Linh</t>
  </si>
  <si>
    <t xml:space="preserve">Tổng diện tích Sâm Ngọc Linh hiện có </t>
  </si>
  <si>
    <t>Trong đó: dự kiến Trồng mới</t>
  </si>
  <si>
    <t>( Thôn Tu Mơ Rông trồng 6,0ha; Thôn Mô Pả 0,27 ha)</t>
  </si>
  <si>
    <t>6.2</t>
  </si>
  <si>
    <t>Tổng diện tích dược liệu khác</t>
  </si>
  <si>
    <t xml:space="preserve">Tổng diện tích dược liệu khác hiện có </t>
  </si>
  <si>
    <t>Giảm do thu hoạch</t>
  </si>
  <si>
    <t>Cây Dược liệu khác trồng mới</t>
  </si>
  <si>
    <t>Cây Dược liệu lâu năm</t>
  </si>
  <si>
    <t>+</t>
  </si>
  <si>
    <t>Dự kiến Trồng mới</t>
  </si>
  <si>
    <t>Cây Đảng sâm (Sâm Dây)</t>
  </si>
  <si>
    <t>Sơn Tra</t>
  </si>
  <si>
    <t xml:space="preserve">Ngũ vị tử </t>
  </si>
  <si>
    <t>Dược liệu khác lâu năm ……..</t>
  </si>
  <si>
    <t>Cây Dược liệu hàng năm khác</t>
  </si>
  <si>
    <t>Diện tích hiện có cuối năm</t>
  </si>
  <si>
    <t xml:space="preserve">Gừng </t>
  </si>
  <si>
    <t>Sả</t>
  </si>
  <si>
    <t>Nghệ</t>
  </si>
  <si>
    <t>Dược liệu khác hằng năm……..</t>
  </si>
  <si>
    <t>B</t>
  </si>
  <si>
    <t>CHĂN NUÔI 
(Trâu, bò, lợn)</t>
  </si>
  <si>
    <t>Trâu</t>
  </si>
  <si>
    <t>Con</t>
  </si>
  <si>
    <t>Bò</t>
  </si>
  <si>
    <t>Tỷ trọng bò lai</t>
  </si>
  <si>
    <t>%</t>
  </si>
  <si>
    <t>Lợn</t>
  </si>
  <si>
    <t>Sản lượng thịt hơi xuất chuồng</t>
  </si>
  <si>
    <t>Dê</t>
  </si>
  <si>
    <t>Gia cầm</t>
  </si>
  <si>
    <t>C</t>
  </si>
  <si>
    <t>THỦY SẢN</t>
  </si>
  <si>
    <t>Diện tích nuôi ao hồ nhỏ</t>
  </si>
  <si>
    <t xml:space="preserve">Sản lượng </t>
  </si>
  <si>
    <t>D</t>
  </si>
  <si>
    <t>LÂM NGHIỆP</t>
  </si>
  <si>
    <t>Diện tích trồng mới rừng tập trung</t>
  </si>
  <si>
    <t>- Rừng phòng hộ</t>
  </si>
  <si>
    <t>- Rừng sản xuất</t>
  </si>
  <si>
    <t>Trồng rừng phân tán</t>
  </si>
  <si>
    <t>Diện tích quy hoạch 03 loại rừng</t>
  </si>
  <si>
    <t>"</t>
  </si>
  <si>
    <t xml:space="preserve">CHỈ TIÊU, KẾ HOẠCH PHÁT TRIỂN VĂN HÓA - XÃ HỘI, QUỐC PHÒNG - AN NINH  TRÊN ĐỊA BÀN XÃ TU MƠ RÔNG THÁNG 7 NĂM 2026                   </t>
  </si>
  <si>
    <t>TT</t>
  </si>
  <si>
    <t>Đơn vị tính</t>
  </si>
  <si>
    <t>Kế hoạch Tỉnh Giao 2026</t>
  </si>
  <si>
    <t xml:space="preserve">Ghi chú
</t>
  </si>
  <si>
    <t>Tổng thu ngân sách nhà nước trên địa bàn</t>
  </si>
  <si>
    <t>Triệu đồng</t>
  </si>
  <si>
    <t xml:space="preserve">Tốc độ tăng tổng thu ngân sách nhà nước trên địa bàn bình quân </t>
  </si>
  <si>
    <t>2-3%</t>
  </si>
  <si>
    <t>Đánh giá cuối năm</t>
  </si>
  <si>
    <t>Tốc độ tăng tổng giá trị sản phẩm hằng năm</t>
  </si>
  <si>
    <t>Dân số, Lương thực bình quân</t>
  </si>
  <si>
    <t>Dân số có mặt đầu năm</t>
  </si>
  <si>
    <t>Người</t>
  </si>
  <si>
    <t>Dân số có mặt cuối năm</t>
  </si>
  <si>
    <t xml:space="preserve">Dân số trung bình trong năm </t>
  </si>
  <si>
    <t>Lương thực bình quân đầu người</t>
  </si>
  <si>
    <t>Kg</t>
  </si>
  <si>
    <t>Tuổi thọ trung bình</t>
  </si>
  <si>
    <t>Tuổi</t>
  </si>
  <si>
    <t>Tỷ lệ giới tính của trẻ em mới sinh, số bé trai/100 bé gái</t>
  </si>
  <si>
    <t>Lao động và việc làm</t>
  </si>
  <si>
    <t xml:space="preserve">Tỷ lệ lao động qua đào tạo </t>
  </si>
  <si>
    <t xml:space="preserve">Trong đó, tỷ lệ lao động được đào tạo nghề </t>
  </si>
  <si>
    <t>Số người trong độ tuổi lao động</t>
  </si>
  <si>
    <t>Tỷ lệ lao động từ 15 tuổi trở lên đang làm việc so với tổng dân số</t>
  </si>
  <si>
    <r>
      <rPr>
        <b/>
        <sz val="11"/>
        <color theme="1"/>
        <rFont val="Times New Roman"/>
      </rPr>
      <t xml:space="preserve">Giảm nghèo </t>
    </r>
    <r>
      <rPr>
        <b/>
        <i/>
        <sz val="11"/>
        <color theme="1"/>
        <rFont val="Times New Roman"/>
      </rPr>
      <t>(theo chuẩn nghèo tiếp cận đa chiều)</t>
    </r>
  </si>
  <si>
    <t>Hộ</t>
  </si>
  <si>
    <t>Số hộ nghèo</t>
  </si>
  <si>
    <t xml:space="preserve">Số hộ Nghèo giảm </t>
  </si>
  <si>
    <t>Tỷ lệ hộ nghèo</t>
  </si>
  <si>
    <t>Giáo dục và Đào tạo</t>
  </si>
  <si>
    <t>Tổng số học sinh có mặt từ đầu năm</t>
  </si>
  <si>
    <t>Học sinh</t>
  </si>
  <si>
    <t>Nhà trẻ</t>
  </si>
  <si>
    <t>Mẫu giáo</t>
  </si>
  <si>
    <t>Tiểu học</t>
  </si>
  <si>
    <t>Trung học cơ sở</t>
  </si>
  <si>
    <t>Tỷ lệ học sinh đi học đúng độ tuổi</t>
  </si>
  <si>
    <t>Trung học phổ thông</t>
  </si>
  <si>
    <t>Thuộc Sở GD&amp;ĐT theo dõi</t>
  </si>
  <si>
    <t>Tỷ lệ học sinh tốt nghiệp THCS, THPT chuyển sang học nghề</t>
  </si>
  <si>
    <t>Tỷ lệ trường đạt chuẩn quốc gia</t>
  </si>
  <si>
    <t>Tỷ lệ huy động học sinh ra lớp ở các cấp</t>
  </si>
  <si>
    <t>Mầm non</t>
  </si>
  <si>
    <t>Giáo viên đạt chuẩn về trình độ đào tạo, không có giáo viên năng lực yếu, kém</t>
  </si>
  <si>
    <t>Giáo viên</t>
  </si>
  <si>
    <t>Y tế</t>
  </si>
  <si>
    <t>Tỷ lệ bao phủ y tế /dân số trung bình</t>
  </si>
  <si>
    <t>Tỷ lệ bao phủ bảo hiểm xã hội so với lực lượng lao động</t>
  </si>
  <si>
    <t>Trong đó: Tỷ lệ bao phủ bảo hiểm tự nguyện/LLLĐ tham gia</t>
  </si>
  <si>
    <t>Tỷ lệ bao phủ bảo hiểm thất nghiệp so với lực lượng lao động</t>
  </si>
  <si>
    <t>Tổng số giường bệnh</t>
  </si>
  <si>
    <t>Giường</t>
  </si>
  <si>
    <t>Trung tâm y tế</t>
  </si>
  <si>
    <t>Trạm y tế</t>
  </si>
  <si>
    <t>Tỷ lệ Trạm y tế xã đạt chuẩn quốc gia, có bác sỹ</t>
  </si>
  <si>
    <t>Số bác sỹ/10.000 dân</t>
  </si>
  <si>
    <t xml:space="preserve">Số giường bệnh công lập/10.000 dân </t>
  </si>
  <si>
    <t>Tỷ lệ xã đạt bộ tiêu chí quốc gia về y tế xã</t>
  </si>
  <si>
    <t>Tỷ lệ trạm y tế xã có bác sỹ làm việc</t>
  </si>
  <si>
    <t>Tỷ lệ trẻ em &lt; 5 tuổi suy dinh dưỡng thể thấp còi</t>
  </si>
  <si>
    <t xml:space="preserve">            '31</t>
  </si>
  <si>
    <t>30,6</t>
  </si>
  <si>
    <t>30,7</t>
  </si>
  <si>
    <t>Tỷ lệ trẻ em dưới 5 tuổi suy dinh dưỡng thể nhẹ cân</t>
  </si>
  <si>
    <t>16,6</t>
  </si>
  <si>
    <t>16,7</t>
  </si>
  <si>
    <t>Số ca ngộ độc thực phẩm cấp tỉnh trong vụ ngộ độc ghi nhận/100.000 dân</t>
  </si>
  <si>
    <t>Ca</t>
  </si>
  <si>
    <t>Tỷ lệ phụ nữ đẻ được khám thai ít nhất 4 lần trong 3 thời kì</t>
  </si>
  <si>
    <t>Tỷ lệ thôn, làng có cô đỡ</t>
  </si>
  <si>
    <t>Tỷ lệ bà mẹ và trẻ sơ sinh được chăm sóc sau sinh</t>
  </si>
  <si>
    <t>Tỷ lệ phụ nữ đẻ được cán bộ có kỹ năng đỡ</t>
  </si>
  <si>
    <t>Tỷ lệ phụ nữ DTTS đẻ được cán bộ y tế đỡ</t>
  </si>
  <si>
    <t>Tỷ lệ hộ gia đình ở nông thôn có nhà tiêu hợp vệ sinh</t>
  </si>
  <si>
    <t>Tỷ lệ hộ gia đình có nhà tiêu hợp vệ sinh</t>
  </si>
  <si>
    <t>Tỷ suất mắc bệnh truyền nhiễm gây dịch được báo cáo trong năm trên 100.000 dân</t>
  </si>
  <si>
    <t>Tỷ lệ phụ nữ có thai được tiêm phòng đủ Vắc xin phòng uốn ván</t>
  </si>
  <si>
    <t>Tỷ lệ trẻ dưới 1 tuổi được tiêm chủng đầy đủ</t>
  </si>
  <si>
    <t>Du lịch, Văn hoá, thể thao, thông tin</t>
  </si>
  <si>
    <t>Tổng lượt khách</t>
  </si>
  <si>
    <t>L/Khách</t>
  </si>
  <si>
    <t>Khách quốc tế</t>
  </si>
  <si>
    <t>Khách Nội Địa</t>
  </si>
  <si>
    <t>Doanh Thu</t>
  </si>
  <si>
    <t>Tỷ đồng</t>
  </si>
  <si>
    <t>Điểm du lịch văn hoá</t>
  </si>
  <si>
    <t>Điểm</t>
  </si>
  <si>
    <t>Làng bảo tồn văn hoá truyền thống</t>
  </si>
  <si>
    <t>Làng</t>
  </si>
  <si>
    <t>Làng du lịch đạt chuẩn quốc gia</t>
  </si>
  <si>
    <t>Tỷ lệ xã có nhà văn hóa</t>
  </si>
  <si>
    <t>Tỷ lệ thôn, làng đạt danh hiệu văn hóa</t>
  </si>
  <si>
    <t>Tỷ lệ gia đình đạt danh hiệu gia đình văn hoá</t>
  </si>
  <si>
    <t>Tỷ lệ gia đình đạt tiêu chuẩn gia đình thể thao</t>
  </si>
  <si>
    <t>Số thôn triển khai chương trình hành động vì trẻ em</t>
  </si>
  <si>
    <t>Thôn</t>
  </si>
  <si>
    <t>Tỷ lệ nhà ở kiên cố, bán kiên cố</t>
  </si>
  <si>
    <t>Hợp tác xã</t>
  </si>
  <si>
    <t>Tổng số hợp tác xã</t>
  </si>
  <si>
    <t>HTX</t>
  </si>
  <si>
    <t>4 HTX 
đang tạm ngưng hoạt động</t>
  </si>
  <si>
    <t>+ Số hợp tác xã thành lập mới</t>
  </si>
  <si>
    <t>+ Số hợp tác xã giải thể</t>
  </si>
  <si>
    <t>Tổng số lao động trong hợp tác xã</t>
  </si>
  <si>
    <t>Tỷ lệ hộ dân tộc thiểu số tham gia vào hợp tác xã</t>
  </si>
  <si>
    <t xml:space="preserve">Tổ hợp tác </t>
  </si>
  <si>
    <t>Tổng số tổ hợp tác</t>
  </si>
  <si>
    <t>THT</t>
  </si>
  <si>
    <t xml:space="preserve">Tổng số thành viên tổ hợp tác </t>
  </si>
  <si>
    <t>Công nghiệp</t>
  </si>
  <si>
    <t>Khai thác đá, cát, sỏi các loại</t>
  </si>
  <si>
    <t>M3</t>
  </si>
  <si>
    <t>Điện Thương Phẩm</t>
  </si>
  <si>
    <t>Triệu KW/H</t>
  </si>
  <si>
    <t>Tổng mức bán lẻ hàng hoá và doanh thu dịch vụ</t>
  </si>
  <si>
    <t>Xây dựng Nông Thôn Mới</t>
  </si>
  <si>
    <t>Tiêu chí đạt chuẩn NTM</t>
  </si>
  <si>
    <t>tiêu chí</t>
  </si>
  <si>
    <t>Chưa đánh giá</t>
  </si>
  <si>
    <t>Tỷ lệ xã đạt chuẩn NTM</t>
  </si>
  <si>
    <t>Tỷ lệ hộ dân được sử dụng điện</t>
  </si>
  <si>
    <t>Tỷ lệ hộ dân tộc thiểu số có đất ở</t>
  </si>
  <si>
    <t>Tỷ lệ hộ dân tộc thiểu số có đất sản xuất</t>
  </si>
  <si>
    <t>Chỉ tiêu về môi trường</t>
  </si>
  <si>
    <t>Tỷ lệ rác thải sinh hoạt ở nông thôn được thu gom và xử lý</t>
  </si>
  <si>
    <t>Tỷ lệ thu gom chất thải rắn sinh hoạt</t>
  </si>
  <si>
    <t>Tỷ lệ hộ gia đình ở khu vực nông thôn sử dụng nước hợp vệ sinh</t>
  </si>
  <si>
    <t>Tỷ lệ dân số được sử dụng nước sạch</t>
  </si>
  <si>
    <t>Diện tích tưới tiêu</t>
  </si>
  <si>
    <t>ha</t>
  </si>
  <si>
    <t>- Trong đó: Tưới bằng công trình kiên cố</t>
  </si>
  <si>
    <t>Chỉ tiêu Quốc phòng, an ninh</t>
  </si>
  <si>
    <t>Tỷ lệ giao quân, tuyển chọn gọi công dân nhập ngũ hằng năm</t>
  </si>
  <si>
    <t>Tỷ lệ giải quyết tố giác, tin báo về tội phạm, kiến nghị khởi tố</t>
  </si>
  <si>
    <t>Tỷ lệ điều tra, khám phá án</t>
  </si>
  <si>
    <t>Trong đó: án đặc biệt nghiêm trọng</t>
  </si>
  <si>
    <t>Tỷ lệ xã mạnh về phong trào toàn dân bảo vệ an ninh Tổ quốc</t>
  </si>
  <si>
    <t>Tỷ lệ xã, khu dân cư, cơ quan, trường học đạt tiêu chuẩn an toàn về an ninh trật tự</t>
  </si>
  <si>
    <t>Tỷ lệ giải quyết tin báo, tin tố giác tội phạm, kiến nghị khởi tố hằng năm</t>
  </si>
  <si>
    <t>Tỷ lệ xã mạnh về phong trào toàn dân bảo vệ an ninh tổ quốc; xã khu dân cư, cơ quan trường học đạt tiêu chuẩn an toàn về an ninh trật tự</t>
  </si>
  <si>
    <t xml:space="preserve">Tỷ lệ Đảng viên trong lực lượng dân quân tự vệ </t>
  </si>
  <si>
    <t>Xã Có thao trường bắn, huấn luyện</t>
  </si>
  <si>
    <t>Thao trường</t>
  </si>
  <si>
    <t>Chỉ tiêu về xây dựng Đảng và hệ thống chính trị</t>
  </si>
  <si>
    <t>Kết nạp Đảng viên mới</t>
  </si>
  <si>
    <t>Đảng viên</t>
  </si>
  <si>
    <t>Tỷ lệ TCCS Đảng hoàn thành tốt nhiệm vụ</t>
  </si>
  <si>
    <t>Quần chúng được tập hợp vào các đoàn thể chính trị-xã hội</t>
  </si>
  <si>
    <t>Tỷ lệ thôn trưởng là đảng viên</t>
  </si>
  <si>
    <t>Tỷ lệ Bí thư chi bộ kiểm thôn trưởng</t>
  </si>
  <si>
    <t xml:space="preserve">TÌNH HÌNH THỰC HIỆN SẢN XUẤT NÔNG NGHIỆP - THỦY SẢN </t>
  </si>
  <si>
    <t>THÔN TU MƠ RÔNG</t>
  </si>
  <si>
    <t>Thực hiện
 Tháng 03</t>
  </si>
  <si>
    <t>Ước thực hiện 
Tháng 04</t>
  </si>
  <si>
    <t>Trồng mới cà phê xứ lạnh</t>
  </si>
  <si>
    <t>Diện tích trồng mới rừng</t>
  </si>
  <si>
    <t>THÔN LONG LEO</t>
  </si>
  <si>
    <t>Ghi chú</t>
  </si>
  <si>
    <t>Thực hiện
 Tháng 05</t>
  </si>
  <si>
    <t>Ước thực hiện 
Tháng 06</t>
  </si>
  <si>
    <t>THÔN ĐĂK CHUM I</t>
  </si>
  <si>
    <t>THÔN ĐĂK CHUM II</t>
  </si>
  <si>
    <t>THÔN TU CẤP</t>
  </si>
  <si>
    <t>THÔN ĐĂK KA</t>
  </si>
  <si>
    <t>THÔN VĂN SANG</t>
  </si>
  <si>
    <t>THÔN ĐĂK NEANG</t>
  </si>
  <si>
    <t>THÔN NGỌC LEANG</t>
  </si>
  <si>
    <t>THÔN ĐĂK SIÊNG</t>
  </si>
  <si>
    <t>THÔN KON TUN</t>
  </si>
  <si>
    <t>THÔN MÔ PẢ</t>
  </si>
  <si>
    <t>THÔN TY TU</t>
  </si>
  <si>
    <t>THÔN KON LING</t>
  </si>
  <si>
    <t>THÔN ĐĂK PỜ TRANG</t>
  </si>
  <si>
    <t>THÔN KON PIA</t>
  </si>
  <si>
    <t xml:space="preserve"> </t>
  </si>
  <si>
    <t>THÔN ĐĂK 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</si>
</sst>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_-;\-* #,##0_-;_-* &quot;-&quot;??_-;_-@"/>
    <numFmt numFmtId="165" formatCode="_-* #,##0.00_-;\-* #,##0.00_-;_-* &quot;-&quot;??_-;_-@"/>
    <numFmt numFmtId="166" formatCode="_-* #,##0.00\ _₫_-;\-* #,##0.00\ _₫_-;_-* &quot;-&quot;??\ _₫_-;_-@"/>
    <numFmt numFmtId="167" formatCode="_-* #,##0.0_-;\-* #,##0.0_-;_-* &quot;-&quot;??_-;_-@"/>
    <numFmt numFmtId="168" formatCode="0.0000000000"/>
    <numFmt numFmtId="169" formatCode="_(* #,##0_);_(* \(#,##0\);_(* &quot;-&quot;??_);_(@_)"/>
    <numFmt numFmtId="170" formatCode="#,###&quot;  &quot;"/>
    <numFmt numFmtId="171" formatCode="_-* #,##0\ _₫_-;\-* #,##0\ _₫_-;_-* &quot;-&quot;??\ _₫_-;_-@"/>
    <numFmt numFmtId="172" formatCode="_-* #,##0.00_k_r_._-;\-* #,##0.00_k_r_._-;_-* &quot;-&quot;??_k_r_._-;_-@"/>
    <numFmt numFmtId="173" formatCode="_-* #,##0.00\ _₫_-;\-* #,##0.00\ _₫_-;_-* &quot;-&quot;??.00\ _₫_-;_-@"/>
    <numFmt numFmtId="174" formatCode="_-* #,##0_k_r_._-;\-* #,##0_k_r_._-;_-* &quot;-&quot;??_k_r_._-;_-@"/>
  </numFmts>
  <fonts count="35" x14ac:knownFonts="1">
    <font>
      <sz val="13"/>
      <color rgb="FF000000"/>
      <name val="Times New Roman"/>
      <scheme val="minor"/>
    </font>
    <font>
      <sz val="13"/>
      <color theme="1"/>
      <name val="Times New Roman"/>
    </font>
    <font>
      <i/>
      <sz val="13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b/>
      <sz val="12"/>
      <color theme="1"/>
      <name val="Times New Roman"/>
    </font>
    <font>
      <sz val="13"/>
      <name val="Times New Roman"/>
    </font>
    <font>
      <b/>
      <sz val="14"/>
      <color rgb="FFFF0000"/>
      <name val="Times New Roman"/>
    </font>
    <font>
      <b/>
      <sz val="13"/>
      <color rgb="FFFF0000"/>
      <name val="Times New Roman"/>
    </font>
    <font>
      <b/>
      <sz val="13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  <font>
      <b/>
      <i/>
      <sz val="12"/>
      <color theme="1"/>
      <name val="Times New Roman"/>
    </font>
    <font>
      <sz val="8"/>
      <color theme="1"/>
      <name val="Times New Roman"/>
    </font>
    <font>
      <i/>
      <sz val="13"/>
      <color rgb="FFFF0000"/>
      <name val="Times New Roman"/>
    </font>
    <font>
      <sz val="12"/>
      <color rgb="FF0000CC"/>
      <name val="Times New Roman"/>
    </font>
    <font>
      <sz val="13"/>
      <color rgb="FF0000CC"/>
      <name val="Times New Roman"/>
    </font>
    <font>
      <b/>
      <sz val="13"/>
      <color rgb="FF0000CC"/>
      <name val="Times New Roman"/>
    </font>
    <font>
      <sz val="12"/>
      <color rgb="FF0070C0"/>
      <name val="Times New Roman"/>
    </font>
    <font>
      <b/>
      <sz val="12"/>
      <color rgb="FF0000CC"/>
      <name val="Times New Roman"/>
    </font>
    <font>
      <i/>
      <sz val="8"/>
      <color theme="1"/>
      <name val="Times New Roman"/>
    </font>
    <font>
      <b/>
      <i/>
      <sz val="13"/>
      <color theme="1"/>
      <name val="Times New Roman"/>
    </font>
    <font>
      <i/>
      <sz val="12"/>
      <color rgb="FF0000CC"/>
      <name val="Times New Roman"/>
    </font>
    <font>
      <i/>
      <sz val="13"/>
      <color rgb="FF0000CC"/>
      <name val="Times New Roman"/>
    </font>
    <font>
      <b/>
      <sz val="8"/>
      <color theme="1"/>
      <name val="Times New Roman"/>
    </font>
    <font>
      <b/>
      <sz val="11"/>
      <color theme="1"/>
      <name val="Times New Roman"/>
    </font>
    <font>
      <i/>
      <sz val="11"/>
      <color theme="1"/>
      <name val="Times New Roman"/>
    </font>
    <font>
      <b/>
      <i/>
      <sz val="11"/>
      <color theme="1"/>
      <name val="Times New Roman"/>
    </font>
    <font>
      <sz val="11"/>
      <color theme="1"/>
      <name val="Times New Roman"/>
    </font>
    <font>
      <sz val="9"/>
      <color theme="1"/>
      <name val="Times New Roman"/>
    </font>
    <font>
      <sz val="11"/>
      <color rgb="FF000000"/>
      <name val="Times New Roman"/>
    </font>
    <font>
      <sz val="11"/>
      <color rgb="FF674EA7"/>
      <name val="Times New Roman"/>
    </font>
    <font>
      <b/>
      <sz val="12"/>
      <color rgb="FFFF0000"/>
      <name val="Times New Roman"/>
    </font>
    <font>
      <sz val="12"/>
      <color rgb="FFFF0000"/>
      <name val="Times New Roman"/>
    </font>
    <font>
      <sz val="13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2" borderId="6" xfId="0" applyNumberFormat="1" applyFont="1" applyFill="1" applyBorder="1" applyAlignment="1">
      <alignment horizontal="right" vertical="center" wrapText="1"/>
    </xf>
    <xf numFmtId="164" fontId="1" fillId="0" borderId="0" xfId="0" applyNumberFormat="1" applyFont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65" fontId="5" fillId="0" borderId="6" xfId="0" applyNumberFormat="1" applyFont="1" applyBorder="1" applyAlignment="1">
      <alignment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5" fillId="0" borderId="6" xfId="0" applyFont="1" applyBorder="1" applyAlignment="1">
      <alignment vertical="center" wrapText="1"/>
    </xf>
    <xf numFmtId="165" fontId="9" fillId="0" borderId="0" xfId="0" applyNumberFormat="1" applyFont="1"/>
    <xf numFmtId="166" fontId="9" fillId="0" borderId="0" xfId="0" applyNumberFormat="1" applyFont="1"/>
    <xf numFmtId="0" fontId="10" fillId="0" borderId="6" xfId="0" applyFont="1" applyBorder="1" applyAlignment="1">
      <alignment vertical="center"/>
    </xf>
    <xf numFmtId="0" fontId="10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165" fontId="10" fillId="0" borderId="6" xfId="0" applyNumberFormat="1" applyFont="1" applyBorder="1" applyAlignment="1">
      <alignment vertical="center" wrapText="1"/>
    </xf>
    <xf numFmtId="166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6" fontId="5" fillId="0" borderId="6" xfId="0" applyNumberFormat="1" applyFont="1" applyBorder="1" applyAlignment="1">
      <alignment vertical="center"/>
    </xf>
    <xf numFmtId="166" fontId="10" fillId="0" borderId="0" xfId="0" applyNumberFormat="1" applyFont="1" applyAlignment="1">
      <alignment vertical="center"/>
    </xf>
    <xf numFmtId="164" fontId="11" fillId="0" borderId="6" xfId="0" applyNumberFormat="1" applyFont="1" applyBorder="1" applyAlignment="1">
      <alignment vertical="center" wrapText="1"/>
    </xf>
    <xf numFmtId="166" fontId="10" fillId="0" borderId="6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166" fontId="1" fillId="0" borderId="0" xfId="0" applyNumberFormat="1" applyFont="1"/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166" fontId="13" fillId="0" borderId="6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2" fontId="1" fillId="0" borderId="0" xfId="0" applyNumberFormat="1" applyFont="1"/>
    <xf numFmtId="0" fontId="11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vertical="center" wrapText="1"/>
    </xf>
    <xf numFmtId="166" fontId="10" fillId="0" borderId="6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5" fontId="10" fillId="0" borderId="6" xfId="0" applyNumberFormat="1" applyFont="1" applyBorder="1" applyAlignment="1">
      <alignment vertical="center"/>
    </xf>
    <xf numFmtId="165" fontId="10" fillId="0" borderId="0" xfId="0" applyNumberFormat="1" applyFont="1" applyAlignment="1">
      <alignment vertical="center"/>
    </xf>
    <xf numFmtId="0" fontId="5" fillId="0" borderId="6" xfId="0" quotePrefix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0" fillId="0" borderId="6" xfId="0" quotePrefix="1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horizontal="center" vertical="center"/>
    </xf>
    <xf numFmtId="165" fontId="10" fillId="0" borderId="6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vertical="center" wrapText="1"/>
    </xf>
    <xf numFmtId="2" fontId="10" fillId="0" borderId="6" xfId="0" applyNumberFormat="1" applyFont="1" applyBorder="1" applyAlignment="1">
      <alignment vertical="center" wrapText="1"/>
    </xf>
    <xf numFmtId="164" fontId="10" fillId="0" borderId="6" xfId="0" applyNumberFormat="1" applyFont="1" applyBorder="1" applyAlignment="1">
      <alignment vertical="center" wrapText="1"/>
    </xf>
    <xf numFmtId="167" fontId="10" fillId="0" borderId="6" xfId="0" applyNumberFormat="1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166" fontId="5" fillId="0" borderId="0" xfId="0" applyNumberFormat="1" applyFont="1" applyAlignment="1">
      <alignment vertical="center"/>
    </xf>
    <xf numFmtId="0" fontId="10" fillId="0" borderId="6" xfId="0" quotePrefix="1" applyFont="1" applyBorder="1" applyAlignment="1">
      <alignment horizontal="center" vertical="center" wrapText="1"/>
    </xf>
    <xf numFmtId="166" fontId="16" fillId="0" borderId="0" xfId="0" applyNumberFormat="1" applyFont="1" applyAlignment="1">
      <alignment vertical="center"/>
    </xf>
    <xf numFmtId="165" fontId="10" fillId="0" borderId="6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165" fontId="11" fillId="0" borderId="6" xfId="0" applyNumberFormat="1" applyFont="1" applyBorder="1" applyAlignment="1">
      <alignment vertical="center" wrapText="1"/>
    </xf>
    <xf numFmtId="166" fontId="11" fillId="0" borderId="6" xfId="0" applyNumberFormat="1" applyFont="1" applyBorder="1" applyAlignment="1">
      <alignment vertical="center"/>
    </xf>
    <xf numFmtId="166" fontId="1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1" fillId="0" borderId="6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166" fontId="17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18" fillId="0" borderId="6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13" fillId="0" borderId="6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2" fillId="0" borderId="6" xfId="0" quotePrefix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6" fontId="12" fillId="0" borderId="0" xfId="0" applyNumberFormat="1" applyFont="1" applyAlignment="1">
      <alignment vertical="center"/>
    </xf>
    <xf numFmtId="0" fontId="10" fillId="0" borderId="6" xfId="0" quotePrefix="1" applyFont="1" applyBorder="1" applyAlignment="1">
      <alignment vertical="center" wrapText="1"/>
    </xf>
    <xf numFmtId="165" fontId="20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0" fontId="11" fillId="0" borderId="6" xfId="0" quotePrefix="1" applyFont="1" applyBorder="1" applyAlignment="1">
      <alignment vertical="center" wrapText="1"/>
    </xf>
    <xf numFmtId="166" fontId="20" fillId="0" borderId="6" xfId="0" applyNumberFormat="1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165" fontId="12" fillId="0" borderId="6" xfId="0" applyNumberFormat="1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166" fontId="21" fillId="0" borderId="0" xfId="0" applyNumberFormat="1" applyFont="1"/>
    <xf numFmtId="166" fontId="1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/>
    <xf numFmtId="168" fontId="11" fillId="0" borderId="6" xfId="0" applyNumberFormat="1" applyFont="1" applyBorder="1" applyAlignment="1">
      <alignment vertical="center"/>
    </xf>
    <xf numFmtId="168" fontId="11" fillId="0" borderId="0" xfId="0" applyNumberFormat="1" applyFont="1" applyAlignment="1">
      <alignment vertical="center"/>
    </xf>
    <xf numFmtId="0" fontId="11" fillId="0" borderId="6" xfId="0" quotePrefix="1" applyFont="1" applyBorder="1" applyAlignment="1">
      <alignment horizontal="center" vertical="center"/>
    </xf>
    <xf numFmtId="165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17" fillId="0" borderId="0" xfId="0" applyNumberFormat="1" applyFont="1" applyAlignment="1">
      <alignment vertical="center"/>
    </xf>
    <xf numFmtId="167" fontId="15" fillId="0" borderId="0" xfId="0" applyNumberFormat="1" applyFont="1" applyAlignment="1">
      <alignment horizontal="right" vertical="center"/>
    </xf>
    <xf numFmtId="2" fontId="17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0" applyNumberFormat="1" applyFont="1" applyAlignment="1">
      <alignment vertical="center"/>
    </xf>
    <xf numFmtId="2" fontId="23" fillId="0" borderId="0" xfId="0" applyNumberFormat="1" applyFont="1"/>
    <xf numFmtId="0" fontId="23" fillId="0" borderId="0" xfId="0" applyFont="1"/>
    <xf numFmtId="164" fontId="1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11" fillId="0" borderId="6" xfId="0" quotePrefix="1" applyFont="1" applyBorder="1" applyAlignment="1">
      <alignment vertical="center"/>
    </xf>
    <xf numFmtId="169" fontId="10" fillId="0" borderId="6" xfId="0" applyNumberFormat="1" applyFont="1" applyBorder="1" applyAlignment="1">
      <alignment horizontal="center" vertical="center"/>
    </xf>
    <xf numFmtId="165" fontId="10" fillId="3" borderId="6" xfId="0" applyNumberFormat="1" applyFont="1" applyFill="1" applyBorder="1" applyAlignment="1">
      <alignment vertical="center" wrapText="1"/>
    </xf>
    <xf numFmtId="166" fontId="10" fillId="0" borderId="6" xfId="0" applyNumberFormat="1" applyFont="1" applyBorder="1" applyAlignment="1">
      <alignment vertical="center" wrapText="1"/>
    </xf>
    <xf numFmtId="169" fontId="11" fillId="0" borderId="6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center" wrapText="1"/>
    </xf>
    <xf numFmtId="3" fontId="10" fillId="0" borderId="0" xfId="0" applyNumberFormat="1" applyFont="1" applyAlignment="1">
      <alignment wrapText="1"/>
    </xf>
    <xf numFmtId="3" fontId="11" fillId="0" borderId="0" xfId="0" applyNumberFormat="1" applyFont="1" applyAlignment="1">
      <alignment horizontal="center" vertical="top" wrapText="1"/>
    </xf>
    <xf numFmtId="3" fontId="11" fillId="0" borderId="1" xfId="0" applyNumberFormat="1" applyFont="1" applyBorder="1" applyAlignment="1">
      <alignment horizontal="center" vertical="top" wrapText="1"/>
    </xf>
    <xf numFmtId="3" fontId="13" fillId="0" borderId="0" xfId="0" applyNumberFormat="1" applyFont="1" applyAlignment="1">
      <alignment wrapText="1"/>
    </xf>
    <xf numFmtId="0" fontId="25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3" fontId="25" fillId="0" borderId="6" xfId="0" applyNumberFormat="1" applyFont="1" applyBorder="1" applyAlignment="1">
      <alignment horizontal="center" vertical="center" wrapText="1"/>
    </xf>
    <xf numFmtId="164" fontId="25" fillId="0" borderId="6" xfId="0" applyNumberFormat="1" applyFont="1" applyBorder="1" applyAlignment="1">
      <alignment vertical="center" wrapText="1"/>
    </xf>
    <xf numFmtId="3" fontId="25" fillId="0" borderId="6" xfId="0" applyNumberFormat="1" applyFont="1" applyBorder="1" applyAlignment="1">
      <alignment vertical="center" wrapText="1"/>
    </xf>
    <xf numFmtId="3" fontId="25" fillId="0" borderId="0" xfId="0" applyNumberFormat="1" applyFont="1" applyAlignment="1">
      <alignment vertical="center" wrapText="1"/>
    </xf>
    <xf numFmtId="0" fontId="25" fillId="0" borderId="0" xfId="0" applyFont="1" applyAlignment="1">
      <alignment vertical="center"/>
    </xf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vertical="center" wrapText="1"/>
    </xf>
    <xf numFmtId="9" fontId="26" fillId="0" borderId="6" xfId="0" applyNumberFormat="1" applyFont="1" applyBorder="1" applyAlignment="1">
      <alignment horizontal="center" vertical="center" wrapText="1"/>
    </xf>
    <xf numFmtId="16" fontId="26" fillId="0" borderId="6" xfId="0" quotePrefix="1" applyNumberFormat="1" applyFont="1" applyBorder="1" applyAlignment="1">
      <alignment horizontal="center" vertical="center" wrapText="1"/>
    </xf>
    <xf numFmtId="3" fontId="27" fillId="0" borderId="6" xfId="0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3" fontId="28" fillId="0" borderId="6" xfId="0" applyNumberFormat="1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3" fontId="26" fillId="0" borderId="0" xfId="0" applyNumberFormat="1" applyFont="1" applyAlignment="1">
      <alignment vertical="center" wrapText="1"/>
    </xf>
    <xf numFmtId="0" fontId="26" fillId="0" borderId="0" xfId="0" applyFont="1" applyAlignment="1">
      <alignment vertical="center"/>
    </xf>
    <xf numFmtId="0" fontId="25" fillId="0" borderId="6" xfId="0" applyFont="1" applyBorder="1" applyAlignment="1">
      <alignment horizontal="center"/>
    </xf>
    <xf numFmtId="0" fontId="25" fillId="0" borderId="6" xfId="0" applyFont="1" applyBorder="1"/>
    <xf numFmtId="9" fontId="25" fillId="0" borderId="6" xfId="0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wrapText="1"/>
    </xf>
    <xf numFmtId="0" fontId="25" fillId="0" borderId="0" xfId="0" applyFont="1"/>
    <xf numFmtId="0" fontId="25" fillId="0" borderId="6" xfId="0" applyFont="1" applyBorder="1" applyAlignment="1">
      <alignment horizontal="left" vertical="center" wrapText="1"/>
    </xf>
    <xf numFmtId="170" fontId="25" fillId="0" borderId="6" xfId="0" applyNumberFormat="1" applyFont="1" applyBorder="1" applyAlignment="1">
      <alignment horizontal="center" vertical="center"/>
    </xf>
    <xf numFmtId="166" fontId="28" fillId="0" borderId="6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3" fontId="25" fillId="0" borderId="6" xfId="0" applyNumberFormat="1" applyFont="1" applyBorder="1" applyAlignment="1">
      <alignment horizontal="center" vertical="center"/>
    </xf>
    <xf numFmtId="3" fontId="28" fillId="0" borderId="6" xfId="0" applyNumberFormat="1" applyFont="1" applyBorder="1" applyAlignment="1">
      <alignment horizontal="center" vertical="center"/>
    </xf>
    <xf numFmtId="0" fontId="28" fillId="0" borderId="0" xfId="0" applyFont="1"/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center" vertical="center" wrapText="1"/>
    </xf>
    <xf numFmtId="171" fontId="28" fillId="0" borderId="6" xfId="0" applyNumberFormat="1" applyFont="1" applyBorder="1" applyAlignment="1">
      <alignment horizontal="center" vertical="center"/>
    </xf>
    <xf numFmtId="171" fontId="28" fillId="0" borderId="6" xfId="0" applyNumberFormat="1" applyFont="1" applyBorder="1" applyAlignment="1">
      <alignment horizontal="center" vertical="center" wrapText="1"/>
    </xf>
    <xf numFmtId="3" fontId="28" fillId="0" borderId="6" xfId="0" applyNumberFormat="1" applyFont="1" applyBorder="1" applyAlignment="1">
      <alignment vertical="center" wrapText="1"/>
    </xf>
    <xf numFmtId="3" fontId="28" fillId="0" borderId="0" xfId="0" applyNumberFormat="1" applyFont="1" applyAlignment="1">
      <alignment vertical="center" wrapText="1"/>
    </xf>
    <xf numFmtId="0" fontId="25" fillId="0" borderId="6" xfId="0" quotePrefix="1" applyFont="1" applyBorder="1" applyAlignment="1">
      <alignment horizontal="left" vertical="center" wrapText="1"/>
    </xf>
    <xf numFmtId="49" fontId="28" fillId="0" borderId="6" xfId="0" applyNumberFormat="1" applyFont="1" applyBorder="1" applyAlignment="1">
      <alignment horizontal="left" vertical="center" wrapText="1"/>
    </xf>
    <xf numFmtId="49" fontId="26" fillId="0" borderId="6" xfId="0" applyNumberFormat="1" applyFont="1" applyBorder="1" applyAlignment="1">
      <alignment horizontal="left" vertical="center" wrapText="1"/>
    </xf>
    <xf numFmtId="0" fontId="28" fillId="0" borderId="6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49" fontId="25" fillId="0" borderId="6" xfId="0" applyNumberFormat="1" applyFont="1" applyBorder="1" applyAlignment="1">
      <alignment horizontal="left" vertical="center" wrapText="1"/>
    </xf>
    <xf numFmtId="171" fontId="25" fillId="0" borderId="6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vertical="center"/>
    </xf>
    <xf numFmtId="171" fontId="28" fillId="0" borderId="6" xfId="0" applyNumberFormat="1" applyFont="1" applyBorder="1"/>
    <xf numFmtId="0" fontId="28" fillId="0" borderId="6" xfId="0" applyFont="1" applyBorder="1" applyAlignment="1">
      <alignment horizontal="center" vertical="top"/>
    </xf>
    <xf numFmtId="49" fontId="28" fillId="0" borderId="6" xfId="0" quotePrefix="1" applyNumberFormat="1" applyFont="1" applyBorder="1" applyAlignment="1">
      <alignment horizontal="left" vertical="center" wrapText="1"/>
    </xf>
    <xf numFmtId="166" fontId="28" fillId="0" borderId="10" xfId="0" applyNumberFormat="1" applyFont="1" applyBorder="1" applyAlignment="1">
      <alignment horizontal="center" vertical="center"/>
    </xf>
    <xf numFmtId="166" fontId="28" fillId="0" borderId="0" xfId="0" applyNumberFormat="1" applyFont="1"/>
    <xf numFmtId="3" fontId="29" fillId="0" borderId="6" xfId="0" applyNumberFormat="1" applyFont="1" applyBorder="1" applyAlignment="1">
      <alignment horizontal="center" vertical="center" wrapText="1"/>
    </xf>
    <xf numFmtId="171" fontId="25" fillId="0" borderId="6" xfId="0" applyNumberFormat="1" applyFont="1" applyBorder="1" applyAlignment="1">
      <alignment horizontal="right" vertical="center"/>
    </xf>
    <xf numFmtId="3" fontId="27" fillId="0" borderId="0" xfId="0" applyNumberFormat="1" applyFont="1" applyAlignment="1">
      <alignment vertical="center" wrapText="1"/>
    </xf>
    <xf numFmtId="49" fontId="26" fillId="0" borderId="6" xfId="0" quotePrefix="1" applyNumberFormat="1" applyFont="1" applyBorder="1" applyAlignment="1">
      <alignment horizontal="left" vertical="center" wrapText="1"/>
    </xf>
    <xf numFmtId="0" fontId="28" fillId="0" borderId="6" xfId="0" quotePrefix="1" applyFont="1" applyBorder="1" applyAlignment="1">
      <alignment horizontal="center" vertical="center"/>
    </xf>
    <xf numFmtId="49" fontId="30" fillId="0" borderId="6" xfId="0" applyNumberFormat="1" applyFont="1" applyBorder="1"/>
    <xf numFmtId="171" fontId="26" fillId="0" borderId="6" xfId="0" applyNumberFormat="1" applyFont="1" applyBorder="1" applyAlignment="1">
      <alignment horizontal="center" vertical="center"/>
    </xf>
    <xf numFmtId="0" fontId="26" fillId="0" borderId="0" xfId="0" applyFont="1"/>
    <xf numFmtId="0" fontId="26" fillId="0" borderId="6" xfId="0" applyFont="1" applyBorder="1" applyAlignment="1">
      <alignment horizontal="center" vertical="center" wrapText="1"/>
    </xf>
    <xf numFmtId="0" fontId="26" fillId="0" borderId="6" xfId="0" quotePrefix="1" applyFont="1" applyBorder="1" applyAlignment="1">
      <alignment horizontal="left" vertical="center" wrapText="1"/>
    </xf>
    <xf numFmtId="4" fontId="28" fillId="0" borderId="6" xfId="0" applyNumberFormat="1" applyFont="1" applyBorder="1" applyAlignment="1">
      <alignment horizontal="center" vertical="center"/>
    </xf>
    <xf numFmtId="172" fontId="28" fillId="0" borderId="6" xfId="0" applyNumberFormat="1" applyFont="1" applyBorder="1" applyAlignment="1">
      <alignment horizontal="center" vertical="center" wrapText="1"/>
    </xf>
    <xf numFmtId="164" fontId="28" fillId="0" borderId="6" xfId="0" applyNumberFormat="1" applyFont="1" applyBorder="1" applyAlignment="1">
      <alignment horizontal="center" vertical="center"/>
    </xf>
    <xf numFmtId="4" fontId="25" fillId="0" borderId="6" xfId="0" applyNumberFormat="1" applyFont="1" applyBorder="1" applyAlignment="1">
      <alignment horizontal="center" vertical="center"/>
    </xf>
    <xf numFmtId="171" fontId="31" fillId="0" borderId="6" xfId="0" applyNumberFormat="1" applyFont="1" applyBorder="1" applyAlignment="1">
      <alignment horizontal="center" vertical="center"/>
    </xf>
    <xf numFmtId="173" fontId="28" fillId="0" borderId="6" xfId="0" applyNumberFormat="1" applyFont="1" applyBorder="1" applyAlignment="1">
      <alignment horizontal="center" vertical="center"/>
    </xf>
    <xf numFmtId="3" fontId="26" fillId="0" borderId="6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left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166" fontId="28" fillId="0" borderId="9" xfId="0" applyNumberFormat="1" applyFont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 vertical="center"/>
    </xf>
    <xf numFmtId="0" fontId="28" fillId="0" borderId="10" xfId="0" quotePrefix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3" fontId="28" fillId="0" borderId="10" xfId="0" applyNumberFormat="1" applyFont="1" applyBorder="1" applyAlignment="1">
      <alignment horizontal="center" vertical="center" wrapText="1"/>
    </xf>
    <xf numFmtId="174" fontId="28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0" fontId="28" fillId="0" borderId="12" xfId="0" quotePrefix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3" fontId="28" fillId="0" borderId="12" xfId="0" applyNumberFormat="1" applyFont="1" applyBorder="1" applyAlignment="1">
      <alignment horizontal="center" wrapText="1"/>
    </xf>
    <xf numFmtId="166" fontId="28" fillId="0" borderId="12" xfId="0" applyNumberFormat="1" applyFont="1" applyBorder="1" applyAlignment="1">
      <alignment horizontal="center" vertical="center"/>
    </xf>
    <xf numFmtId="3" fontId="28" fillId="0" borderId="13" xfId="0" applyNumberFormat="1" applyFont="1" applyBorder="1" applyAlignment="1">
      <alignment horizontal="center" wrapText="1"/>
    </xf>
    <xf numFmtId="3" fontId="28" fillId="0" borderId="0" xfId="0" applyNumberFormat="1" applyFont="1" applyAlignment="1">
      <alignment wrapText="1"/>
    </xf>
    <xf numFmtId="0" fontId="28" fillId="0" borderId="0" xfId="0" applyFont="1" applyAlignment="1">
      <alignment horizontal="center" wrapText="1"/>
    </xf>
    <xf numFmtId="3" fontId="28" fillId="0" borderId="0" xfId="0" applyNumberFormat="1" applyFont="1" applyAlignment="1">
      <alignment horizontal="left" wrapText="1"/>
    </xf>
    <xf numFmtId="3" fontId="28" fillId="0" borderId="0" xfId="0" applyNumberFormat="1" applyFont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vertical="center" wrapText="1"/>
    </xf>
    <xf numFmtId="165" fontId="5" fillId="0" borderId="14" xfId="0" applyNumberFormat="1" applyFont="1" applyBorder="1" applyAlignment="1">
      <alignment vertical="center" wrapText="1"/>
    </xf>
    <xf numFmtId="0" fontId="5" fillId="0" borderId="0" xfId="0" applyFont="1"/>
    <xf numFmtId="166" fontId="1" fillId="0" borderId="0" xfId="0" applyNumberFormat="1" applyFont="1" applyAlignment="1">
      <alignment horizontal="center" vertical="center"/>
    </xf>
    <xf numFmtId="166" fontId="10" fillId="0" borderId="0" xfId="0" applyNumberFormat="1" applyFont="1"/>
    <xf numFmtId="165" fontId="10" fillId="0" borderId="14" xfId="0" applyNumberFormat="1" applyFont="1" applyBorder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0" fontId="11" fillId="0" borderId="0" xfId="0" applyFont="1"/>
    <xf numFmtId="165" fontId="12" fillId="0" borderId="14" xfId="0" applyNumberFormat="1" applyFont="1" applyBorder="1" applyAlignment="1">
      <alignment vertical="center" wrapText="1"/>
    </xf>
    <xf numFmtId="0" fontId="12" fillId="0" borderId="0" xfId="0" applyFont="1"/>
    <xf numFmtId="165" fontId="11" fillId="0" borderId="6" xfId="0" applyNumberFormat="1" applyFont="1" applyBorder="1" applyAlignment="1">
      <alignment horizontal="center" vertical="center"/>
    </xf>
    <xf numFmtId="166" fontId="11" fillId="0" borderId="0" xfId="0" applyNumberFormat="1" applyFont="1"/>
    <xf numFmtId="2" fontId="11" fillId="0" borderId="0" xfId="0" applyNumberFormat="1" applyFont="1" applyAlignment="1">
      <alignment vertical="center"/>
    </xf>
    <xf numFmtId="0" fontId="11" fillId="0" borderId="2" xfId="0" quotePrefix="1" applyFont="1" applyBorder="1" applyAlignment="1">
      <alignment vertical="center" wrapText="1"/>
    </xf>
    <xf numFmtId="166" fontId="16" fillId="0" borderId="0" xfId="0" applyNumberFormat="1" applyFont="1"/>
    <xf numFmtId="165" fontId="16" fillId="0" borderId="0" xfId="0" applyNumberFormat="1" applyFont="1"/>
    <xf numFmtId="164" fontId="10" fillId="0" borderId="0" xfId="0" applyNumberFormat="1" applyFont="1" applyAlignment="1">
      <alignment vertical="center"/>
    </xf>
    <xf numFmtId="172" fontId="10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2" fontId="32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165" fontId="10" fillId="0" borderId="0" xfId="0" applyNumberFormat="1" applyFont="1"/>
    <xf numFmtId="165" fontId="33" fillId="0" borderId="0" xfId="0" applyNumberFormat="1" applyFont="1" applyAlignment="1">
      <alignment vertical="center" wrapText="1"/>
    </xf>
    <xf numFmtId="165" fontId="5" fillId="0" borderId="0" xfId="0" applyNumberFormat="1" applyFont="1" applyAlignment="1">
      <alignment vertical="center"/>
    </xf>
    <xf numFmtId="165" fontId="5" fillId="0" borderId="2" xfId="0" applyNumberFormat="1" applyFont="1" applyBorder="1" applyAlignment="1">
      <alignment vertical="center" wrapText="1"/>
    </xf>
    <xf numFmtId="166" fontId="33" fillId="0" borderId="0" xfId="0" applyNumberFormat="1" applyFont="1"/>
    <xf numFmtId="2" fontId="11" fillId="0" borderId="0" xfId="0" applyNumberFormat="1" applyFont="1"/>
    <xf numFmtId="0" fontId="7" fillId="0" borderId="0" xfId="0" applyFont="1" applyAlignment="1">
      <alignment horizontal="center" vertical="center"/>
    </xf>
    <xf numFmtId="165" fontId="5" fillId="0" borderId="3" xfId="0" applyNumberFormat="1" applyFont="1" applyBorder="1" applyAlignment="1">
      <alignment vertical="center" wrapText="1"/>
    </xf>
    <xf numFmtId="165" fontId="10" fillId="0" borderId="3" xfId="0" applyNumberFormat="1" applyFont="1" applyBorder="1" applyAlignment="1">
      <alignment vertical="center" wrapText="1"/>
    </xf>
    <xf numFmtId="165" fontId="5" fillId="0" borderId="5" xfId="0" applyNumberFormat="1" applyFont="1" applyBorder="1" applyAlignment="1">
      <alignment vertical="center" wrapText="1"/>
    </xf>
    <xf numFmtId="165" fontId="10" fillId="0" borderId="5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165" fontId="12" fillId="0" borderId="3" xfId="0" applyNumberFormat="1" applyFont="1" applyBorder="1" applyAlignment="1">
      <alignment vertical="center" wrapText="1"/>
    </xf>
    <xf numFmtId="165" fontId="11" fillId="0" borderId="3" xfId="0" applyNumberFormat="1" applyFont="1" applyBorder="1" applyAlignment="1">
      <alignment vertical="center" wrapText="1"/>
    </xf>
    <xf numFmtId="165" fontId="10" fillId="0" borderId="7" xfId="0" applyNumberFormat="1" applyFont="1" applyBorder="1" applyAlignment="1">
      <alignment vertical="center" wrapText="1"/>
    </xf>
    <xf numFmtId="2" fontId="33" fillId="0" borderId="0" xfId="0" applyNumberFormat="1" applyFont="1" applyAlignment="1">
      <alignment vertical="center"/>
    </xf>
    <xf numFmtId="165" fontId="12" fillId="0" borderId="7" xfId="0" applyNumberFormat="1" applyFont="1" applyBorder="1" applyAlignment="1">
      <alignment vertical="center" wrapText="1"/>
    </xf>
    <xf numFmtId="166" fontId="17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vertical="center"/>
    </xf>
    <xf numFmtId="165" fontId="17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/>
    </xf>
    <xf numFmtId="165" fontId="15" fillId="0" borderId="0" xfId="0" applyNumberFormat="1" applyFont="1" applyAlignment="1">
      <alignment vertical="center"/>
    </xf>
    <xf numFmtId="165" fontId="33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0" fontId="32" fillId="0" borderId="0" xfId="0" applyFont="1"/>
    <xf numFmtId="0" fontId="8" fillId="0" borderId="0" xfId="0" applyFont="1"/>
    <xf numFmtId="0" fontId="33" fillId="0" borderId="0" xfId="0" applyFont="1"/>
    <xf numFmtId="0" fontId="34" fillId="0" borderId="0" xfId="0" applyFont="1"/>
    <xf numFmtId="166" fontId="33" fillId="0" borderId="0" xfId="0" applyNumberFormat="1" applyFont="1" applyAlignment="1">
      <alignment vertical="center"/>
    </xf>
    <xf numFmtId="166" fontId="34" fillId="0" borderId="0" xfId="0" applyNumberFormat="1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165" fontId="33" fillId="0" borderId="0" xfId="0" applyNumberFormat="1" applyFont="1" applyAlignment="1">
      <alignment vertical="center"/>
    </xf>
    <xf numFmtId="165" fontId="33" fillId="0" borderId="0" xfId="0" applyNumberFormat="1" applyFont="1" applyAlignment="1">
      <alignment horizontal="center" vertical="center"/>
    </xf>
    <xf numFmtId="165" fontId="34" fillId="0" borderId="0" xfId="0" applyNumberFormat="1" applyFont="1" applyAlignment="1">
      <alignment horizontal="center" vertical="center"/>
    </xf>
    <xf numFmtId="165" fontId="33" fillId="0" borderId="0" xfId="0" applyNumberFormat="1" applyFont="1"/>
    <xf numFmtId="165" fontId="34" fillId="0" borderId="0" xfId="0" applyNumberFormat="1" applyFont="1"/>
    <xf numFmtId="165" fontId="5" fillId="0" borderId="0" xfId="0" applyNumberFormat="1" applyFont="1" applyAlignment="1">
      <alignment horizontal="center" vertical="center"/>
    </xf>
    <xf numFmtId="165" fontId="34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71" fontId="15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164" fontId="5" fillId="0" borderId="6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/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2" fillId="0" borderId="0" xfId="0" applyFont="1" applyAlignment="1">
      <alignment horizontal="right"/>
    </xf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8" xfId="0" applyFont="1" applyBorder="1"/>
    <xf numFmtId="0" fontId="10" fillId="0" borderId="0" xfId="0" applyFont="1" applyAlignment="1">
      <alignment horizontal="left" wrapText="1"/>
    </xf>
    <xf numFmtId="3" fontId="11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0" fontId="6" fillId="0" borderId="9" xfId="0" applyFont="1" applyBorder="1"/>
    <xf numFmtId="3" fontId="28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7" xfId="0" applyFont="1" applyBorder="1"/>
    <xf numFmtId="0" fontId="6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6" topLeftCell="A95" activePane="bottomLeft" state="frozen"/>
      <selection pane="bottomLeft" activeCell="K101" sqref="K101"/>
    </sheetView>
  </sheetViews>
  <sheetFormatPr defaultColWidth="11.21875" defaultRowHeight="15" customHeight="1" x14ac:dyDescent="0.25"/>
  <cols>
    <col min="1" max="1" width="8.88671875" customWidth="1"/>
    <col min="2" max="2" width="33" customWidth="1"/>
    <col min="3" max="3" width="10.33203125" customWidth="1"/>
    <col min="4" max="5" width="16.77734375" customWidth="1"/>
    <col min="6" max="6" width="15.44140625" customWidth="1"/>
    <col min="7" max="7" width="11.6640625" customWidth="1"/>
    <col min="8" max="8" width="12.21875" customWidth="1"/>
    <col min="9" max="9" width="13.33203125" customWidth="1"/>
    <col min="10" max="10" width="11.77734375" customWidth="1"/>
    <col min="11" max="11" width="12.5546875" customWidth="1"/>
    <col min="12" max="12" width="18.33203125" hidden="1" customWidth="1"/>
    <col min="13" max="13" width="14.88671875" hidden="1" customWidth="1"/>
    <col min="14" max="14" width="20.6640625" customWidth="1"/>
    <col min="15" max="22" width="11.21875" customWidth="1"/>
  </cols>
  <sheetData>
    <row r="1" spans="1:26" ht="15" customHeight="1" x14ac:dyDescent="0.25">
      <c r="A1" s="1"/>
      <c r="B1" s="1"/>
      <c r="C1" s="1"/>
      <c r="D1" s="1"/>
      <c r="E1" s="1"/>
      <c r="F1" s="310" t="s">
        <v>0</v>
      </c>
      <c r="G1" s="311"/>
      <c r="H1" s="311"/>
      <c r="I1" s="311"/>
      <c r="J1" s="311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3">
      <c r="A2" s="312" t="s">
        <v>1</v>
      </c>
      <c r="B2" s="311"/>
      <c r="C2" s="311"/>
      <c r="D2" s="311"/>
      <c r="E2" s="311"/>
      <c r="F2" s="311"/>
      <c r="G2" s="311"/>
      <c r="H2" s="311"/>
      <c r="I2" s="311"/>
      <c r="J2" s="311"/>
      <c r="K2" s="3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2.5" customHeight="1" x14ac:dyDescent="0.25">
      <c r="A3" s="313" t="s">
        <v>2</v>
      </c>
      <c r="B3" s="311"/>
      <c r="C3" s="311"/>
      <c r="D3" s="311"/>
      <c r="E3" s="311"/>
      <c r="F3" s="311"/>
      <c r="G3" s="311"/>
      <c r="H3" s="311"/>
      <c r="I3" s="311"/>
      <c r="J3" s="311"/>
      <c r="K3" s="6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25">
      <c r="A4" s="7"/>
      <c r="B4" s="7"/>
      <c r="C4" s="7"/>
      <c r="D4" s="7"/>
      <c r="E4" s="6"/>
      <c r="F4" s="7"/>
      <c r="G4" s="7"/>
      <c r="H4" s="7"/>
      <c r="I4" s="7"/>
      <c r="J4" s="7"/>
      <c r="K4" s="6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25">
      <c r="A5" s="305" t="s">
        <v>3</v>
      </c>
      <c r="B5" s="305" t="s">
        <v>4</v>
      </c>
      <c r="C5" s="305" t="s">
        <v>5</v>
      </c>
      <c r="D5" s="305" t="s">
        <v>6</v>
      </c>
      <c r="E5" s="305" t="s">
        <v>7</v>
      </c>
      <c r="F5" s="307" t="s">
        <v>8</v>
      </c>
      <c r="G5" s="308"/>
      <c r="H5" s="308"/>
      <c r="I5" s="309"/>
      <c r="J5" s="314" t="s">
        <v>9</v>
      </c>
      <c r="K5" s="10"/>
      <c r="L5" s="11" t="s">
        <v>10</v>
      </c>
      <c r="M5" s="12">
        <f>'TUMO RONG (1)'!L7+'LONG LEO(2)'!L7+'ĐĂK CHUM 1(3)'!L7+'ĐĂK CHUM II(4)'!L7+'TU CẤP(5)'!L7+'ĐĂK KA(6)'!L7+'VĂN SANG(7)'!L7+'ĐĂK NEANG(8)'!L7+'NGỌC LEANG(9)'!L7+'ĐĂK SIÊNG(10)'!L7+'KON TUN(11)'!L7+'MÔ PẢ(12)'!L7+'TY TU(13)'!L7+'KON LING(14)'!L7+'ĐĂK PƠ TRANG(15)'!L7+'KON PIA(16)'!L7+'ĐĂK HÀ(17)'!L7</f>
        <v>1331</v>
      </c>
      <c r="N5" s="1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 x14ac:dyDescent="0.25">
      <c r="A6" s="306"/>
      <c r="B6" s="306"/>
      <c r="C6" s="306"/>
      <c r="D6" s="306"/>
      <c r="E6" s="306"/>
      <c r="F6" s="14" t="s">
        <v>11</v>
      </c>
      <c r="G6" s="14" t="s">
        <v>12</v>
      </c>
      <c r="H6" s="14" t="s">
        <v>13</v>
      </c>
      <c r="I6" s="14" t="s">
        <v>14</v>
      </c>
      <c r="J6" s="306"/>
      <c r="K6" s="10"/>
      <c r="L6" s="11" t="s">
        <v>15</v>
      </c>
      <c r="M6" s="12">
        <f>'TUMO RONG (1)'!L8+'LONG LEO(2)'!L8+'ĐĂK CHUM 1(3)'!L8+'ĐĂK CHUM II(4)'!L8+'TU CẤP(5)'!L8+'ĐĂK KA(6)'!L8+'VĂN SANG(7)'!L8+'ĐĂK NEANG(8)'!L8+'NGỌC LEANG(9)'!L8+'ĐĂK SIÊNG(10)'!L8+'KON TUN(11)'!L8+'MÔ PẢ(12)'!L8+'TY TU(13)'!L8+'KON LING(14)'!L8+'ĐĂK PƠ TRANG(15)'!L8+'KON PIA(16)'!L8+'ĐĂK HÀ(17)'!L8</f>
        <v>6567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25">
      <c r="A7" s="15" t="s">
        <v>16</v>
      </c>
      <c r="B7" s="16" t="s">
        <v>17</v>
      </c>
      <c r="C7" s="15" t="s">
        <v>18</v>
      </c>
      <c r="D7" s="17">
        <f>D11+D26+D35+D41+D44+D67</f>
        <v>1778.52</v>
      </c>
      <c r="E7" s="17"/>
      <c r="F7" s="17">
        <f t="shared" ref="F7:H7" si="0">F11+F26+F35+F38+F41+F44+F67</f>
        <v>1877.5900000000001</v>
      </c>
      <c r="G7" s="17">
        <f t="shared" si="0"/>
        <v>1767.79</v>
      </c>
      <c r="H7" s="17">
        <f t="shared" si="0"/>
        <v>1830.5299999999997</v>
      </c>
      <c r="I7" s="18">
        <f t="shared" ref="I7:I11" si="1">G7/F7*100</f>
        <v>94.152077929686456</v>
      </c>
      <c r="J7" s="16"/>
      <c r="K7" s="19"/>
      <c r="L7" s="20">
        <v>1877.59</v>
      </c>
      <c r="M7" s="21">
        <f>F7-L7</f>
        <v>0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4" customHeight="1" x14ac:dyDescent="0.25">
      <c r="A8" s="15">
        <v>1</v>
      </c>
      <c r="B8" s="16" t="s">
        <v>19</v>
      </c>
      <c r="C8" s="15" t="s">
        <v>18</v>
      </c>
      <c r="D8" s="17">
        <f>D11+D26</f>
        <v>218.4</v>
      </c>
      <c r="E8" s="17"/>
      <c r="F8" s="17">
        <f t="shared" ref="F8:H8" si="2">F11+F26</f>
        <v>220.64000000000001</v>
      </c>
      <c r="G8" s="17">
        <f t="shared" si="2"/>
        <v>212.53</v>
      </c>
      <c r="H8" s="17">
        <f t="shared" si="2"/>
        <v>220.64000000000001</v>
      </c>
      <c r="I8" s="18">
        <f t="shared" si="1"/>
        <v>96.324329224075413</v>
      </c>
      <c r="J8" s="16"/>
      <c r="K8" s="19"/>
      <c r="L8" s="23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4" customHeight="1" x14ac:dyDescent="0.25">
      <c r="A9" s="15"/>
      <c r="B9" s="24" t="s">
        <v>20</v>
      </c>
      <c r="C9" s="15" t="s">
        <v>21</v>
      </c>
      <c r="D9" s="17">
        <f t="shared" ref="D9:H9" si="3">D10+D28</f>
        <v>776.39879999999994</v>
      </c>
      <c r="E9" s="17">
        <f t="shared" si="3"/>
        <v>780</v>
      </c>
      <c r="F9" s="17">
        <f t="shared" si="3"/>
        <v>814.40924000000007</v>
      </c>
      <c r="G9" s="17">
        <f t="shared" si="3"/>
        <v>72.125500000000002</v>
      </c>
      <c r="H9" s="17">
        <f t="shared" si="3"/>
        <v>72.125500000000002</v>
      </c>
      <c r="I9" s="18">
        <f t="shared" si="1"/>
        <v>8.8561740777891966</v>
      </c>
      <c r="J9" s="16"/>
      <c r="K9" s="19"/>
      <c r="L9" s="21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4" customHeight="1" x14ac:dyDescent="0.25">
      <c r="A10" s="15"/>
      <c r="B10" s="16" t="s">
        <v>22</v>
      </c>
      <c r="C10" s="15" t="s">
        <v>21</v>
      </c>
      <c r="D10" s="17">
        <f>D13</f>
        <v>703.3187999999999</v>
      </c>
      <c r="E10" s="17">
        <v>714</v>
      </c>
      <c r="F10" s="17">
        <f t="shared" ref="F10:H10" si="4">F13</f>
        <v>747.98924000000011</v>
      </c>
      <c r="G10" s="17">
        <f t="shared" si="4"/>
        <v>72.125500000000002</v>
      </c>
      <c r="H10" s="17">
        <f t="shared" si="4"/>
        <v>72.125500000000002</v>
      </c>
      <c r="I10" s="18">
        <f t="shared" si="1"/>
        <v>9.6425852329105677</v>
      </c>
      <c r="J10" s="16"/>
      <c r="K10" s="19"/>
      <c r="L10" s="21"/>
      <c r="M10" s="25"/>
      <c r="N10" s="2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4" customHeight="1" x14ac:dyDescent="0.25">
      <c r="A11" s="15" t="s">
        <v>23</v>
      </c>
      <c r="B11" s="16" t="s">
        <v>24</v>
      </c>
      <c r="C11" s="15" t="s">
        <v>18</v>
      </c>
      <c r="D11" s="17">
        <f>D14+D17</f>
        <v>200.4</v>
      </c>
      <c r="E11" s="17">
        <v>202</v>
      </c>
      <c r="F11" s="17">
        <f t="shared" ref="F11:H11" si="5">F14+F17</f>
        <v>202.64000000000001</v>
      </c>
      <c r="G11" s="17">
        <f t="shared" si="5"/>
        <v>194.53</v>
      </c>
      <c r="H11" s="17">
        <f t="shared" si="5"/>
        <v>202.64000000000001</v>
      </c>
      <c r="I11" s="18">
        <f t="shared" si="1"/>
        <v>95.997828661666006</v>
      </c>
      <c r="J11" s="27"/>
      <c r="K11" s="28"/>
      <c r="L11" s="23"/>
      <c r="M11" s="21"/>
      <c r="N11" s="22"/>
      <c r="O11" s="2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25">
      <c r="A12" s="15"/>
      <c r="B12" s="27" t="s">
        <v>25</v>
      </c>
      <c r="C12" s="30" t="s">
        <v>26</v>
      </c>
      <c r="D12" s="31">
        <f>D13/D11*10</f>
        <v>35.095748502994006</v>
      </c>
      <c r="E12" s="31">
        <v>35.700000000000003</v>
      </c>
      <c r="F12" s="31">
        <f>F13/F11*10</f>
        <v>36.912220686932493</v>
      </c>
      <c r="G12" s="31"/>
      <c r="H12" s="31"/>
      <c r="I12" s="31"/>
      <c r="J12" s="27"/>
      <c r="K12" s="28"/>
      <c r="L12" s="21"/>
      <c r="M12" s="32"/>
      <c r="N12" s="1"/>
      <c r="O12" s="3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25">
      <c r="A13" s="15"/>
      <c r="B13" s="27" t="s">
        <v>27</v>
      </c>
      <c r="C13" s="30" t="s">
        <v>21</v>
      </c>
      <c r="D13" s="31">
        <f>D16+D19</f>
        <v>703.3187999999999</v>
      </c>
      <c r="E13" s="31">
        <v>714</v>
      </c>
      <c r="F13" s="31">
        <f t="shared" ref="F13:H13" si="6">F16+F19</f>
        <v>747.98924000000011</v>
      </c>
      <c r="G13" s="31">
        <f t="shared" si="6"/>
        <v>72.125500000000002</v>
      </c>
      <c r="H13" s="31">
        <f t="shared" si="6"/>
        <v>72.125500000000002</v>
      </c>
      <c r="I13" s="31">
        <f>G13/F13*100</f>
        <v>9.6425852329105677</v>
      </c>
      <c r="J13" s="27"/>
      <c r="K13" s="28"/>
      <c r="L13" s="21"/>
      <c r="M13" s="32"/>
      <c r="N13" s="33"/>
      <c r="O13" s="32"/>
      <c r="P13" s="2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25">
      <c r="A14" s="15" t="s">
        <v>28</v>
      </c>
      <c r="B14" s="16" t="s">
        <v>29</v>
      </c>
      <c r="C14" s="15" t="s">
        <v>18</v>
      </c>
      <c r="D14" s="17">
        <v>20.399999999999999</v>
      </c>
      <c r="E14" s="17"/>
      <c r="F14" s="17">
        <f>'TUMO RONG (1)'!E16+'LONG LEO(2)'!E16+'ĐĂK CHUM 1(3)'!E16+'ĐĂK CHUM II(4)'!E16+'TU CẤP(5)'!E16+'ĐĂK KA(6)'!E16+'VĂN SANG(7)'!E16+'ĐĂK NEANG(8)'!E16+'NGỌC LEANG(9)'!E16+'ĐĂK SIÊNG(10)'!E16+'KON TUN(11)'!E16+'MÔ PẢ(12)'!E16+'TY TU(13)'!E16+'KON LING(14)'!E16+'ĐĂK PƠ TRANG(15)'!E16+'KON PIA(16)'!E16+'ĐĂK HÀ(17)'!E16</f>
        <v>21.53</v>
      </c>
      <c r="G14" s="17">
        <f>'TUMO RONG (1)'!F16+'LONG LEO(2)'!F16+'ĐĂK CHUM 1(3)'!F16+'ĐĂK CHUM II(4)'!F16+'TU CẤP(5)'!F16+'ĐĂK KA(6)'!F16+'VĂN SANG(7)'!F16+'ĐĂK NEANG(8)'!F16+'NGỌC LEANG(9)'!F16+'ĐĂK SIÊNG(10)'!F16+'KON TUN(11)'!F16+'MÔ PẢ(12)'!F16+'TY TU(13)'!F16+'KON LING(14)'!F16+'ĐĂK PƠ TRANG(15)'!F16+'KON PIA(16)'!F16+'ĐĂK HÀ(17)'!F16</f>
        <v>21.53</v>
      </c>
      <c r="H14" s="17">
        <f>'TUMO RONG (1)'!G16+'LONG LEO(2)'!G16+'ĐĂK CHUM 1(3)'!G16+'ĐĂK CHUM II(4)'!G16+'TU CẤP(5)'!G16+'ĐĂK KA(6)'!G16+'VĂN SANG(7)'!G16+'ĐĂK NEANG(8)'!G16+'NGỌC LEANG(9)'!G16+'ĐĂK SIÊNG(10)'!G16+'KON TUN(11)'!G16+'MÔ PẢ(12)'!G16+'TY TU(13)'!G16+'KON LING(14)'!G16+'ĐĂK PƠ TRANG(15)'!G16+'KON PIA(16)'!G16+'ĐĂK HÀ(17)'!G16</f>
        <v>21.53</v>
      </c>
      <c r="I14" s="17">
        <f t="shared" ref="I14:I17" si="7">G14/F14*100</f>
        <v>100</v>
      </c>
      <c r="J14" s="34"/>
      <c r="K14" s="35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5">
      <c r="A15" s="15"/>
      <c r="B15" s="27" t="s">
        <v>25</v>
      </c>
      <c r="C15" s="30" t="s">
        <v>26</v>
      </c>
      <c r="D15" s="31">
        <v>29.47</v>
      </c>
      <c r="E15" s="31"/>
      <c r="F15" s="31">
        <v>33.5</v>
      </c>
      <c r="G15" s="31">
        <v>33.5</v>
      </c>
      <c r="H15" s="31">
        <v>33.5</v>
      </c>
      <c r="I15" s="36">
        <f t="shared" si="7"/>
        <v>100</v>
      </c>
      <c r="J15" s="37"/>
      <c r="K15" s="35"/>
      <c r="L15" s="38"/>
      <c r="M15" s="3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5">
      <c r="A16" s="15"/>
      <c r="B16" s="27" t="s">
        <v>27</v>
      </c>
      <c r="C16" s="30" t="s">
        <v>21</v>
      </c>
      <c r="D16" s="31">
        <f>D14*D15/10</f>
        <v>60.1188</v>
      </c>
      <c r="E16" s="31"/>
      <c r="F16" s="31">
        <f t="shared" ref="F16:H16" si="8">F14*F15/10</f>
        <v>72.125500000000002</v>
      </c>
      <c r="G16" s="31">
        <f t="shared" si="8"/>
        <v>72.125500000000002</v>
      </c>
      <c r="H16" s="31">
        <f t="shared" si="8"/>
        <v>72.125500000000002</v>
      </c>
      <c r="I16" s="36">
        <f t="shared" si="7"/>
        <v>100</v>
      </c>
      <c r="J16" s="37"/>
      <c r="K16" s="35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25">
      <c r="A17" s="40" t="s">
        <v>30</v>
      </c>
      <c r="B17" s="16" t="s">
        <v>31</v>
      </c>
      <c r="C17" s="40" t="s">
        <v>18</v>
      </c>
      <c r="D17" s="17">
        <f>D20+D23</f>
        <v>180</v>
      </c>
      <c r="E17" s="17"/>
      <c r="F17" s="17">
        <f t="shared" ref="F17:H17" si="9">F20+F23</f>
        <v>181.11</v>
      </c>
      <c r="G17" s="17">
        <f t="shared" si="9"/>
        <v>173</v>
      </c>
      <c r="H17" s="17">
        <f t="shared" si="9"/>
        <v>181.11</v>
      </c>
      <c r="I17" s="17">
        <f t="shared" si="7"/>
        <v>95.5220584175363</v>
      </c>
      <c r="J17" s="41"/>
      <c r="K17" s="28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25">
      <c r="A18" s="40"/>
      <c r="B18" s="27" t="s">
        <v>25</v>
      </c>
      <c r="C18" s="30" t="s">
        <v>26</v>
      </c>
      <c r="D18" s="31">
        <f>D19/D17*10</f>
        <v>35.733333333333327</v>
      </c>
      <c r="E18" s="31"/>
      <c r="F18" s="31">
        <f>F19/F17*10</f>
        <v>37.317858759869694</v>
      </c>
      <c r="G18" s="31">
        <v>0</v>
      </c>
      <c r="H18" s="31">
        <v>0</v>
      </c>
      <c r="I18" s="31"/>
      <c r="J18" s="27"/>
      <c r="K18" s="28"/>
      <c r="L18" s="2"/>
      <c r="M18" s="39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25">
      <c r="A19" s="40"/>
      <c r="B19" s="27" t="s">
        <v>27</v>
      </c>
      <c r="C19" s="30" t="s">
        <v>21</v>
      </c>
      <c r="D19" s="31">
        <f>D22+D25</f>
        <v>643.19999999999993</v>
      </c>
      <c r="E19" s="31"/>
      <c r="F19" s="31">
        <f t="shared" ref="F19:H19" si="10">F22+F25</f>
        <v>675.86374000000012</v>
      </c>
      <c r="G19" s="31">
        <f t="shared" si="10"/>
        <v>0</v>
      </c>
      <c r="H19" s="31">
        <f t="shared" si="10"/>
        <v>0</v>
      </c>
      <c r="I19" s="31"/>
      <c r="J19" s="27"/>
      <c r="K19" s="28"/>
      <c r="L19" s="3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25">
      <c r="A20" s="40" t="s">
        <v>32</v>
      </c>
      <c r="B20" s="42" t="s">
        <v>33</v>
      </c>
      <c r="C20" s="40" t="s">
        <v>18</v>
      </c>
      <c r="D20" s="17">
        <v>160</v>
      </c>
      <c r="E20" s="17"/>
      <c r="F20" s="17">
        <f>'TUMO RONG (1)'!E22+'LONG LEO(2)'!E22+'ĐĂK CHUM 1(3)'!E22+'ĐĂK CHUM II(4)'!E22+'TU CẤP(5)'!E22+'ĐĂK KA(6)'!E22+'VĂN SANG(7)'!E22+'ĐĂK NEANG(8)'!E22+'NGỌC LEANG(9)'!E22+'ĐĂK SIÊNG(10)'!E22+'KON TUN(11)'!E22+'MÔ PẢ(12)'!E22+'TY TU(13)'!E22+'KON LING(14)'!E22+'ĐĂK PƠ TRANG(15)'!E22+'KON PIA(16)'!E22+'ĐĂK HÀ(17)'!E22</f>
        <v>173.11</v>
      </c>
      <c r="G20" s="17">
        <v>165</v>
      </c>
      <c r="H20" s="17">
        <v>173.11</v>
      </c>
      <c r="I20" s="31">
        <f>G20/F20*100</f>
        <v>95.315117555311645</v>
      </c>
      <c r="J20" s="43"/>
      <c r="K20" s="35"/>
      <c r="L20" s="21"/>
      <c r="M20" s="21"/>
      <c r="N20" s="3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25">
      <c r="A21" s="40"/>
      <c r="B21" s="27" t="s">
        <v>25</v>
      </c>
      <c r="C21" s="30" t="s">
        <v>26</v>
      </c>
      <c r="D21" s="31">
        <v>38.299999999999997</v>
      </c>
      <c r="E21" s="31"/>
      <c r="F21" s="31">
        <v>38.340000000000003</v>
      </c>
      <c r="G21" s="31"/>
      <c r="H21" s="31"/>
      <c r="I21" s="31"/>
      <c r="J21" s="37"/>
      <c r="K21" s="35"/>
      <c r="L21" s="44"/>
      <c r="M21" s="39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25">
      <c r="A22" s="40"/>
      <c r="B22" s="27" t="s">
        <v>27</v>
      </c>
      <c r="C22" s="30" t="s">
        <v>21</v>
      </c>
      <c r="D22" s="31">
        <f>D20*D21/10</f>
        <v>612.79999999999995</v>
      </c>
      <c r="E22" s="31"/>
      <c r="F22" s="31">
        <f t="shared" ref="F22:H22" si="11">F20*F21/10</f>
        <v>663.70374000000015</v>
      </c>
      <c r="G22" s="31">
        <f t="shared" si="11"/>
        <v>0</v>
      </c>
      <c r="H22" s="31">
        <f t="shared" si="11"/>
        <v>0</v>
      </c>
      <c r="I22" s="31"/>
      <c r="J22" s="37"/>
      <c r="K22" s="35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25">
      <c r="A23" s="40" t="s">
        <v>32</v>
      </c>
      <c r="B23" s="42" t="s">
        <v>34</v>
      </c>
      <c r="C23" s="40" t="s">
        <v>18</v>
      </c>
      <c r="D23" s="17">
        <v>20</v>
      </c>
      <c r="E23" s="17"/>
      <c r="F23" s="17">
        <f>'TUMO RONG (1)'!E25+'LONG LEO(2)'!E25+'ĐĂK CHUM 1(3)'!E25+'ĐĂK CHUM II(4)'!E25+'TU CẤP(5)'!E25+'ĐĂK KA(6)'!E25+'VĂN SANG(7)'!E25+'ĐĂK NEANG(8)'!E25+'NGỌC LEANG(9)'!E25+'ĐĂK SIÊNG(10)'!E25+'KON TUN(11)'!E25+'MÔ PẢ(12)'!E25+'TY TU(13)'!E25+'KON LING(14)'!E25+'ĐĂK PƠ TRANG(15)'!E25+'KON PIA(16)'!E25+'ĐĂK HÀ(17)'!E25</f>
        <v>8</v>
      </c>
      <c r="G23" s="17">
        <v>8</v>
      </c>
      <c r="H23" s="17">
        <v>8</v>
      </c>
      <c r="I23" s="17">
        <f>G23/F23*100</f>
        <v>100</v>
      </c>
      <c r="J23" s="34"/>
      <c r="K23" s="35"/>
      <c r="L23" s="3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25">
      <c r="A24" s="40"/>
      <c r="B24" s="27" t="s">
        <v>25</v>
      </c>
      <c r="C24" s="30" t="s">
        <v>26</v>
      </c>
      <c r="D24" s="31">
        <v>15.2</v>
      </c>
      <c r="E24" s="31"/>
      <c r="F24" s="31">
        <v>15.2</v>
      </c>
      <c r="G24" s="31"/>
      <c r="H24" s="31"/>
      <c r="I24" s="31"/>
      <c r="J24" s="37"/>
      <c r="K24" s="35"/>
      <c r="L24" s="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25">
      <c r="A25" s="40"/>
      <c r="B25" s="27" t="s">
        <v>27</v>
      </c>
      <c r="C25" s="30" t="s">
        <v>21</v>
      </c>
      <c r="D25" s="31">
        <f>D23*D24/10</f>
        <v>30.4</v>
      </c>
      <c r="E25" s="31"/>
      <c r="F25" s="31">
        <f t="shared" ref="F25:H25" si="12">F23*F24/10</f>
        <v>12.16</v>
      </c>
      <c r="G25" s="31">
        <f t="shared" si="12"/>
        <v>0</v>
      </c>
      <c r="H25" s="31">
        <f t="shared" si="12"/>
        <v>0</v>
      </c>
      <c r="I25" s="31"/>
      <c r="J25" s="37"/>
      <c r="K25" s="35"/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25">
      <c r="A26" s="15" t="s">
        <v>35</v>
      </c>
      <c r="B26" s="16" t="s">
        <v>36</v>
      </c>
      <c r="C26" s="15" t="s">
        <v>18</v>
      </c>
      <c r="D26" s="17">
        <f>D29+D32</f>
        <v>18</v>
      </c>
      <c r="E26" s="17">
        <v>18</v>
      </c>
      <c r="F26" s="17">
        <f t="shared" ref="F26:H26" si="13">F29+F32</f>
        <v>18</v>
      </c>
      <c r="G26" s="17">
        <f t="shared" si="13"/>
        <v>18</v>
      </c>
      <c r="H26" s="17">
        <f t="shared" si="13"/>
        <v>18</v>
      </c>
      <c r="I26" s="17">
        <f>G26/F26*100</f>
        <v>100</v>
      </c>
      <c r="J26" s="27"/>
      <c r="K26" s="28"/>
      <c r="L26" s="21"/>
      <c r="M26" s="2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25">
      <c r="A27" s="15"/>
      <c r="B27" s="27" t="s">
        <v>25</v>
      </c>
      <c r="C27" s="30" t="s">
        <v>26</v>
      </c>
      <c r="D27" s="31">
        <f>D28/D26*10</f>
        <v>40.600000000000009</v>
      </c>
      <c r="E27" s="31">
        <v>36.9</v>
      </c>
      <c r="F27" s="31">
        <f>F28/F26*10</f>
        <v>36.899999999999991</v>
      </c>
      <c r="G27" s="31"/>
      <c r="H27" s="31"/>
      <c r="I27" s="31"/>
      <c r="J27" s="27"/>
      <c r="K27" s="28"/>
      <c r="L27" s="3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25">
      <c r="A28" s="15"/>
      <c r="B28" s="27" t="s">
        <v>27</v>
      </c>
      <c r="C28" s="30" t="s">
        <v>21</v>
      </c>
      <c r="D28" s="31">
        <f>D31+D34</f>
        <v>73.080000000000013</v>
      </c>
      <c r="E28" s="31">
        <v>66</v>
      </c>
      <c r="F28" s="31">
        <f t="shared" ref="F28:H28" si="14">F31+F34</f>
        <v>66.419999999999987</v>
      </c>
      <c r="G28" s="31">
        <f t="shared" si="14"/>
        <v>0</v>
      </c>
      <c r="H28" s="31">
        <f t="shared" si="14"/>
        <v>0</v>
      </c>
      <c r="I28" s="31"/>
      <c r="J28" s="27"/>
      <c r="K28" s="28"/>
      <c r="L28" s="3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25">
      <c r="A29" s="40" t="s">
        <v>28</v>
      </c>
      <c r="B29" s="45" t="s">
        <v>37</v>
      </c>
      <c r="C29" s="40" t="s">
        <v>18</v>
      </c>
      <c r="D29" s="31">
        <f>'TUMO RONG (1)'!D31+'LONG LEO(2)'!D31+'ĐĂK CHUM 1(3)'!D31+'ĐĂK CHUM II(4)'!D31+'TU CẤP(5)'!D31+'ĐĂK KA(6)'!D31+'VĂN SANG(7)'!D31+'ĐĂK NEANG(8)'!D31+'NGỌC LEANG(9)'!D31+'ĐĂK SIÊNG(10)'!D31+'KON TUN(11)'!D31+'MÔ PẢ(12)'!D31+'TY TU(13)'!D31+'KON LING(14)'!D31+'ĐĂK PƠ TRANG(15)'!D31+'KON PIA(16)'!D31+'ĐĂK HÀ(17)'!D31</f>
        <v>0</v>
      </c>
      <c r="E29" s="31"/>
      <c r="F29" s="31">
        <f>'TUMO RONG (1)'!E31+'LONG LEO(2)'!E31+'ĐĂK CHUM 1(3)'!E31+'ĐĂK CHUM II(4)'!E31+'TU CẤP(5)'!E31+'ĐĂK KA(6)'!E31+'VĂN SANG(7)'!E31+'ĐĂK NEANG(8)'!E31+'NGỌC LEANG(9)'!E31+'ĐĂK SIÊNG(10)'!E31+'KON TUN(11)'!E31+'MÔ PẢ(12)'!E31+'TY TU(13)'!E31+'KON LING(14)'!E31+'ĐĂK PƠ TRANG(15)'!E31+'KON PIA(16)'!E31+'ĐĂK HÀ(17)'!E31</f>
        <v>0</v>
      </c>
      <c r="G29" s="31">
        <f>'TUMO RONG (1)'!F31+'LONG LEO(2)'!F31+'ĐĂK CHUM 1(3)'!F31+'ĐĂK CHUM II(4)'!F31+'TU CẤP(5)'!F31+'ĐĂK KA(6)'!F31+'VĂN SANG(7)'!F31+'ĐĂK NEANG(8)'!F31+'NGỌC LEANG(9)'!F31+'ĐĂK SIÊNG(10)'!F31+'KON TUN(11)'!F31+'MÔ PẢ(12)'!F31+'TY TU(13)'!F31+'KON LING(14)'!F31+'ĐĂK PƠ TRANG(15)'!F31+'KON PIA(16)'!F31+'ĐĂK HÀ(17)'!F31</f>
        <v>0</v>
      </c>
      <c r="H29" s="31">
        <f>'TUMO RONG (1)'!G31+'LONG LEO(2)'!G31+'ĐĂK CHUM 1(3)'!G31+'ĐĂK CHUM II(4)'!G31+'TU CẤP(5)'!G31+'ĐĂK KA(6)'!G31+'VĂN SANG(7)'!G31+'ĐĂK NEANG(8)'!G31+'NGỌC LEANG(9)'!G31+'ĐĂK SIÊNG(10)'!G31+'KON TUN(11)'!G31+'MÔ PẢ(12)'!G31+'TY TU(13)'!G31+'KON LING(14)'!G31+'ĐĂK PƠ TRANG(15)'!G31+'KON PIA(16)'!G31+'ĐĂK HÀ(17)'!G31</f>
        <v>0</v>
      </c>
      <c r="I29" s="31"/>
      <c r="J29" s="27"/>
      <c r="K29" s="28"/>
      <c r="L29" s="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25">
      <c r="A30" s="40"/>
      <c r="B30" s="27" t="s">
        <v>25</v>
      </c>
      <c r="C30" s="30" t="s">
        <v>26</v>
      </c>
      <c r="D30" s="31"/>
      <c r="E30" s="31"/>
      <c r="F30" s="31"/>
      <c r="G30" s="31"/>
      <c r="H30" s="31"/>
      <c r="I30" s="31"/>
      <c r="J30" s="27"/>
      <c r="K30" s="28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25">
      <c r="A31" s="40"/>
      <c r="B31" s="27" t="s">
        <v>27</v>
      </c>
      <c r="C31" s="30" t="s">
        <v>21</v>
      </c>
      <c r="D31" s="31"/>
      <c r="E31" s="31"/>
      <c r="F31" s="31"/>
      <c r="G31" s="31"/>
      <c r="H31" s="31"/>
      <c r="I31" s="31"/>
      <c r="J31" s="27"/>
      <c r="K31" s="28"/>
      <c r="L31" s="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25">
      <c r="A32" s="40" t="s">
        <v>30</v>
      </c>
      <c r="B32" s="42" t="s">
        <v>38</v>
      </c>
      <c r="C32" s="40" t="s">
        <v>18</v>
      </c>
      <c r="D32" s="17">
        <f>'TUMO RONG (1)'!D34+'LONG LEO(2)'!D34+'ĐĂK CHUM 1(3)'!D34+'ĐĂK CHUM II(4)'!D34+'TU CẤP(5)'!D34+'ĐĂK KA(6)'!D34+'VĂN SANG(7)'!D34+'ĐĂK NEANG(8)'!D34+'NGỌC LEANG(9)'!D34+'ĐĂK SIÊNG(10)'!D34+'KON TUN(11)'!D34+'MÔ PẢ(12)'!D34+'TY TU(13)'!D34+'KON LING(14)'!D34+'ĐĂK PƠ TRANG(15)'!D34+'KON PIA(16)'!D34+'ĐĂK HÀ(17)'!D34</f>
        <v>18</v>
      </c>
      <c r="E32" s="17"/>
      <c r="F32" s="17">
        <f>'TUMO RONG (1)'!E34+'LONG LEO(2)'!E34+'ĐĂK CHUM 1(3)'!E34+'ĐĂK CHUM II(4)'!E34+'TU CẤP(5)'!E34+'ĐĂK KA(6)'!E34+'VĂN SANG(7)'!E34+'ĐĂK NEANG(8)'!E34+'NGỌC LEANG(9)'!E34+'ĐĂK SIÊNG(10)'!E34+'KON TUN(11)'!E34+'MÔ PẢ(12)'!E34+'TY TU(13)'!E34+'KON LING(14)'!E34+'ĐĂK PƠ TRANG(15)'!E34+'KON PIA(16)'!E34+'ĐĂK HÀ(17)'!E34</f>
        <v>18</v>
      </c>
      <c r="G32" s="17">
        <f>'TUMO RONG (1)'!F34+'LONG LEO(2)'!F34+'ĐĂK CHUM 1(3)'!F34+'ĐĂK CHUM II(4)'!F34+'TU CẤP(5)'!F34+'ĐĂK KA(6)'!F34+'VĂN SANG(7)'!F34+'ĐĂK NEANG(8)'!F34+'NGỌC LEANG(9)'!F34+'ĐĂK SIÊNG(10)'!F34+'KON TUN(11)'!F34+'MÔ PẢ(12)'!F34+'TY TU(13)'!F34+'KON LING(14)'!F34+'ĐĂK PƠ TRANG(15)'!F34+'KON PIA(16)'!F34+'ĐĂK HÀ(17)'!F34</f>
        <v>18</v>
      </c>
      <c r="H32" s="17">
        <f>'TUMO RONG (1)'!G34+'LONG LEO(2)'!G34+'ĐĂK CHUM 1(3)'!G34+'ĐĂK CHUM II(4)'!G34+'TU CẤP(5)'!G34+'ĐĂK KA(6)'!G34+'VĂN SANG(7)'!G34+'ĐĂK NEANG(8)'!G34+'NGỌC LEANG(9)'!G34+'ĐĂK SIÊNG(10)'!G34+'KON TUN(11)'!G34+'MÔ PẢ(12)'!G34+'TY TU(13)'!G34+'KON LING(14)'!G34+'ĐĂK PƠ TRANG(15)'!G34+'KON PIA(16)'!G34+'ĐĂK HÀ(17)'!G34</f>
        <v>18</v>
      </c>
      <c r="I32" s="17">
        <f>G32/F32*100</f>
        <v>100</v>
      </c>
      <c r="J32" s="15"/>
      <c r="K32" s="46"/>
      <c r="L32" s="2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25">
      <c r="A33" s="40"/>
      <c r="B33" s="27" t="s">
        <v>25</v>
      </c>
      <c r="C33" s="30" t="s">
        <v>26</v>
      </c>
      <c r="D33" s="31">
        <v>40.6</v>
      </c>
      <c r="E33" s="31"/>
      <c r="F33" s="31">
        <v>36.9</v>
      </c>
      <c r="G33" s="31"/>
      <c r="H33" s="31"/>
      <c r="I33" s="31"/>
      <c r="J33" s="30"/>
      <c r="K33" s="46"/>
      <c r="L33" s="2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25">
      <c r="A34" s="40"/>
      <c r="B34" s="27" t="s">
        <v>27</v>
      </c>
      <c r="C34" s="30" t="s">
        <v>21</v>
      </c>
      <c r="D34" s="31">
        <f>D32*D33/10</f>
        <v>73.080000000000013</v>
      </c>
      <c r="E34" s="31"/>
      <c r="F34" s="31">
        <f t="shared" ref="F34:H34" si="15">F32*F33/10</f>
        <v>66.419999999999987</v>
      </c>
      <c r="G34" s="31">
        <f t="shared" si="15"/>
        <v>0</v>
      </c>
      <c r="H34" s="31">
        <f t="shared" si="15"/>
        <v>0</v>
      </c>
      <c r="I34" s="31"/>
      <c r="J34" s="30"/>
      <c r="K34" s="46"/>
      <c r="L34" s="21"/>
      <c r="M34" s="39"/>
      <c r="N34" s="47"/>
      <c r="O34" s="39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25">
      <c r="A35" s="15">
        <v>2</v>
      </c>
      <c r="B35" s="16" t="s">
        <v>39</v>
      </c>
      <c r="C35" s="15" t="s">
        <v>18</v>
      </c>
      <c r="D35" s="17">
        <f>'TUMO RONG (1)'!D37+'LONG LEO(2)'!D37+'ĐĂK CHUM 1(3)'!D37+'ĐĂK CHUM II(4)'!D37+'TU CẤP(5)'!D37+'ĐĂK KA(6)'!D37+'VĂN SANG(7)'!D37+'ĐĂK NEANG(8)'!D37+'NGỌC LEANG(9)'!D37+'ĐĂK SIÊNG(10)'!D37+'KON TUN(11)'!D37+'MÔ PẢ(12)'!D37+'TY TU(13)'!D37+'KON LING(14)'!D37+'ĐĂK PƠ TRANG(15)'!D37+'KON PIA(16)'!D37+'ĐĂK HÀ(17)'!D37</f>
        <v>460</v>
      </c>
      <c r="E35" s="17">
        <v>408</v>
      </c>
      <c r="F35" s="17">
        <f>'TUMO RONG (1)'!E37+'LONG LEO(2)'!E37+'ĐĂK CHUM 1(3)'!E37+'ĐĂK CHUM II(4)'!E37+'TU CẤP(5)'!E37+'ĐĂK KA(6)'!E37+'VĂN SANG(7)'!E37+'ĐĂK NEANG(8)'!E37+'NGỌC LEANG(9)'!E37+'ĐĂK SIÊNG(10)'!E37+'KON TUN(11)'!E37+'MÔ PẢ(12)'!E37+'TY TU(13)'!E37+'KON LING(14)'!E37+'ĐĂK PƠ TRANG(15)'!E37+'KON PIA(16)'!E37+'ĐĂK HÀ(17)'!E37</f>
        <v>409</v>
      </c>
      <c r="G35" s="17">
        <f>'TUMO RONG (1)'!F37+'LONG LEO(2)'!F37+'ĐĂK CHUM 1(3)'!F37+'ĐĂK CHUM II(4)'!F37+'TU CẤP(5)'!F37+'ĐĂK KA(6)'!F37+'VĂN SANG(7)'!F37+'ĐĂK NEANG(8)'!F37+'NGỌC LEANG(9)'!F37+'ĐĂK SIÊNG(10)'!F37+'KON TUN(11)'!F37+'MÔ PẢ(12)'!F37+'TY TU(13)'!F37+'KON LING(14)'!F37+'ĐĂK PƠ TRANG(15)'!F37+'KON PIA(16)'!F37+'ĐĂK HÀ(17)'!F37</f>
        <v>409.11</v>
      </c>
      <c r="H35" s="17">
        <f>'TUMO RONG (1)'!G37+'LONG LEO(2)'!G37+'ĐĂK CHUM 1(3)'!G37+'ĐĂK CHUM II(4)'!G37+'TU CẤP(5)'!G37+'ĐĂK KA(6)'!G37+'VĂN SANG(7)'!G37+'ĐĂK NEANG(8)'!G37+'NGỌC LEANG(9)'!G37+'ĐĂK SIÊNG(10)'!G37+'KON TUN(11)'!G37+'MÔ PẢ(12)'!G37+'TY TU(13)'!G37+'KON LING(14)'!G37+'ĐĂK PƠ TRANG(15)'!G37+'KON PIA(16)'!G37+'ĐĂK HÀ(17)'!G37</f>
        <v>409.11</v>
      </c>
      <c r="I35" s="17">
        <f>G35/F35*100</f>
        <v>100.02689486552568</v>
      </c>
      <c r="J35" s="40"/>
      <c r="K35" s="46"/>
      <c r="L35" s="21"/>
      <c r="M35" s="21"/>
      <c r="N35" s="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25">
      <c r="A36" s="15"/>
      <c r="B36" s="27" t="s">
        <v>25</v>
      </c>
      <c r="C36" s="30" t="s">
        <v>26</v>
      </c>
      <c r="D36" s="31">
        <v>137.5</v>
      </c>
      <c r="E36" s="31">
        <v>140</v>
      </c>
      <c r="F36" s="31">
        <v>140</v>
      </c>
      <c r="G36" s="31"/>
      <c r="H36" s="31"/>
      <c r="I36" s="31"/>
      <c r="J36" s="48"/>
      <c r="K36" s="46"/>
      <c r="L36" s="21"/>
      <c r="M36" s="39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25">
      <c r="A37" s="9"/>
      <c r="B37" s="49" t="s">
        <v>27</v>
      </c>
      <c r="C37" s="50" t="s">
        <v>21</v>
      </c>
      <c r="D37" s="51">
        <f>D35*D36/10</f>
        <v>6325</v>
      </c>
      <c r="E37" s="51">
        <v>5714</v>
      </c>
      <c r="F37" s="51">
        <f t="shared" ref="F37:H37" si="16">F35*F36/10</f>
        <v>5726</v>
      </c>
      <c r="G37" s="51">
        <f t="shared" si="16"/>
        <v>0</v>
      </c>
      <c r="H37" s="51">
        <f t="shared" si="16"/>
        <v>0</v>
      </c>
      <c r="I37" s="51"/>
      <c r="J37" s="50"/>
      <c r="K37" s="46"/>
      <c r="L37" s="21"/>
      <c r="M37" s="4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25">
      <c r="A38" s="15">
        <v>3</v>
      </c>
      <c r="B38" s="16" t="s">
        <v>40</v>
      </c>
      <c r="C38" s="15" t="s">
        <v>18</v>
      </c>
      <c r="D38" s="17">
        <f>'TUMO RONG (1)'!D40+'LONG LEO(2)'!D40+'ĐĂK CHUM 1(3)'!D40+'ĐĂK CHUM II(4)'!D40+'TU CẤP(5)'!D40+'ĐĂK KA(6)'!D40+'VĂN SANG(7)'!D40+'ĐĂK NEANG(8)'!D40+'NGỌC LEANG(9)'!D40+'ĐĂK SIÊNG(10)'!D40+'KON TUN(11)'!D40+'MÔ PẢ(12)'!D40+'TY TU(13)'!D40+'KON LING(14)'!D40+'ĐĂK PƠ TRANG(15)'!D40+'KON PIA(16)'!D40+'ĐĂK HÀ(17)'!D40</f>
        <v>4</v>
      </c>
      <c r="E38" s="17">
        <v>5</v>
      </c>
      <c r="F38" s="17">
        <f>'TUMO RONG (1)'!E40+'LONG LEO(2)'!E40+'ĐĂK CHUM 1(3)'!E40+'ĐĂK CHUM II(4)'!E40+'TU CẤP(5)'!E40+'ĐĂK KA(6)'!E40+'VĂN SANG(7)'!E40+'ĐĂK NEANG(8)'!E40+'NGỌC LEANG(9)'!E40+'ĐĂK SIÊNG(10)'!E40+'KON TUN(11)'!E40+'MÔ PẢ(12)'!E40+'TY TU(13)'!E40+'KON LING(14)'!E40+'ĐĂK PƠ TRANG(15)'!E40+'KON PIA(16)'!E40+'ĐĂK HÀ(17)'!E40</f>
        <v>5.5</v>
      </c>
      <c r="G38" s="17">
        <v>5</v>
      </c>
      <c r="H38" s="17">
        <v>5</v>
      </c>
      <c r="I38" s="17"/>
      <c r="J38" s="48"/>
      <c r="K38" s="46"/>
      <c r="L38" s="21"/>
      <c r="M38" s="38"/>
      <c r="N38" s="38"/>
      <c r="O38" s="38"/>
      <c r="P38" s="38"/>
      <c r="Q38" s="38"/>
      <c r="R38" s="38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25">
      <c r="A39" s="15"/>
      <c r="B39" s="27" t="s">
        <v>25</v>
      </c>
      <c r="C39" s="30" t="s">
        <v>26</v>
      </c>
      <c r="D39" s="31">
        <v>25</v>
      </c>
      <c r="E39" s="31">
        <v>24.1</v>
      </c>
      <c r="F39" s="31">
        <v>24.1</v>
      </c>
      <c r="G39" s="31"/>
      <c r="H39" s="31"/>
      <c r="I39" s="31"/>
      <c r="J39" s="48"/>
      <c r="K39" s="46"/>
      <c r="L39" s="21"/>
      <c r="M39" s="38"/>
      <c r="N39" s="38"/>
      <c r="O39" s="38"/>
      <c r="P39" s="38"/>
      <c r="Q39" s="38"/>
      <c r="R39" s="38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25">
      <c r="A40" s="15"/>
      <c r="B40" s="49" t="s">
        <v>27</v>
      </c>
      <c r="C40" s="50" t="s">
        <v>21</v>
      </c>
      <c r="D40" s="31">
        <f t="shared" ref="D40:H40" si="17">D38*D39/10</f>
        <v>10</v>
      </c>
      <c r="E40" s="31">
        <f t="shared" si="17"/>
        <v>12.05</v>
      </c>
      <c r="F40" s="31">
        <f t="shared" si="17"/>
        <v>13.255000000000001</v>
      </c>
      <c r="G40" s="31">
        <f t="shared" si="17"/>
        <v>0</v>
      </c>
      <c r="H40" s="31">
        <f t="shared" si="17"/>
        <v>0</v>
      </c>
      <c r="I40" s="31"/>
      <c r="J40" s="48"/>
      <c r="K40" s="46"/>
      <c r="L40" s="21"/>
      <c r="M40" s="38"/>
      <c r="N40" s="38"/>
      <c r="O40" s="38"/>
      <c r="P40" s="38"/>
      <c r="Q40" s="38"/>
      <c r="R40" s="38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25">
      <c r="A41" s="15">
        <v>4</v>
      </c>
      <c r="B41" s="16" t="s">
        <v>41</v>
      </c>
      <c r="C41" s="15" t="s">
        <v>18</v>
      </c>
      <c r="D41" s="17">
        <f>'TUMO RONG (1)'!D43+'LONG LEO(2)'!D43+'ĐĂK CHUM 1(3)'!D43+'ĐĂK CHUM II(4)'!D43+'TU CẤP(5)'!D43+'ĐĂK KA(6)'!D43+'VĂN SANG(7)'!D43+'ĐĂK NEANG(8)'!D43+'NGỌC LEANG(9)'!D43+'ĐĂK SIÊNG(10)'!D43+'KON TUN(11)'!D43+'MÔ PẢ(12)'!D43+'TY TU(13)'!D43+'KON LING(14)'!D43+'ĐĂK PƠ TRANG(15)'!D43+'KON PIA(16)'!D43+'ĐĂK HÀ(17)'!D43</f>
        <v>8</v>
      </c>
      <c r="E41" s="17">
        <v>8</v>
      </c>
      <c r="F41" s="17">
        <f>'TUMO RONG (1)'!E43+'LONG LEO(2)'!E43+'ĐĂK CHUM 1(3)'!E43+'ĐĂK CHUM II(4)'!E43+'TU CẤP(5)'!E43+'ĐĂK KA(6)'!E43+'VĂN SANG(7)'!E43+'ĐĂK NEANG(8)'!E43+'NGỌC LEANG(9)'!E43+'ĐĂK SIÊNG(10)'!E43+'KON TUN(11)'!E43+'MÔ PẢ(12)'!E43+'TY TU(13)'!E43+'KON LING(14)'!E43+'ĐĂK PƠ TRANG(15)'!E43+'KON PIA(16)'!E43+'ĐĂK HÀ(17)'!E43</f>
        <v>8.5</v>
      </c>
      <c r="G41" s="17">
        <v>5.2</v>
      </c>
      <c r="H41" s="17">
        <v>5.2</v>
      </c>
      <c r="I41" s="17">
        <f>G41/F41*100</f>
        <v>61.176470588235297</v>
      </c>
      <c r="J41" s="52"/>
      <c r="K41" s="53"/>
      <c r="L41" s="21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25">
      <c r="A42" s="30"/>
      <c r="B42" s="27" t="s">
        <v>25</v>
      </c>
      <c r="C42" s="30" t="s">
        <v>26</v>
      </c>
      <c r="D42" s="31">
        <v>100</v>
      </c>
      <c r="E42" s="31">
        <v>98.5</v>
      </c>
      <c r="F42" s="31">
        <v>98.5</v>
      </c>
      <c r="G42" s="31">
        <v>49.25</v>
      </c>
      <c r="H42" s="31">
        <v>49.25</v>
      </c>
      <c r="I42" s="31"/>
      <c r="J42" s="54"/>
      <c r="K42" s="55"/>
      <c r="L42" s="2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25">
      <c r="A43" s="30"/>
      <c r="B43" s="49" t="s">
        <v>27</v>
      </c>
      <c r="C43" s="50" t="s">
        <v>21</v>
      </c>
      <c r="D43" s="31">
        <f>'TUMO RONG (1)'!D45+'LONG LEO(2)'!D45+'ĐĂK CHUM 1(3)'!D45+'ĐĂK CHUM II(4)'!D45+'TU CẤP(5)'!D45+'ĐĂK KA(6)'!D45+'VĂN SANG(7)'!D45+'ĐĂK NEANG(8)'!D45+'NGỌC LEANG(9)'!D45+'ĐĂK SIÊNG(10)'!D45+'KON TUN(11)'!D45+'MÔ PẢ(12)'!D45+'TY TU(13)'!D45+'KON LING(14)'!D45+'ĐĂK PƠ TRANG(15)'!D45+'KON PIA(16)'!D45+'ĐĂK HÀ(17)'!D45</f>
        <v>80</v>
      </c>
      <c r="E43" s="31">
        <f t="shared" ref="E43:H43" si="18">E41*E42/10</f>
        <v>78.8</v>
      </c>
      <c r="F43" s="31">
        <f t="shared" si="18"/>
        <v>83.724999999999994</v>
      </c>
      <c r="G43" s="31">
        <f t="shared" si="18"/>
        <v>25.610000000000003</v>
      </c>
      <c r="H43" s="31">
        <f t="shared" si="18"/>
        <v>25.610000000000003</v>
      </c>
      <c r="I43" s="31"/>
      <c r="J43" s="54"/>
      <c r="K43" s="55"/>
      <c r="L43" s="2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25">
      <c r="A44" s="15">
        <v>5</v>
      </c>
      <c r="B44" s="16" t="s">
        <v>42</v>
      </c>
      <c r="C44" s="15" t="s">
        <v>18</v>
      </c>
      <c r="D44" s="17">
        <f>D45+D55+D64</f>
        <v>708.42</v>
      </c>
      <c r="E44" s="17"/>
      <c r="F44" s="17">
        <f t="shared" ref="F44:H44" si="19">F45+F55+F64</f>
        <v>878.83999999999992</v>
      </c>
      <c r="G44" s="17">
        <f t="shared" si="19"/>
        <v>810.53999999999985</v>
      </c>
      <c r="H44" s="17">
        <f t="shared" si="19"/>
        <v>864.43999999999994</v>
      </c>
      <c r="I44" s="17">
        <f t="shared" ref="I44:I53" si="20">G44/F44*100</f>
        <v>92.228391971234799</v>
      </c>
      <c r="J44" s="27"/>
      <c r="K44" s="28"/>
      <c r="L44" s="2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25">
      <c r="A45" s="56" t="s">
        <v>43</v>
      </c>
      <c r="B45" s="16" t="s">
        <v>44</v>
      </c>
      <c r="C45" s="15" t="s">
        <v>18</v>
      </c>
      <c r="D45" s="17">
        <f>D46+D47</f>
        <v>558.79999999999995</v>
      </c>
      <c r="E45" s="17">
        <v>689.6</v>
      </c>
      <c r="F45" s="17">
        <f t="shared" ref="F45:H45" si="21">F46+F47</f>
        <v>708.8</v>
      </c>
      <c r="G45" s="17">
        <f t="shared" si="21"/>
        <v>653.09999999999991</v>
      </c>
      <c r="H45" s="17">
        <f t="shared" si="21"/>
        <v>708.8</v>
      </c>
      <c r="I45" s="17">
        <f t="shared" si="20"/>
        <v>92.141647855530465</v>
      </c>
      <c r="J45" s="27"/>
      <c r="K45" s="57"/>
      <c r="L45" s="21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 spans="1:26" ht="21" customHeight="1" x14ac:dyDescent="0.25">
      <c r="A46" s="59" t="s">
        <v>32</v>
      </c>
      <c r="B46" s="60" t="s">
        <v>45</v>
      </c>
      <c r="C46" s="61" t="s">
        <v>18</v>
      </c>
      <c r="D46" s="31">
        <f>'TUMO RONG (1)'!D48+'LONG LEO(2)'!D48+'ĐĂK CHUM 1(3)'!D48+'ĐĂK CHUM II(4)'!D48+'TU CẤP(5)'!D48+'ĐĂK KA(6)'!D48+'VĂN SANG(7)'!D48+'ĐĂK NEANG(8)'!D48+'NGỌC LEANG(9)'!D48+'ĐĂK SIÊNG(10)'!D48+'KON TUN(11)'!D48+'MÔ PẢ(12)'!D48+'TY TU(13)'!D48+'KON LING(14)'!D48+'ĐĂK PƠ TRANG(15)'!D48+'KON PIA(16)'!D48+'ĐĂK HÀ(17)'!D48</f>
        <v>461.09999999999997</v>
      </c>
      <c r="E46" s="31"/>
      <c r="F46" s="31">
        <f>'TUMO RONG (1)'!E48+'LONG LEO(2)'!E48+'ĐĂK CHUM 1(3)'!E48+'ĐĂK CHUM II(4)'!E48+'TU CẤP(5)'!E48+'ĐĂK KA(6)'!E48+'VĂN SANG(7)'!E48+'ĐĂK NEANG(8)'!E48+'NGỌC LEANG(9)'!E48+'ĐĂK SIÊNG(10)'!E48+'KON TUN(11)'!E48+'MÔ PẢ(12)'!E48+'TY TU(13)'!E48+'KON LING(14)'!E48+'ĐĂK PƠ TRANG(15)'!E48+'KON PIA(16)'!E48+'ĐĂK HÀ(17)'!E48</f>
        <v>558.79999999999995</v>
      </c>
      <c r="G46" s="31">
        <f>'TUMO RONG (1)'!F48+'LONG LEO(2)'!F48+'ĐĂK CHUM 1(3)'!F48+'ĐĂK CHUM II(4)'!F48+'TU CẤP(5)'!F48+'ĐĂK KA(6)'!F48+'VĂN SANG(7)'!F48+'ĐĂK NEANG(8)'!F48+'NGỌC LEANG(9)'!F48+'ĐĂK SIÊNG(10)'!F48+'KON TUN(11)'!F48+'MÔ PẢ(12)'!F48+'TY TU(13)'!F48+'KON LING(14)'!F48+'ĐĂK PƠ TRANG(15)'!F48+'KON PIA(16)'!F48+'ĐĂK HÀ(17)'!F48</f>
        <v>558.79999999999995</v>
      </c>
      <c r="H46" s="31">
        <f>'TUMO RONG (1)'!G48+'LONG LEO(2)'!G48+'ĐĂK CHUM 1(3)'!G48+'ĐĂK CHUM II(4)'!G48+'TU CẤP(5)'!G48+'ĐĂK KA(6)'!G48+'VĂN SANG(7)'!G48+'ĐĂK NEANG(8)'!G48+'NGỌC LEANG(9)'!G48+'ĐĂK SIÊNG(10)'!G48+'KON TUN(11)'!G48+'MÔ PẢ(12)'!G48+'TY TU(13)'!G48+'KON LING(14)'!G48+'ĐĂK PƠ TRANG(15)'!G48+'KON PIA(16)'!G48+'ĐĂK HÀ(17)'!G48</f>
        <v>558.79999999999995</v>
      </c>
      <c r="I46" s="31">
        <f t="shared" si="20"/>
        <v>100</v>
      </c>
      <c r="J46" s="62"/>
      <c r="K46" s="63"/>
      <c r="L46" s="21"/>
      <c r="M46" s="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25">
      <c r="A47" s="15" t="s">
        <v>28</v>
      </c>
      <c r="B47" s="16" t="s">
        <v>46</v>
      </c>
      <c r="C47" s="64" t="s">
        <v>18</v>
      </c>
      <c r="D47" s="17">
        <f>D48+D49</f>
        <v>97.7</v>
      </c>
      <c r="E47" s="17">
        <v>150</v>
      </c>
      <c r="F47" s="17">
        <f t="shared" ref="F47:H47" si="22">F48+F49</f>
        <v>150</v>
      </c>
      <c r="G47" s="17">
        <f t="shared" si="22"/>
        <v>94.3</v>
      </c>
      <c r="H47" s="17">
        <f t="shared" si="22"/>
        <v>150</v>
      </c>
      <c r="I47" s="17">
        <f t="shared" si="20"/>
        <v>62.86666666666666</v>
      </c>
      <c r="J47" s="16"/>
      <c r="K47" s="19"/>
      <c r="L47" s="21"/>
      <c r="M47" s="65"/>
      <c r="N47" s="21"/>
      <c r="O47" s="21"/>
      <c r="P47" s="23"/>
      <c r="Q47" s="23"/>
      <c r="R47" s="23"/>
      <c r="S47" s="23"/>
      <c r="T47" s="23"/>
      <c r="U47" s="23"/>
      <c r="V47" s="22"/>
      <c r="W47" s="22"/>
      <c r="X47" s="22"/>
      <c r="Y47" s="22"/>
      <c r="Z47" s="22"/>
    </row>
    <row r="48" spans="1:26" ht="28.5" customHeight="1" x14ac:dyDescent="0.25">
      <c r="A48" s="61" t="s">
        <v>47</v>
      </c>
      <c r="B48" s="66" t="s">
        <v>48</v>
      </c>
      <c r="C48" s="61" t="s">
        <v>18</v>
      </c>
      <c r="D48" s="31">
        <f>'TUMO RONG (1)'!D50+'LONG LEO(2)'!D50+'ĐĂK CHUM 1(3)'!D50+'ĐĂK CHUM II(4)'!D50+'TU CẤP(5)'!D50+'ĐĂK KA(6)'!D50+'VĂN SANG(7)'!D50+'ĐĂK NEANG(8)'!D50+'NGỌC LEANG(9)'!D50+'ĐĂK SIÊNG(10)'!D50+'KON TUN(11)'!D50+'MÔ PẢ(12)'!D50+'TY TU(13)'!D50+'KON LING(14)'!D50+'ĐĂK PƠ TRANG(15)'!D50+'KON PIA(16)'!D50+'ĐĂK HÀ(17)'!D50</f>
        <v>87.2</v>
      </c>
      <c r="E48" s="31"/>
      <c r="F48" s="67">
        <f>'TUMO RONG (1)'!E50+'LONG LEO(2)'!E50+'ĐĂK CHUM 1(3)'!E50+'ĐĂK CHUM II(4)'!E50+'TU CẤP(5)'!E50+'ĐĂK KA(6)'!E50+'VĂN SANG(7)'!E50+'ĐĂK NEANG(8)'!E50+'NGỌC LEANG(9)'!E50+'ĐĂK SIÊNG(10)'!E50+'KON TUN(11)'!E50+'MÔ PẢ(12)'!E50+'TY TU(13)'!E50+'KON LING(14)'!E50+'ĐĂK PƠ TRANG(15)'!E50+'KON PIA(16)'!E50+'ĐĂK HÀ(17)'!E50</f>
        <v>140</v>
      </c>
      <c r="G48" s="68">
        <v>84.3</v>
      </c>
      <c r="H48" s="67">
        <v>140</v>
      </c>
      <c r="I48" s="31">
        <f t="shared" si="20"/>
        <v>60.214285714285708</v>
      </c>
      <c r="J48" s="69"/>
      <c r="K48" s="28"/>
      <c r="L48" s="21"/>
      <c r="M48" s="47"/>
      <c r="N48" s="33"/>
      <c r="O48" s="33"/>
      <c r="P48" s="33"/>
      <c r="Q48" s="33"/>
      <c r="R48" s="33"/>
      <c r="S48" s="33"/>
      <c r="T48" s="33"/>
      <c r="U48" s="33"/>
      <c r="V48" s="33"/>
      <c r="W48" s="1"/>
      <c r="X48" s="1"/>
      <c r="Y48" s="1"/>
      <c r="Z48" s="1"/>
    </row>
    <row r="49" spans="1:26" ht="22.5" customHeight="1" x14ac:dyDescent="0.25">
      <c r="A49" s="61" t="s">
        <v>47</v>
      </c>
      <c r="B49" s="66" t="s">
        <v>49</v>
      </c>
      <c r="C49" s="30" t="s">
        <v>18</v>
      </c>
      <c r="D49" s="31">
        <f>'TUMO RONG (1)'!D51+'LONG LEO(2)'!D51+'ĐĂK CHUM 1(3)'!D51+'ĐĂK CHUM II(4)'!D51+'TU CẤP(5)'!D51+'ĐĂK KA(6)'!D51+'VĂN SANG(7)'!D51+'ĐĂK NEANG(8)'!D51+'NGỌC LEANG(9)'!D51+'ĐĂK SIÊNG(10)'!D51+'KON TUN(11)'!D51+'MÔ PẢ(12)'!D51+'TY TU(13)'!D51+'KON LING(14)'!D51+'ĐĂK PƠ TRANG(15)'!D51+'KON PIA(16)'!D51+'ĐĂK HÀ(17)'!D51</f>
        <v>10.500000000000002</v>
      </c>
      <c r="E49" s="31"/>
      <c r="F49" s="67">
        <f>'TUMO RONG (1)'!E51+'LONG LEO(2)'!E51+'ĐĂK CHUM 1(3)'!E51+'ĐĂK CHUM II(4)'!E51+'TU CẤP(5)'!E51+'ĐĂK KA(6)'!E51+'VĂN SANG(7)'!E51+'ĐĂK NEANG(8)'!E51+'NGỌC LEANG(9)'!E51+'ĐĂK SIÊNG(10)'!E51+'KON TUN(11)'!E51+'MÔ PẢ(12)'!E51+'TY TU(13)'!E51+'KON LING(14)'!E51+'ĐĂK PƠ TRANG(15)'!E51+'KON PIA(16)'!E51+'ĐĂK HÀ(17)'!E51</f>
        <v>10</v>
      </c>
      <c r="G49" s="68">
        <v>10</v>
      </c>
      <c r="H49" s="67">
        <v>10</v>
      </c>
      <c r="I49" s="67">
        <f t="shared" si="20"/>
        <v>100</v>
      </c>
      <c r="J49" s="37"/>
      <c r="K49" s="35"/>
      <c r="L49" s="21"/>
      <c r="M49" s="1"/>
      <c r="N49" s="33"/>
      <c r="O49" s="33"/>
      <c r="P49" s="33"/>
      <c r="Q49" s="33"/>
      <c r="R49" s="33"/>
      <c r="S49" s="33"/>
      <c r="T49" s="33"/>
      <c r="U49" s="33"/>
      <c r="V49" s="33"/>
      <c r="W49" s="1"/>
      <c r="X49" s="1"/>
      <c r="Y49" s="1"/>
      <c r="Z49" s="1"/>
    </row>
    <row r="50" spans="1:26" ht="22.5" customHeight="1" x14ac:dyDescent="0.25">
      <c r="A50" s="14" t="s">
        <v>30</v>
      </c>
      <c r="B50" s="24" t="s">
        <v>50</v>
      </c>
      <c r="C50" s="15" t="s">
        <v>18</v>
      </c>
      <c r="D50" s="17">
        <f>D53+D54</f>
        <v>282</v>
      </c>
      <c r="E50" s="17"/>
      <c r="F50" s="17">
        <f t="shared" ref="F50:H50" si="23">F53+F54</f>
        <v>389.21600000000001</v>
      </c>
      <c r="G50" s="17">
        <f t="shared" si="23"/>
        <v>389.21999999999997</v>
      </c>
      <c r="H50" s="17">
        <f t="shared" si="23"/>
        <v>389.21999999999997</v>
      </c>
      <c r="I50" s="17">
        <f t="shared" si="20"/>
        <v>100.00102770698018</v>
      </c>
      <c r="J50" s="34"/>
      <c r="K50" s="70"/>
      <c r="L50" s="23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4.75" customHeight="1" x14ac:dyDescent="0.25">
      <c r="A51" s="14"/>
      <c r="B51" s="27" t="s">
        <v>25</v>
      </c>
      <c r="C51" s="30" t="s">
        <v>26</v>
      </c>
      <c r="D51" s="31">
        <v>13.5</v>
      </c>
      <c r="E51" s="31"/>
      <c r="F51" s="31">
        <v>13.5</v>
      </c>
      <c r="G51" s="31"/>
      <c r="H51" s="31"/>
      <c r="I51" s="67">
        <f t="shared" si="20"/>
        <v>0</v>
      </c>
      <c r="J51" s="34"/>
      <c r="K51" s="70"/>
      <c r="L51" s="23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4.75" customHeight="1" x14ac:dyDescent="0.25">
      <c r="A52" s="14"/>
      <c r="B52" s="27" t="s">
        <v>27</v>
      </c>
      <c r="C52" s="30" t="s">
        <v>21</v>
      </c>
      <c r="D52" s="31">
        <f>D50*D51/10</f>
        <v>380.7</v>
      </c>
      <c r="E52" s="31"/>
      <c r="F52" s="31">
        <f t="shared" ref="F52:H52" si="24">F50*F51/10</f>
        <v>525.44159999999999</v>
      </c>
      <c r="G52" s="31">
        <f t="shared" si="24"/>
        <v>0</v>
      </c>
      <c r="H52" s="31">
        <f t="shared" si="24"/>
        <v>0</v>
      </c>
      <c r="I52" s="67">
        <f t="shared" si="20"/>
        <v>0</v>
      </c>
      <c r="J52" s="34"/>
      <c r="K52" s="70"/>
      <c r="L52" s="23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4.75" customHeight="1" x14ac:dyDescent="0.25">
      <c r="A53" s="71" t="s">
        <v>47</v>
      </c>
      <c r="B53" s="66" t="s">
        <v>51</v>
      </c>
      <c r="C53" s="30" t="s">
        <v>18</v>
      </c>
      <c r="D53" s="31">
        <f>'TUMO RONG (1)'!D53+'LONG LEO(2)'!D53+'ĐĂK CHUM 1(3)'!D53+'ĐĂK CHUM II(4)'!D53+'TU CẤP(5)'!D53+'ĐĂK KA(6)'!D53+'VĂN SANG(7)'!D53+'ĐĂK NEANG(8)'!D53+'NGỌC LEANG(9)'!D53+'ĐĂK SIÊNG(10)'!D53+'KON TUN(11)'!D53+'MÔ PẢ(12)'!D53+'TY TU(13)'!D53+'KON LING(14)'!D53+'ĐĂK PƠ TRANG(15)'!D53+'KON PIA(16)'!D53+'ĐĂK HÀ(17)'!D53</f>
        <v>231.99999999999997</v>
      </c>
      <c r="E53" s="31"/>
      <c r="F53" s="31">
        <f>'TUMO RONG (1)'!E53+'LONG LEO(2)'!E53+'ĐĂK CHUM 1(3)'!E53+'ĐĂK CHUM II(4)'!E53+'TU CẤP(5)'!E53+'ĐĂK KA(6)'!E53+'VĂN SANG(7)'!E53+'ĐĂK NEANG(8)'!E53+'NGỌC LEANG(9)'!E53+'ĐĂK SIÊNG(10)'!E53+'KON TUN(11)'!E53+'MÔ PẢ(12)'!E53+'TY TU(13)'!E53+'KON LING(14)'!E53+'ĐĂK PƠ TRANG(15)'!E53+'KON PIA(16)'!E53+'ĐĂK HÀ(17)'!E53</f>
        <v>389.21600000000001</v>
      </c>
      <c r="G53" s="31">
        <f>'TUMO RONG (1)'!F53+'LONG LEO(2)'!F53+'ĐĂK CHUM 1(3)'!F53+'ĐĂK CHUM II(4)'!F53+'TU CẤP(5)'!F53+'ĐĂK KA(6)'!F53+'VĂN SANG(7)'!F53+'ĐĂK NEANG(8)'!F53+'NGỌC LEANG(9)'!F53+'ĐĂK SIÊNG(10)'!F53+'KON TUN(11)'!F53+'MÔ PẢ(12)'!F53+'TY TU(13)'!F53+'KON LING(14)'!F53+'ĐĂK PƠ TRANG(15)'!F53+'KON PIA(16)'!F53+'ĐĂK HÀ(17)'!F53</f>
        <v>389.21999999999997</v>
      </c>
      <c r="H53" s="31">
        <f>'TUMO RONG (1)'!G53+'LONG LEO(2)'!G53+'ĐĂK CHUM 1(3)'!G53+'ĐĂK CHUM II(4)'!G53+'TU CẤP(5)'!G53+'ĐĂK KA(6)'!G53+'VĂN SANG(7)'!G53+'ĐĂK NEANG(8)'!G53+'NGỌC LEANG(9)'!G53+'ĐĂK SIÊNG(10)'!G53+'KON TUN(11)'!G53+'MÔ PẢ(12)'!G53+'TY TU(13)'!G53+'KON LING(14)'!G53+'ĐĂK PƠ TRANG(15)'!G53+'KON PIA(16)'!G53+'ĐĂK HÀ(17)'!G53</f>
        <v>389.21999999999997</v>
      </c>
      <c r="I53" s="67">
        <f t="shared" si="20"/>
        <v>100.00102770698018</v>
      </c>
      <c r="J53" s="37"/>
      <c r="K53" s="35"/>
      <c r="L53" s="2"/>
      <c r="M53" s="1"/>
      <c r="N53" s="1"/>
      <c r="O53" s="1"/>
      <c r="P53" s="39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25">
      <c r="A54" s="30"/>
      <c r="B54" s="66" t="s">
        <v>52</v>
      </c>
      <c r="C54" s="30" t="s">
        <v>18</v>
      </c>
      <c r="D54" s="31">
        <f>'TUMO RONG (1)'!D54+'LONG LEO(2)'!D54+'ĐĂK CHUM 1(3)'!D54+'ĐĂK CHUM II(4)'!D54+'TU CẤP(5)'!D54+'ĐĂK KA(6)'!D54+'VĂN SANG(7)'!D54+'ĐĂK NEANG(8)'!D54+'NGỌC LEANG(9)'!D54+'ĐĂK SIÊNG(10)'!D54+'KON TUN(11)'!D54+'MÔ PẢ(12)'!D54+'TY TU(13)'!D54+'KON LING(14)'!D54+'ĐĂK PƠ TRANG(15)'!D54+'KON PIA(16)'!D54+'ĐĂK HÀ(17)'!D54</f>
        <v>50</v>
      </c>
      <c r="E54" s="31"/>
      <c r="F54" s="17">
        <f>'TUMO RONG (1)'!E54+'LONG LEO(2)'!E54+'ĐĂK CHUM 1(3)'!E54+'ĐĂK CHUM II(4)'!E54+'TU CẤP(5)'!E54+'ĐĂK KA(6)'!E54+'VĂN SANG(7)'!E54+'ĐĂK NEANG(8)'!E54+'NGỌC LEANG(9)'!E54+'ĐĂK SIÊNG(10)'!E54+'KON TUN(11)'!E54+'MÔ PẢ(12)'!E54+'TY TU(13)'!E54+'KON LING(14)'!E54+'ĐĂK PƠ TRANG(15)'!E54+'KON PIA(16)'!E54+'ĐĂK HÀ(17)'!E54</f>
        <v>0</v>
      </c>
      <c r="G54" s="17">
        <f>'TUMO RONG (1)'!F54+'LONG LEO(2)'!F54+'ĐĂK CHUM 1(3)'!F54+'ĐĂK CHUM II(4)'!F54+'TU CẤP(5)'!F54+'ĐĂK KA(6)'!F54+'VĂN SANG(7)'!F54+'ĐĂK NEANG(8)'!F54+'NGỌC LEANG(9)'!F54+'ĐĂK SIÊNG(10)'!F54+'KON TUN(11)'!F54+'MÔ PẢ(12)'!F54+'TY TU(13)'!F54+'KON LING(14)'!F54+'ĐĂK PƠ TRANG(15)'!F54+'KON PIA(16)'!F54+'ĐĂK HÀ(17)'!F54</f>
        <v>0</v>
      </c>
      <c r="H54" s="17">
        <f>'TUMO RONG (1)'!G54+'LONG LEO(2)'!G54+'ĐĂK CHUM 1(3)'!G54+'ĐĂK CHUM II(4)'!G54+'TU CẤP(5)'!G54+'ĐĂK KA(6)'!G54+'VĂN SANG(7)'!G54+'ĐĂK NEANG(8)'!G54+'NGỌC LEANG(9)'!G54+'ĐĂK SIÊNG(10)'!G54+'KON TUN(11)'!G54+'MÔ PẢ(12)'!G54+'TY TU(13)'!G54+'KON LING(14)'!G54+'ĐĂK PƠ TRANG(15)'!G54+'KON PIA(16)'!G54+'ĐĂK HÀ(17)'!G54</f>
        <v>0</v>
      </c>
      <c r="I54" s="67"/>
      <c r="J54" s="37"/>
      <c r="K54" s="35"/>
      <c r="L54" s="2"/>
      <c r="M54" s="1"/>
      <c r="N54" s="1"/>
      <c r="O54" s="1"/>
      <c r="P54" s="39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25">
      <c r="A55" s="15" t="s">
        <v>53</v>
      </c>
      <c r="B55" s="16" t="s">
        <v>54</v>
      </c>
      <c r="C55" s="15" t="s">
        <v>18</v>
      </c>
      <c r="D55" s="17">
        <f>D56+D57</f>
        <v>114.94</v>
      </c>
      <c r="E55" s="17">
        <v>126</v>
      </c>
      <c r="F55" s="17">
        <f t="shared" ref="F55:H55" si="25">F56+F57</f>
        <v>135.35999999999999</v>
      </c>
      <c r="G55" s="17">
        <f t="shared" si="25"/>
        <v>122.75999999999999</v>
      </c>
      <c r="H55" s="17">
        <f t="shared" si="25"/>
        <v>120.96</v>
      </c>
      <c r="I55" s="17">
        <f t="shared" ref="I55:I56" si="26">G55/F55*100</f>
        <v>90.691489361702125</v>
      </c>
      <c r="J55" s="27"/>
      <c r="K55" s="57"/>
      <c r="L55" s="72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1:26" ht="24" customHeight="1" x14ac:dyDescent="0.25">
      <c r="A56" s="30" t="s">
        <v>32</v>
      </c>
      <c r="B56" s="60" t="s">
        <v>55</v>
      </c>
      <c r="C56" s="30" t="s">
        <v>18</v>
      </c>
      <c r="D56" s="31">
        <f>'TUMO RONG (1)'!D56+'LONG LEO(2)'!D56+'ĐĂK CHUM 1(3)'!D56+'ĐĂK CHUM II(4)'!D56+'TU CẤP(5)'!D56+'ĐĂK KA(6)'!D56+'VĂN SANG(7)'!D56+'ĐĂK NEANG(8)'!D56+'NGỌC LEANG(9)'!D56+'ĐĂK SIÊNG(10)'!D56+'KON TUN(11)'!D56+'MÔ PẢ(12)'!D56+'TY TU(13)'!D56+'KON LING(14)'!D56+'ĐĂK PƠ TRANG(15)'!D56+'KON PIA(16)'!D56+'ĐĂK HÀ(17)'!D56</f>
        <v>112.56</v>
      </c>
      <c r="E56" s="31"/>
      <c r="F56" s="31">
        <f>'TUMO RONG (1)'!E56+'LONG LEO(2)'!E56+'ĐĂK CHUM 1(3)'!E56+'ĐĂK CHUM II(4)'!E56+'TU CẤP(5)'!E56+'ĐĂK KA(6)'!E56+'VĂN SANG(7)'!E56+'ĐĂK NEANG(8)'!E56+'NGỌC LEANG(9)'!E56+'ĐĂK SIÊNG(10)'!E56+'KON TUN(11)'!E56+'MÔ PẢ(12)'!E56+'TY TU(13)'!E56+'KON LING(14)'!E56+'ĐĂK PƠ TRANG(15)'!E56+'KON PIA(16)'!E56+'ĐĂK HÀ(17)'!E56</f>
        <v>120.96</v>
      </c>
      <c r="G56" s="31">
        <f>'TUMO RONG (1)'!F56+'LONG LEO(2)'!F56+'ĐĂK CHUM 1(3)'!F56+'ĐĂK CHUM II(4)'!F56+'TU CẤP(5)'!F56+'ĐĂK KA(6)'!F56+'VĂN SANG(7)'!F56+'ĐĂK NEANG(8)'!F56+'NGỌC LEANG(9)'!F56+'ĐĂK SIÊNG(10)'!F56+'KON TUN(11)'!F56+'MÔ PẢ(12)'!F56+'TY TU(13)'!F56+'KON LING(14)'!F56+'ĐĂK PƠ TRANG(15)'!F56+'KON PIA(16)'!F56+'ĐĂK HÀ(17)'!F56</f>
        <v>120.96</v>
      </c>
      <c r="H56" s="31">
        <f>'TUMO RONG (1)'!G56+'LONG LEO(2)'!G56+'ĐĂK CHUM 1(3)'!G56+'ĐĂK CHUM II(4)'!G56+'TU CẤP(5)'!G56+'ĐĂK KA(6)'!G56+'VĂN SANG(7)'!G56+'ĐĂK NEANG(8)'!G56+'NGỌC LEANG(9)'!G56+'ĐĂK SIÊNG(10)'!G56+'KON TUN(11)'!G56+'MÔ PẢ(12)'!G56+'TY TU(13)'!G56+'KON LING(14)'!G56+'ĐĂK PƠ TRANG(15)'!G56+'KON PIA(16)'!G56+'ĐĂK HÀ(17)'!G56</f>
        <v>120.96</v>
      </c>
      <c r="I56" s="31">
        <f t="shared" si="26"/>
        <v>100</v>
      </c>
      <c r="J56" s="37"/>
      <c r="K56" s="35"/>
      <c r="L56" s="3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 x14ac:dyDescent="0.25">
      <c r="A57" s="30" t="s">
        <v>32</v>
      </c>
      <c r="B57" s="27" t="s">
        <v>56</v>
      </c>
      <c r="C57" s="30" t="s">
        <v>18</v>
      </c>
      <c r="D57" s="31">
        <f>D58+D61</f>
        <v>2.38</v>
      </c>
      <c r="E57" s="31">
        <v>14.4</v>
      </c>
      <c r="F57" s="31">
        <f t="shared" ref="F57:H57" si="27">F58+F61</f>
        <v>14.399999999999999</v>
      </c>
      <c r="G57" s="31">
        <f t="shared" si="27"/>
        <v>1.8</v>
      </c>
      <c r="H57" s="31">
        <f t="shared" si="27"/>
        <v>0</v>
      </c>
      <c r="I57" s="31">
        <f>G57/F57*100</f>
        <v>12.500000000000004</v>
      </c>
      <c r="J57" s="73"/>
      <c r="K57" s="74"/>
      <c r="L57" s="21"/>
      <c r="M57" s="2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25">
      <c r="A58" s="48" t="s">
        <v>28</v>
      </c>
      <c r="B58" s="75" t="s">
        <v>57</v>
      </c>
      <c r="C58" s="30" t="s">
        <v>18</v>
      </c>
      <c r="D58" s="76">
        <f>D59+D60</f>
        <v>0.28000000000000003</v>
      </c>
      <c r="E58" s="76"/>
      <c r="F58" s="76">
        <f t="shared" ref="F58:H58" si="28">F59+F60</f>
        <v>8.3999999999999986</v>
      </c>
      <c r="G58" s="76">
        <f t="shared" si="28"/>
        <v>1</v>
      </c>
      <c r="H58" s="76">
        <f t="shared" si="28"/>
        <v>0</v>
      </c>
      <c r="I58" s="76"/>
      <c r="J58" s="77"/>
      <c r="K58" s="78"/>
      <c r="L58" s="79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27.75" customHeight="1" x14ac:dyDescent="0.25">
      <c r="A59" s="30" t="s">
        <v>47</v>
      </c>
      <c r="B59" s="60" t="s">
        <v>58</v>
      </c>
      <c r="C59" s="30" t="s">
        <v>18</v>
      </c>
      <c r="D59" s="31">
        <f>'TUMO RONG (1)'!D59+'LONG LEO(2)'!D59+'ĐĂK CHUM 1(3)'!D59+'ĐĂK CHUM II(4)'!D59+'TU CẤP(5)'!D59+'ĐĂK KA(6)'!D59+'VĂN SANG(7)'!D59+'ĐĂK NEANG(8)'!D59+'NGỌC LEANG(9)'!D59+'ĐĂK SIÊNG(10)'!D59+'KON TUN(11)'!D59+'MÔ PẢ(12)'!D59+'TY TU(13)'!D59+'KON LING(14)'!D59+'ĐĂK PƠ TRANG(15)'!D59+'KON PIA(16)'!D59+'ĐĂK HÀ(17)'!D59</f>
        <v>0.28000000000000003</v>
      </c>
      <c r="E59" s="31"/>
      <c r="F59" s="31">
        <f>'TUMO RONG (1)'!E59+'LONG LEO(2)'!E59+'ĐĂK CHUM 1(3)'!E59+'ĐĂK CHUM II(4)'!E59+'TU CẤP(5)'!E59+'ĐĂK KA(6)'!E59+'VĂN SANG(7)'!E59+'ĐĂK NEANG(8)'!E59+'NGỌC LEANG(9)'!E59+'ĐĂK SIÊNG(10)'!E59+'KON TUN(11)'!E59+'MÔ PẢ(12)'!E59+'TY TU(13)'!E59+'KON LING(14)'!E59+'ĐĂK PƠ TRANG(15)'!E59+'KON PIA(16)'!E59+'ĐĂK HÀ(17)'!E59</f>
        <v>4.4999999999999991</v>
      </c>
      <c r="G59" s="31">
        <f>'TUMO RONG (1)'!F59+'LONG LEO(2)'!F59+'ĐĂK CHUM 1(3)'!F59+'ĐĂK CHUM II(4)'!F59+'TU CẤP(5)'!F59+'ĐĂK KA(6)'!F59+'VĂN SANG(7)'!F59+'ĐĂK NEANG(8)'!F59+'NGỌC LEANG(9)'!F59+'ĐĂK SIÊNG(10)'!F59+'KON TUN(11)'!F59+'MÔ PẢ(12)'!F59+'TY TU(13)'!F59+'KON LING(14)'!F59+'ĐĂK PƠ TRANG(15)'!F59+'KON PIA(16)'!F59+'ĐĂK HÀ(17)'!F59</f>
        <v>0</v>
      </c>
      <c r="H59" s="31">
        <f>'TUMO RONG (1)'!G59+'LONG LEO(2)'!G59+'ĐĂK CHUM 1(3)'!G59+'ĐĂK CHUM II(4)'!G59+'TU CẤP(5)'!G59+'ĐĂK KA(6)'!G59+'VĂN SANG(7)'!G59+'ĐĂK NEANG(8)'!G59+'NGỌC LEANG(9)'!G59+'ĐĂK SIÊNG(10)'!G59+'KON TUN(11)'!G59+'MÔ PẢ(12)'!G59+'TY TU(13)'!G59+'KON LING(14)'!G59+'ĐĂK PƠ TRANG(15)'!G59+'KON PIA(16)'!G59+'ĐĂK HÀ(17)'!G59</f>
        <v>0</v>
      </c>
      <c r="I59" s="31"/>
      <c r="J59" s="27"/>
      <c r="K59" s="28"/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8.25" customHeight="1" x14ac:dyDescent="0.25">
      <c r="A60" s="30" t="s">
        <v>47</v>
      </c>
      <c r="B60" s="60" t="s">
        <v>59</v>
      </c>
      <c r="C60" s="30" t="s">
        <v>18</v>
      </c>
      <c r="D60" s="31">
        <f>'TUMO RONG (1)'!D60+'LONG LEO(2)'!D60+'ĐĂK CHUM 1(3)'!D60+'ĐĂK CHUM II(4)'!D60+'TU CẤP(5)'!D60+'ĐĂK KA(6)'!D60+'VĂN SANG(7)'!D60+'ĐĂK NEANG(8)'!D60+'NGỌC LEANG(9)'!D60+'ĐĂK SIÊNG(10)'!D60+'KON TUN(11)'!D60+'MÔ PẢ(12)'!D60+'TY TU(13)'!D60+'KON LING(14)'!D60+'ĐĂK PƠ TRANG(15)'!D60+'KON PIA(16)'!D60+'ĐĂK HÀ(17)'!D60</f>
        <v>0</v>
      </c>
      <c r="E60" s="31"/>
      <c r="F60" s="31">
        <f>'TUMO RONG (1)'!E60+'LONG LEO(2)'!E60+'ĐĂK CHUM 1(3)'!E60+'ĐĂK CHUM II(4)'!E60+'TU CẤP(5)'!E60+'ĐĂK KA(6)'!E60+'VĂN SANG(7)'!E60+'ĐĂK NEANG(8)'!E60+'NGỌC LEANG(9)'!E60+'ĐĂK SIÊNG(10)'!E60+'KON TUN(11)'!E60+'MÔ PẢ(12)'!E60+'TY TU(13)'!E60+'KON LING(14)'!E60+'ĐĂK PƠ TRANG(15)'!E60+'KON PIA(16)'!E60+'ĐĂK HÀ(17)'!E60</f>
        <v>3.9000000000000004</v>
      </c>
      <c r="G60" s="31">
        <v>1</v>
      </c>
      <c r="H60" s="31"/>
      <c r="I60" s="31"/>
      <c r="J60" s="27"/>
      <c r="K60" s="28"/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2.5" customHeight="1" x14ac:dyDescent="0.25">
      <c r="A61" s="48" t="s">
        <v>30</v>
      </c>
      <c r="B61" s="81" t="s">
        <v>60</v>
      </c>
      <c r="C61" s="30" t="s">
        <v>18</v>
      </c>
      <c r="D61" s="76">
        <f>D62+D63</f>
        <v>2.1</v>
      </c>
      <c r="E61" s="76"/>
      <c r="F61" s="76">
        <f t="shared" ref="F61:H61" si="29">F62+F63</f>
        <v>6</v>
      </c>
      <c r="G61" s="76">
        <f t="shared" si="29"/>
        <v>0.8</v>
      </c>
      <c r="H61" s="76">
        <f t="shared" si="29"/>
        <v>0</v>
      </c>
      <c r="I61" s="76"/>
      <c r="J61" s="77"/>
      <c r="K61" s="78"/>
      <c r="L61" s="79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22.5" customHeight="1" x14ac:dyDescent="0.25">
      <c r="A62" s="30" t="s">
        <v>47</v>
      </c>
      <c r="B62" s="60" t="s">
        <v>61</v>
      </c>
      <c r="C62" s="30" t="s">
        <v>18</v>
      </c>
      <c r="D62" s="31">
        <f>'TUMO RONG (1)'!D62+'LONG LEO(2)'!D62+'ĐĂK CHUM 1(3)'!D62+'ĐĂK CHUM II(4)'!D62+'TU CẤP(5)'!D62+'ĐĂK KA(6)'!D62+'VĂN SANG(7)'!D62+'ĐĂK NEANG(8)'!D62+'NGỌC LEANG(9)'!D62+'ĐĂK SIÊNG(10)'!D62+'KON TUN(11)'!D62+'MÔ PẢ(12)'!D62+'TY TU(13)'!D62+'KON LING(14)'!D62+'ĐĂK PƠ TRANG(15)'!D62+'KON PIA(16)'!D62+'ĐĂK HÀ(17)'!D62</f>
        <v>2.1</v>
      </c>
      <c r="E62" s="31"/>
      <c r="F62" s="31">
        <f>'TUMO RONG (1)'!E62+'LONG LEO(2)'!E62+'ĐĂK CHUM 1(3)'!E62+'ĐĂK CHUM II(4)'!E62+'TU CẤP(5)'!E62+'ĐĂK KA(6)'!E62+'VĂN SANG(7)'!E62+'ĐĂK NEANG(8)'!E62+'NGỌC LEANG(9)'!E62+'ĐĂK SIÊNG(10)'!E62+'KON TUN(11)'!E62+'MÔ PẢ(12)'!E62+'TY TU(13)'!E62+'KON LING(14)'!E62+'ĐĂK PƠ TRANG(15)'!E62+'KON PIA(16)'!E62+'ĐĂK HÀ(17)'!E62</f>
        <v>3.9</v>
      </c>
      <c r="G62" s="31">
        <v>0.8</v>
      </c>
      <c r="H62" s="31">
        <f>'TUMO RONG (1)'!G62+'LONG LEO(2)'!G62+'ĐĂK CHUM 1(3)'!G62+'ĐĂK CHUM II(4)'!G62+'TU CẤP(5)'!G62+'ĐĂK KA(6)'!G62+'VĂN SANG(7)'!G62+'ĐĂK NEANG(8)'!G62+'NGỌC LEANG(9)'!G62+'ĐĂK SIÊNG(10)'!G62+'KON TUN(11)'!G62+'MÔ PẢ(12)'!G62+'TY TU(13)'!G62+'KON LING(14)'!G62+'ĐĂK PƠ TRANG(15)'!G62+'KON PIA(16)'!G62+'ĐĂK HÀ(17)'!G62</f>
        <v>0</v>
      </c>
      <c r="I62" s="31"/>
      <c r="J62" s="27"/>
      <c r="K62" s="28"/>
      <c r="L62" s="2"/>
      <c r="M62" s="1"/>
      <c r="N62" s="2"/>
      <c r="O62" s="2"/>
      <c r="P62" s="32"/>
      <c r="Q62" s="2"/>
      <c r="R62" s="2"/>
      <c r="S62" s="2"/>
      <c r="T62" s="2"/>
      <c r="U62" s="1"/>
      <c r="V62" s="1"/>
      <c r="W62" s="1"/>
      <c r="X62" s="1"/>
      <c r="Y62" s="1"/>
      <c r="Z62" s="1"/>
    </row>
    <row r="63" spans="1:26" ht="22.5" customHeight="1" x14ac:dyDescent="0.25">
      <c r="A63" s="30" t="s">
        <v>47</v>
      </c>
      <c r="B63" s="60" t="s">
        <v>62</v>
      </c>
      <c r="C63" s="30" t="s">
        <v>18</v>
      </c>
      <c r="D63" s="31">
        <f>'TUMO RONG (1)'!D63+'LONG LEO(2)'!D63+'ĐĂK CHUM 1(3)'!D63+'ĐĂK CHUM II(4)'!D63+'TU CẤP(5)'!D63+'ĐĂK KA(6)'!D63+'VĂN SANG(7)'!D63+'ĐĂK NEANG(8)'!D63+'NGỌC LEANG(9)'!D63+'ĐĂK SIÊNG(10)'!D63+'KON TUN(11)'!D63+'MÔ PẢ(12)'!D63+'TY TU(13)'!D63+'KON LING(14)'!D63+'ĐĂK PƠ TRANG(15)'!D63+'KON PIA(16)'!D63+'ĐĂK HÀ(17)'!D63</f>
        <v>0</v>
      </c>
      <c r="E63" s="31"/>
      <c r="F63" s="31">
        <f>'TUMO RONG (1)'!E63+'LONG LEO(2)'!E63+'ĐĂK CHUM 1(3)'!E63+'ĐĂK CHUM II(4)'!E63+'TU CẤP(5)'!E63+'ĐĂK KA(6)'!E63+'VĂN SANG(7)'!E63+'ĐĂK NEANG(8)'!E63+'NGỌC LEANG(9)'!E63+'ĐĂK SIÊNG(10)'!E63+'KON TUN(11)'!E63+'MÔ PẢ(12)'!E63+'TY TU(13)'!E63+'KON LING(14)'!E63+'ĐĂK PƠ TRANG(15)'!E63+'KON PIA(16)'!E63+'ĐĂK HÀ(17)'!E63</f>
        <v>2.1</v>
      </c>
      <c r="G63" s="31">
        <f>'TUMO RONG (1)'!F63+'LONG LEO(2)'!F63+'ĐĂK CHUM 1(3)'!F63+'ĐĂK CHUM II(4)'!F63+'TU CẤP(5)'!F63+'ĐĂK KA(6)'!F63+'VĂN SANG(7)'!F63+'ĐĂK NEANG(8)'!F63+'NGỌC LEANG(9)'!F63+'ĐĂK SIÊNG(10)'!F63+'KON TUN(11)'!F63+'MÔ PẢ(12)'!F63+'TY TU(13)'!F63+'KON LING(14)'!F63+'ĐĂK PƠ TRANG(15)'!F63+'KON PIA(16)'!F63+'ĐĂK HÀ(17)'!F63</f>
        <v>0</v>
      </c>
      <c r="H63" s="31">
        <f>'TUMO RONG (1)'!G63+'LONG LEO(2)'!G63+'ĐĂK CHUM 1(3)'!G63+'ĐĂK CHUM II(4)'!G63+'TU CẤP(5)'!G63+'ĐĂK KA(6)'!G63+'VĂN SANG(7)'!G63+'ĐĂK NEANG(8)'!G63+'NGỌC LEANG(9)'!G63+'ĐĂK SIÊNG(10)'!G63+'KON TUN(11)'!G63+'MÔ PẢ(12)'!G63+'TY TU(13)'!G63+'KON LING(14)'!G63+'ĐĂK PƠ TRANG(15)'!G63+'KON PIA(16)'!G63+'ĐĂK HÀ(17)'!G63</f>
        <v>0</v>
      </c>
      <c r="I63" s="31"/>
      <c r="J63" s="27"/>
      <c r="K63" s="28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2.5" customHeight="1" x14ac:dyDescent="0.25">
      <c r="A64" s="15" t="s">
        <v>63</v>
      </c>
      <c r="B64" s="16" t="s">
        <v>64</v>
      </c>
      <c r="C64" s="15" t="s">
        <v>18</v>
      </c>
      <c r="D64" s="17">
        <f>D65+D66</f>
        <v>34.68</v>
      </c>
      <c r="E64" s="17">
        <v>34</v>
      </c>
      <c r="F64" s="17">
        <f t="shared" ref="F64:H64" si="30">F65+F66</f>
        <v>34.68</v>
      </c>
      <c r="G64" s="17">
        <f t="shared" si="30"/>
        <v>34.68</v>
      </c>
      <c r="H64" s="17">
        <f t="shared" si="30"/>
        <v>34.68</v>
      </c>
      <c r="I64" s="17">
        <f t="shared" ref="I64:I65" si="31">G64/F64*100</f>
        <v>100</v>
      </c>
      <c r="J64" s="27"/>
      <c r="K64" s="57"/>
      <c r="L64" s="82"/>
      <c r="M64" s="83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21" customHeight="1" x14ac:dyDescent="0.25">
      <c r="A65" s="30" t="s">
        <v>47</v>
      </c>
      <c r="B65" s="60" t="s">
        <v>45</v>
      </c>
      <c r="C65" s="30" t="s">
        <v>18</v>
      </c>
      <c r="D65" s="31">
        <f>'TUMO RONG (1)'!D65+'LONG LEO(2)'!D65+'ĐĂK CHUM 1(3)'!D65+'ĐĂK CHUM II(4)'!D65+'TU CẤP(5)'!D65+'ĐĂK KA(6)'!D65+'VĂN SANG(7)'!D65+'ĐĂK NEANG(8)'!D65+'NGỌC LEANG(9)'!D65+'ĐĂK SIÊNG(10)'!D65+'KON TUN(11)'!D65+'MÔ PẢ(12)'!D65+'TY TU(13)'!D65+'KON LING(14)'!D65+'ĐĂK PƠ TRANG(15)'!D65+'KON PIA(16)'!D65+'ĐĂK HÀ(17)'!D65</f>
        <v>34.68</v>
      </c>
      <c r="E65" s="31"/>
      <c r="F65" s="31">
        <f>'TUMO RONG (1)'!E65+'LONG LEO(2)'!E65+'ĐĂK CHUM 1(3)'!E65+'ĐĂK CHUM II(4)'!E65+'TU CẤP(5)'!E65+'ĐĂK KA(6)'!E65+'VĂN SANG(7)'!E65+'ĐĂK NEANG(8)'!E65+'NGỌC LEANG(9)'!E65+'ĐĂK SIÊNG(10)'!E65+'KON TUN(11)'!E65+'MÔ PẢ(12)'!E65+'TY TU(13)'!E65+'KON LING(14)'!E65+'ĐĂK PƠ TRANG(15)'!E65+'KON PIA(16)'!E65+'ĐĂK HÀ(17)'!E65</f>
        <v>34.68</v>
      </c>
      <c r="G65" s="31">
        <f>'TUMO RONG (1)'!F65+'LONG LEO(2)'!F65+'ĐĂK CHUM 1(3)'!F65+'ĐĂK CHUM II(4)'!F65+'TU CẤP(5)'!F65+'ĐĂK KA(6)'!F65+'VĂN SANG(7)'!F65+'ĐĂK NEANG(8)'!F65+'NGỌC LEANG(9)'!F65+'ĐĂK SIÊNG(10)'!F65+'KON TUN(11)'!F65+'MÔ PẢ(12)'!F65+'TY TU(13)'!F65+'KON LING(14)'!F65+'ĐĂK PƠ TRANG(15)'!F65+'KON PIA(16)'!F65+'ĐĂK HÀ(17)'!F65</f>
        <v>34.68</v>
      </c>
      <c r="H65" s="31">
        <f>'TUMO RONG (1)'!G65+'LONG LEO(2)'!G65+'ĐĂK CHUM 1(3)'!G65+'ĐĂK CHUM II(4)'!G65+'TU CẤP(5)'!G65+'ĐĂK KA(6)'!G65+'VĂN SANG(7)'!G65+'ĐĂK NEANG(8)'!G65+'NGỌC LEANG(9)'!G65+'ĐĂK SIÊNG(10)'!G65+'KON TUN(11)'!G65+'MÔ PẢ(12)'!G65+'TY TU(13)'!G65+'KON LING(14)'!G65+'ĐĂK PƠ TRANG(15)'!G65+'KON PIA(16)'!G65+'ĐĂK HÀ(17)'!G65</f>
        <v>34.68</v>
      </c>
      <c r="I65" s="31">
        <f t="shared" si="31"/>
        <v>100</v>
      </c>
      <c r="J65" s="27"/>
      <c r="K65" s="35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25">
      <c r="A66" s="30" t="s">
        <v>47</v>
      </c>
      <c r="B66" s="27" t="s">
        <v>65</v>
      </c>
      <c r="C66" s="30" t="s">
        <v>18</v>
      </c>
      <c r="D66" s="31">
        <f>'TUMO RONG (1)'!D66+'LONG LEO(2)'!D66+'ĐĂK CHUM 1(3)'!D66+'ĐĂK CHUM II(4)'!D66+'TU CẤP(5)'!D66+'ĐĂK KA(6)'!D66+'VĂN SANG(7)'!D66+'ĐĂK NEANG(8)'!D66+'NGỌC LEANG(9)'!D66+'ĐĂK SIÊNG(10)'!D66+'KON TUN(11)'!D66+'MÔ PẢ(12)'!D66+'TY TU(13)'!D66+'KON LING(14)'!D66+'ĐĂK PƠ TRANG(15)'!D66+'KON PIA(16)'!D66+'ĐĂK HÀ(17)'!D66</f>
        <v>0</v>
      </c>
      <c r="E66" s="31"/>
      <c r="F66" s="31">
        <f>'TUMO RONG (1)'!E66+'LONG LEO(2)'!E66+'ĐĂK CHUM 1(3)'!E66+'ĐĂK CHUM II(4)'!E66+'TU CẤP(5)'!E66+'ĐĂK KA(6)'!E66+'VĂN SANG(7)'!E66+'ĐĂK NEANG(8)'!E66+'NGỌC LEANG(9)'!E66+'ĐĂK SIÊNG(10)'!E66+'KON TUN(11)'!E66+'MÔ PẢ(12)'!E66+'TY TU(13)'!E66+'KON LING(14)'!E66+'ĐĂK PƠ TRANG(15)'!E66+'KON PIA(16)'!E66+'ĐĂK HÀ(17)'!E66</f>
        <v>0</v>
      </c>
      <c r="G66" s="31">
        <f>'TUMO RONG (1)'!F66+'LONG LEO(2)'!F66+'ĐĂK CHUM 1(3)'!F66+'ĐĂK CHUM II(4)'!F66+'TU CẤP(5)'!F66+'ĐĂK KA(6)'!F66+'VĂN SANG(7)'!F66+'ĐĂK NEANG(8)'!F66+'NGỌC LEANG(9)'!F66+'ĐĂK SIÊNG(10)'!F66+'KON TUN(11)'!F66+'MÔ PẢ(12)'!F66+'TY TU(13)'!F66+'KON LING(14)'!F66+'ĐĂK PƠ TRANG(15)'!F66+'KON PIA(16)'!F66+'ĐĂK HÀ(17)'!F66</f>
        <v>0</v>
      </c>
      <c r="H66" s="31">
        <f>'TUMO RONG (1)'!G66+'LONG LEO(2)'!G66+'ĐĂK CHUM 1(3)'!G66+'ĐĂK CHUM II(4)'!G66+'TU CẤP(5)'!G66+'ĐĂK KA(6)'!G66+'VĂN SANG(7)'!G66+'ĐĂK NEANG(8)'!G66+'NGỌC LEANG(9)'!G66+'ĐĂK SIÊNG(10)'!G66+'KON TUN(11)'!G66+'MÔ PẢ(12)'!G66+'TY TU(13)'!G66+'KON LING(14)'!G66+'ĐĂK PƠ TRANG(15)'!G66+'KON PIA(16)'!G66+'ĐĂK HÀ(17)'!G66</f>
        <v>0</v>
      </c>
      <c r="I66" s="31"/>
      <c r="J66" s="27"/>
      <c r="K66" s="28"/>
      <c r="L66" s="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25">
      <c r="A67" s="15">
        <v>6</v>
      </c>
      <c r="B67" s="16" t="s">
        <v>66</v>
      </c>
      <c r="C67" s="15" t="s">
        <v>18</v>
      </c>
      <c r="D67" s="17">
        <f>D68+D71</f>
        <v>383.70000000000005</v>
      </c>
      <c r="E67" s="17"/>
      <c r="F67" s="17">
        <f t="shared" ref="F67:H67" si="32">F68+F71</f>
        <v>355.11</v>
      </c>
      <c r="G67" s="17">
        <f t="shared" si="32"/>
        <v>325.40999999999997</v>
      </c>
      <c r="H67" s="17">
        <f t="shared" si="32"/>
        <v>326.14</v>
      </c>
      <c r="I67" s="17">
        <f t="shared" ref="I67:I72" si="33">G67/F67*100</f>
        <v>91.636394356678196</v>
      </c>
      <c r="J67" s="27"/>
      <c r="K67" s="55"/>
      <c r="L67" s="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25">
      <c r="A68" s="15" t="s">
        <v>67</v>
      </c>
      <c r="B68" s="16" t="s">
        <v>68</v>
      </c>
      <c r="C68" s="15" t="s">
        <v>18</v>
      </c>
      <c r="D68" s="17">
        <f t="shared" ref="D68:H68" si="34">D69+D70</f>
        <v>3.19</v>
      </c>
      <c r="E68" s="17">
        <f t="shared" si="34"/>
        <v>30</v>
      </c>
      <c r="F68" s="31">
        <f t="shared" si="34"/>
        <v>33.19</v>
      </c>
      <c r="G68" s="17">
        <f>G69+G70</f>
        <v>9.4600000000000009</v>
      </c>
      <c r="H68" s="17">
        <f t="shared" si="34"/>
        <v>10.190000000000001</v>
      </c>
      <c r="I68" s="17">
        <f t="shared" si="33"/>
        <v>28.502561012353123</v>
      </c>
      <c r="J68" s="37"/>
      <c r="K68" s="84"/>
      <c r="L68" s="85"/>
      <c r="M68" s="58"/>
      <c r="N68" s="58"/>
      <c r="O68" s="86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pans="1:26" ht="21" customHeight="1" x14ac:dyDescent="0.25">
      <c r="A69" s="30" t="s">
        <v>47</v>
      </c>
      <c r="B69" s="60" t="s">
        <v>69</v>
      </c>
      <c r="C69" s="30" t="s">
        <v>18</v>
      </c>
      <c r="D69" s="31">
        <f>'TUMO RONG (1)'!D69+'LONG LEO(2)'!D69+'ĐĂK CHUM 1(3)'!D69+'ĐĂK CHUM II(4)'!D69+'TU CẤP(5)'!D69+'ĐĂK KA(6)'!D69+'VĂN SANG(7)'!D69+'ĐĂK NEANG(8)'!D69+'NGỌC LEANG(9)'!D69+'ĐĂK SIÊNG(10)'!D69+'KON TUN(11)'!D69+'MÔ PẢ(12)'!D69+'TY TU(13)'!D69+'KON LING(14)'!D69+'ĐĂK PƠ TRANG(15)'!D69+'KON PIA(16)'!D69+'ĐĂK HÀ(17)'!D69</f>
        <v>2.52</v>
      </c>
      <c r="E69" s="31"/>
      <c r="F69" s="31">
        <f>'TUMO RONG (1)'!E69+'LONG LEO(2)'!E69+'ĐĂK CHUM 1(3)'!E69+'ĐĂK CHUM II(4)'!E69+'TU CẤP(5)'!E69+'ĐĂK KA(6)'!E69+'VĂN SANG(7)'!E69+'ĐĂK NEANG(8)'!E69+'NGỌC LEANG(9)'!E69+'ĐĂK SIÊNG(10)'!E69+'KON TUN(11)'!E69+'MÔ PẢ(12)'!E69+'TY TU(13)'!E69+'KON LING(14)'!E69+'ĐĂK PƠ TRANG(15)'!E69+'KON PIA(16)'!E69+'ĐĂK HÀ(17)'!E69</f>
        <v>3.1900000000000004</v>
      </c>
      <c r="G69" s="31">
        <f>'TUMO RONG (1)'!F69+'LONG LEO(2)'!F69+'ĐĂK CHUM 1(3)'!F69+'ĐĂK CHUM II(4)'!F69+'TU CẤP(5)'!F69+'ĐĂK KA(6)'!F69+'VĂN SANG(7)'!F69+'ĐĂK NEANG(8)'!F69+'NGỌC LEANG(9)'!F69+'ĐĂK SIÊNG(10)'!F69+'KON TUN(11)'!F69+'MÔ PẢ(12)'!F69+'TY TU(13)'!F69+'KON LING(14)'!F69+'ĐĂK PƠ TRANG(15)'!F69+'KON PIA(16)'!F69+'ĐĂK HÀ(17)'!F69</f>
        <v>3.1900000000000004</v>
      </c>
      <c r="H69" s="31">
        <f>'TUMO RONG (1)'!G69+'LONG LEO(2)'!G69+'ĐĂK CHUM 1(3)'!G69+'ĐĂK CHUM II(4)'!G69+'TU CẤP(5)'!G69+'ĐĂK KA(6)'!G69+'VĂN SANG(7)'!G69+'ĐĂK NEANG(8)'!G69+'NGỌC LEANG(9)'!G69+'ĐĂK SIÊNG(10)'!G69+'KON TUN(11)'!G69+'MÔ PẢ(12)'!G69+'TY TU(13)'!G69+'KON LING(14)'!G69+'ĐĂK PƠ TRANG(15)'!G69+'KON PIA(16)'!G69+'ĐĂK HÀ(17)'!G69</f>
        <v>3.1900000000000004</v>
      </c>
      <c r="I69" s="31">
        <f t="shared" si="33"/>
        <v>100</v>
      </c>
      <c r="J69" s="27"/>
      <c r="K69" s="35"/>
      <c r="L69" s="32"/>
      <c r="M69" s="1"/>
      <c r="N69" s="1"/>
      <c r="O69" s="87"/>
      <c r="P69" s="39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50.25" customHeight="1" x14ac:dyDescent="0.25">
      <c r="A70" s="30" t="s">
        <v>47</v>
      </c>
      <c r="B70" s="60" t="s">
        <v>70</v>
      </c>
      <c r="C70" s="30" t="s">
        <v>18</v>
      </c>
      <c r="D70" s="31">
        <f>'TUMO RONG (1)'!D70+'LONG LEO(2)'!D70+'ĐĂK CHUM 1(3)'!D70+'ĐĂK CHUM II(4)'!D70+'TU CẤP(5)'!D70+'ĐĂK KA(6)'!D70+'VĂN SANG(7)'!D70+'ĐĂK NEANG(8)'!D70+'NGỌC LEANG(9)'!D70+'ĐĂK SIÊNG(10)'!D70+'KON TUN(11)'!D70+'MÔ PẢ(12)'!D70+'TY TU(13)'!D70+'KON LING(14)'!D70+'ĐĂK PƠ TRANG(15)'!D70+'KON PIA(16)'!D70+'ĐĂK HÀ(17)'!D70</f>
        <v>0.67</v>
      </c>
      <c r="E70" s="67">
        <v>30</v>
      </c>
      <c r="F70" s="31">
        <f>'TUMO RONG (1)'!E70+'LONG LEO(2)'!E70+'ĐĂK CHUM 1(3)'!E70+'ĐĂK CHUM II(4)'!E70+'TU CẤP(5)'!E70+'ĐĂK KA(6)'!E70+'VĂN SANG(7)'!E70+'ĐĂK NEANG(8)'!E70+'NGỌC LEANG(9)'!E70+'ĐĂK SIÊNG(10)'!E70+'KON TUN(11)'!E70+'MÔ PẢ(12)'!E70+'TY TU(13)'!E70+'KON LING(14)'!E70+'ĐĂK PƠ TRANG(15)'!E70+'KON PIA(16)'!E70+'ĐĂK HÀ(17)'!E70</f>
        <v>30</v>
      </c>
      <c r="G70" s="88">
        <v>6.27</v>
      </c>
      <c r="H70" s="31">
        <v>7</v>
      </c>
      <c r="I70" s="31">
        <f t="shared" si="33"/>
        <v>20.9</v>
      </c>
      <c r="J70" s="41" t="s">
        <v>71</v>
      </c>
      <c r="K70" s="35"/>
      <c r="L70" s="21"/>
      <c r="M70" s="21"/>
      <c r="N70" s="32"/>
      <c r="O70" s="87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25">
      <c r="A71" s="15" t="s">
        <v>72</v>
      </c>
      <c r="B71" s="24" t="s">
        <v>73</v>
      </c>
      <c r="C71" s="15" t="s">
        <v>18</v>
      </c>
      <c r="D71" s="17">
        <f>D72+D73</f>
        <v>380.51000000000005</v>
      </c>
      <c r="E71" s="17"/>
      <c r="F71" s="17">
        <f t="shared" ref="F71:H71" si="35">F72+F73</f>
        <v>321.92</v>
      </c>
      <c r="G71" s="17">
        <f t="shared" si="35"/>
        <v>315.95</v>
      </c>
      <c r="H71" s="17">
        <f t="shared" si="35"/>
        <v>315.95</v>
      </c>
      <c r="I71" s="17">
        <f t="shared" si="33"/>
        <v>98.145501988071558</v>
      </c>
      <c r="J71" s="89"/>
      <c r="K71" s="35"/>
      <c r="L71" s="32"/>
      <c r="M71" s="47"/>
      <c r="N71" s="2"/>
      <c r="O71" s="90"/>
      <c r="P71" s="32"/>
      <c r="Q71" s="2"/>
      <c r="R71" s="32"/>
      <c r="S71" s="2"/>
      <c r="T71" s="1"/>
      <c r="U71" s="1"/>
      <c r="V71" s="1"/>
      <c r="W71" s="1"/>
      <c r="X71" s="1"/>
      <c r="Y71" s="1"/>
      <c r="Z71" s="1"/>
    </row>
    <row r="72" spans="1:26" ht="21" customHeight="1" x14ac:dyDescent="0.25">
      <c r="A72" s="56" t="s">
        <v>32</v>
      </c>
      <c r="B72" s="24" t="s">
        <v>74</v>
      </c>
      <c r="C72" s="15" t="s">
        <v>18</v>
      </c>
      <c r="D72" s="91">
        <f t="shared" ref="D72:D73" si="36">D75+D82</f>
        <v>361.55000000000007</v>
      </c>
      <c r="E72" s="91"/>
      <c r="F72" s="91">
        <f t="shared" ref="F72:H72" si="37">F75+F82</f>
        <v>315.95</v>
      </c>
      <c r="G72" s="91">
        <f t="shared" si="37"/>
        <v>315.95</v>
      </c>
      <c r="H72" s="91">
        <f t="shared" si="37"/>
        <v>315.95</v>
      </c>
      <c r="I72" s="17">
        <f t="shared" si="33"/>
        <v>100</v>
      </c>
      <c r="J72" s="92" t="s">
        <v>75</v>
      </c>
      <c r="K72" s="35"/>
      <c r="L72" s="2"/>
      <c r="M72" s="1"/>
      <c r="N72" s="1"/>
      <c r="O72" s="87"/>
      <c r="P72" s="39"/>
      <c r="Q72" s="1"/>
      <c r="R72" s="39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25">
      <c r="A73" s="56" t="s">
        <v>32</v>
      </c>
      <c r="B73" s="24" t="s">
        <v>76</v>
      </c>
      <c r="C73" s="15" t="s">
        <v>18</v>
      </c>
      <c r="D73" s="17">
        <f t="shared" si="36"/>
        <v>18.96</v>
      </c>
      <c r="E73" s="17"/>
      <c r="F73" s="17">
        <f>F76+F83</f>
        <v>5.97</v>
      </c>
      <c r="G73" s="17">
        <f t="shared" ref="G73:H73" si="38">G76+G83</f>
        <v>0</v>
      </c>
      <c r="H73" s="17">
        <f t="shared" si="38"/>
        <v>0</v>
      </c>
      <c r="I73" s="17"/>
      <c r="J73" s="16"/>
      <c r="K73" s="93"/>
      <c r="L73" s="72"/>
      <c r="M73" s="58"/>
      <c r="N73" s="85"/>
      <c r="O73" s="94"/>
      <c r="P73" s="72"/>
      <c r="Q73" s="85"/>
      <c r="R73" s="85"/>
      <c r="S73" s="85"/>
      <c r="T73" s="85"/>
      <c r="U73" s="58"/>
      <c r="V73" s="58"/>
      <c r="W73" s="58"/>
      <c r="X73" s="58"/>
      <c r="Y73" s="58"/>
      <c r="Z73" s="58"/>
    </row>
    <row r="74" spans="1:26" ht="21" customHeight="1" x14ac:dyDescent="0.25">
      <c r="A74" s="95" t="s">
        <v>28</v>
      </c>
      <c r="B74" s="45" t="s">
        <v>77</v>
      </c>
      <c r="C74" s="40" t="s">
        <v>18</v>
      </c>
      <c r="D74" s="96">
        <f>D75+D76</f>
        <v>284.23</v>
      </c>
      <c r="E74" s="96"/>
      <c r="F74" s="96">
        <f t="shared" ref="F74:H74" si="39">F75+F76</f>
        <v>268.08999999999997</v>
      </c>
      <c r="G74" s="96">
        <f t="shared" si="39"/>
        <v>266.08999999999997</v>
      </c>
      <c r="H74" s="96">
        <f t="shared" si="39"/>
        <v>266.08999999999997</v>
      </c>
      <c r="I74" s="96"/>
      <c r="J74" s="89"/>
      <c r="K74" s="97"/>
      <c r="L74" s="2"/>
      <c r="M74" s="1"/>
      <c r="N74" s="2"/>
      <c r="O74" s="2"/>
      <c r="P74" s="32"/>
      <c r="Q74" s="2"/>
      <c r="R74" s="2"/>
      <c r="S74" s="2"/>
      <c r="T74" s="2"/>
      <c r="U74" s="1"/>
      <c r="V74" s="1"/>
      <c r="W74" s="1"/>
      <c r="X74" s="1"/>
      <c r="Y74" s="1"/>
      <c r="Z74" s="1"/>
    </row>
    <row r="75" spans="1:26" ht="21" customHeight="1" x14ac:dyDescent="0.25">
      <c r="A75" s="59" t="s">
        <v>32</v>
      </c>
      <c r="B75" s="98" t="s">
        <v>45</v>
      </c>
      <c r="C75" s="30" t="s">
        <v>18</v>
      </c>
      <c r="D75" s="31">
        <f>'TUMO RONG (1)'!D75+'LONG LEO(2)'!D75+'ĐĂK CHUM 1(3)'!D75+'ĐĂK CHUM II(4)'!D75+'TU CẤP(5)'!D75+'ĐĂK KA(6)'!D75+'VĂN SANG(7)'!D75+'ĐĂK NEANG(8)'!D75+'NGỌC LEANG(9)'!D75+'ĐĂK SIÊNG(10)'!D75+'KON TUN(11)'!D75+'MÔ PẢ(12)'!D75+'TY TU(13)'!D75+'KON LING(14)'!D75+'ĐĂK PƠ TRANG(15)'!D75+'KON PIA(16)'!D75+'ĐĂK HÀ(17)'!D75</f>
        <v>274.27000000000004</v>
      </c>
      <c r="E75" s="31"/>
      <c r="F75" s="31">
        <f>'TUMO RONG (1)'!E75+'LONG LEO(2)'!E75+'ĐĂK CHUM 1(3)'!E75+'ĐĂK CHUM II(4)'!E75+'TU CẤP(5)'!E75+'ĐĂK KA(6)'!E75+'VĂN SANG(7)'!E75+'ĐĂK NEANG(8)'!E75+'NGỌC LEANG(9)'!E75+'ĐĂK SIÊNG(10)'!E75+'KON TUN(11)'!E75+'MÔ PẢ(12)'!E75+'TY TU(13)'!E75+'KON LING(14)'!E75+'ĐĂK PƠ TRANG(15)'!E75+'KON PIA(16)'!E75+'ĐĂK HÀ(17)'!E75</f>
        <v>266.08999999999997</v>
      </c>
      <c r="G75" s="31">
        <f>'TUMO RONG (1)'!F75+'LONG LEO(2)'!F75+'ĐĂK CHUM 1(3)'!F75+'ĐĂK CHUM II(4)'!F75+'TU CẤP(5)'!F75+'ĐĂK KA(6)'!F75+'VĂN SANG(7)'!F75+'ĐĂK NEANG(8)'!F75+'NGỌC LEANG(9)'!F75+'ĐĂK SIÊNG(10)'!F75+'KON TUN(11)'!F75+'MÔ PẢ(12)'!F75+'TY TU(13)'!F75+'KON LING(14)'!F75+'ĐĂK PƠ TRANG(15)'!F75+'KON PIA(16)'!F75+'ĐĂK HÀ(17)'!F75</f>
        <v>266.08999999999997</v>
      </c>
      <c r="H75" s="31">
        <f>'TUMO RONG (1)'!G75+'LONG LEO(2)'!G75+'ĐĂK CHUM 1(3)'!G75+'ĐĂK CHUM II(4)'!G75+'TU CẤP(5)'!G75+'ĐĂK KA(6)'!G75+'VĂN SANG(7)'!G75+'ĐĂK NEANG(8)'!G75+'NGỌC LEANG(9)'!G75+'ĐĂK SIÊNG(10)'!G75+'KON TUN(11)'!G75+'MÔ PẢ(12)'!G75+'TY TU(13)'!G75+'KON LING(14)'!G75+'ĐĂK PƠ TRANG(15)'!G75+'KON PIA(16)'!G75+'ĐĂK HÀ(17)'!G75</f>
        <v>266.08999999999997</v>
      </c>
      <c r="I75" s="31"/>
      <c r="J75" s="99" t="s">
        <v>75</v>
      </c>
      <c r="K75" s="97"/>
      <c r="L75" s="32"/>
      <c r="M75" s="39"/>
      <c r="N75" s="2"/>
      <c r="O75" s="2"/>
      <c r="P75" s="32"/>
      <c r="Q75" s="2"/>
      <c r="R75" s="2"/>
      <c r="S75" s="2"/>
      <c r="T75" s="2"/>
      <c r="U75" s="1"/>
      <c r="V75" s="1"/>
      <c r="W75" s="1"/>
      <c r="X75" s="1"/>
      <c r="Y75" s="1"/>
      <c r="Z75" s="1"/>
    </row>
    <row r="76" spans="1:26" ht="21" customHeight="1" x14ac:dyDescent="0.25">
      <c r="A76" s="59" t="s">
        <v>78</v>
      </c>
      <c r="B76" s="60" t="s">
        <v>79</v>
      </c>
      <c r="C76" s="30" t="s">
        <v>18</v>
      </c>
      <c r="D76" s="62">
        <f>SUM(D77:D80)</f>
        <v>9.9600000000000009</v>
      </c>
      <c r="E76" s="62"/>
      <c r="F76" s="62">
        <f t="shared" ref="F76:H76" si="40">SUM(F77:F80)</f>
        <v>2</v>
      </c>
      <c r="G76" s="62">
        <f t="shared" si="40"/>
        <v>0</v>
      </c>
      <c r="H76" s="62">
        <f t="shared" si="40"/>
        <v>0</v>
      </c>
      <c r="I76" s="62"/>
      <c r="J76" s="100"/>
      <c r="K76" s="28"/>
      <c r="L76" s="2"/>
      <c r="M76" s="39"/>
      <c r="N76" s="2"/>
      <c r="O76" s="2"/>
      <c r="P76" s="32"/>
      <c r="Q76" s="2"/>
      <c r="R76" s="2"/>
      <c r="S76" s="2"/>
      <c r="T76" s="2"/>
      <c r="U76" s="1"/>
      <c r="V76" s="1"/>
      <c r="W76" s="1"/>
      <c r="X76" s="1"/>
      <c r="Y76" s="1"/>
      <c r="Z76" s="1"/>
    </row>
    <row r="77" spans="1:26" ht="21" customHeight="1" x14ac:dyDescent="0.25">
      <c r="A77" s="48" t="s">
        <v>47</v>
      </c>
      <c r="B77" s="101" t="s">
        <v>80</v>
      </c>
      <c r="C77" s="48" t="s">
        <v>18</v>
      </c>
      <c r="D77" s="76">
        <f>'TUMO RONG (1)'!D77+'LONG LEO(2)'!D77+'ĐĂK CHUM 1(3)'!D77+'ĐĂK CHUM II(4)'!D77+'TU CẤP(5)'!D77+'ĐĂK KA(6)'!D77+'VĂN SANG(7)'!D77+'ĐĂK NEANG(8)'!D77+'NGỌC LEANG(9)'!D77+'ĐĂK SIÊNG(10)'!D77+'KON TUN(11)'!D77+'MÔ PẢ(12)'!D77+'TY TU(13)'!D77+'KON LING(14)'!D77+'ĐĂK PƠ TRANG(15)'!D77+'KON PIA(16)'!D77+'ĐĂK HÀ(17)'!D77</f>
        <v>2.8</v>
      </c>
      <c r="E77" s="76"/>
      <c r="F77" s="76">
        <f>'TUMO RONG (1)'!E77+'LONG LEO(2)'!E77+'ĐĂK CHUM 1(3)'!E77+'ĐĂK CHUM II(4)'!E77+'TU CẤP(5)'!E77+'ĐĂK KA(6)'!E77+'VĂN SANG(7)'!E77+'ĐĂK NEANG(8)'!E77+'NGỌC LEANG(9)'!E77+'ĐĂK SIÊNG(10)'!E77+'KON TUN(11)'!E77+'MÔ PẢ(12)'!E77+'TY TU(13)'!E77+'KON LING(14)'!E77+'ĐĂK PƠ TRANG(15)'!E77+'KON PIA(16)'!E77+'ĐĂK HÀ(17)'!E77</f>
        <v>2</v>
      </c>
      <c r="G77" s="76">
        <f>'TUMO RONG (1)'!F77+'LONG LEO(2)'!F77+'ĐĂK CHUM 1(3)'!F77+'ĐĂK CHUM II(4)'!F77+'TU CẤP(5)'!F77+'ĐĂK KA(6)'!F77+'VĂN SANG(7)'!F77+'ĐĂK NEANG(8)'!F77+'NGỌC LEANG(9)'!F77+'ĐĂK SIÊNG(10)'!F77+'KON TUN(11)'!F77+'MÔ PẢ(12)'!F77+'TY TU(13)'!F77+'KON LING(14)'!F77+'ĐĂK PƠ TRANG(15)'!F77+'KON PIA(16)'!F77+'ĐĂK HÀ(17)'!F77</f>
        <v>0</v>
      </c>
      <c r="H77" s="76">
        <f>'TUMO RONG (1)'!G77+'LONG LEO(2)'!G77+'ĐĂK CHUM 1(3)'!G77+'ĐĂK CHUM II(4)'!G77+'TU CẤP(5)'!G77+'ĐĂK KA(6)'!G77+'VĂN SANG(7)'!G77+'ĐĂK NEANG(8)'!G77+'NGỌC LEANG(9)'!G77+'ĐĂK SIÊNG(10)'!G77+'KON TUN(11)'!G77+'MÔ PẢ(12)'!G77+'TY TU(13)'!G77+'KON LING(14)'!G77+'ĐĂK PƠ TRANG(15)'!G77+'KON PIA(16)'!G77+'ĐĂK HÀ(17)'!G77</f>
        <v>0</v>
      </c>
      <c r="I77" s="76"/>
      <c r="J77" s="102"/>
      <c r="K77" s="78"/>
      <c r="L77" s="79"/>
      <c r="M77" s="80"/>
      <c r="N77" s="103"/>
      <c r="O77" s="103"/>
      <c r="P77" s="103"/>
      <c r="Q77" s="103"/>
      <c r="R77" s="103"/>
      <c r="S77" s="103"/>
      <c r="T77" s="103"/>
      <c r="U77" s="103"/>
      <c r="V77" s="80"/>
      <c r="W77" s="80"/>
      <c r="X77" s="80"/>
      <c r="Y77" s="80"/>
      <c r="Z77" s="80"/>
    </row>
    <row r="78" spans="1:26" ht="21" customHeight="1" x14ac:dyDescent="0.25">
      <c r="A78" s="48" t="s">
        <v>47</v>
      </c>
      <c r="B78" s="101" t="s">
        <v>81</v>
      </c>
      <c r="C78" s="48" t="s">
        <v>18</v>
      </c>
      <c r="D78" s="76">
        <f>'TUMO RONG (1)'!D78+'LONG LEO(2)'!D78+'ĐĂK CHUM 1(3)'!D78+'ĐĂK CHUM II(4)'!D78+'TU CẤP(5)'!D78+'ĐĂK KA(6)'!D78+'VĂN SANG(7)'!D78+'ĐĂK NEANG(8)'!D78+'NGỌC LEANG(9)'!D78+'ĐĂK SIÊNG(10)'!D78+'KON TUN(11)'!D78+'MÔ PẢ(12)'!D78+'TY TU(13)'!D78+'KON LING(14)'!D78+'ĐĂK PƠ TRANG(15)'!D78+'KON PIA(16)'!D78+'ĐĂK HÀ(17)'!D78</f>
        <v>2.88</v>
      </c>
      <c r="E78" s="76"/>
      <c r="F78" s="104">
        <f>'TUMO RONG (1)'!E78+'LONG LEO(2)'!E78+'ĐĂK CHUM 1(3)'!E78+'ĐĂK CHUM II(4)'!E78+'TU CẤP(5)'!E78+'ĐĂK KA(6)'!E78+'VĂN SANG(7)'!E78+'ĐĂK NEANG(8)'!E78+'NGỌC LEANG(9)'!E78+'ĐĂK SIÊNG(10)'!E78+'KON TUN(11)'!E78+'MÔ PẢ(12)'!E78+'TY TU(13)'!E78+'KON LING(14)'!E78+'ĐĂK PƠ TRANG(15)'!E78+'KON PIA(16)'!E78+'ĐĂK HÀ(17)'!E78</f>
        <v>0</v>
      </c>
      <c r="G78" s="104">
        <f>'TUMO RONG (1)'!F78+'LONG LEO(2)'!F78+'ĐĂK CHUM 1(3)'!F78+'ĐĂK CHUM II(4)'!F78+'TU CẤP(5)'!F78+'ĐĂK KA(6)'!F78+'VĂN SANG(7)'!F78+'ĐĂK NEANG(8)'!F78+'NGỌC LEANG(9)'!F78+'ĐĂK SIÊNG(10)'!F78+'KON TUN(11)'!F78+'MÔ PẢ(12)'!F78+'TY TU(13)'!F78+'KON LING(14)'!F78+'ĐĂK PƠ TRANG(15)'!F78+'KON PIA(16)'!F78+'ĐĂK HÀ(17)'!F78</f>
        <v>0</v>
      </c>
      <c r="H78" s="104">
        <f>'TUMO RONG (1)'!G78+'LONG LEO(2)'!G78+'ĐĂK CHUM 1(3)'!G78+'ĐĂK CHUM II(4)'!G78+'TU CẤP(5)'!G78+'ĐĂK KA(6)'!G78+'VĂN SANG(7)'!G78+'ĐĂK NEANG(8)'!G78+'NGỌC LEANG(9)'!G78+'ĐĂK SIÊNG(10)'!G78+'KON TUN(11)'!G78+'MÔ PẢ(12)'!G78+'TY TU(13)'!G78+'KON LING(14)'!G78+'ĐĂK PƠ TRANG(15)'!G78+'KON PIA(16)'!G78+'ĐĂK HÀ(17)'!G78</f>
        <v>0</v>
      </c>
      <c r="I78" s="76"/>
      <c r="J78" s="105"/>
      <c r="K78" s="106"/>
      <c r="L78" s="79"/>
      <c r="M78" s="80"/>
      <c r="N78" s="103"/>
      <c r="O78" s="103"/>
      <c r="P78" s="103"/>
      <c r="Q78" s="103"/>
      <c r="R78" s="103"/>
      <c r="S78" s="103"/>
      <c r="T78" s="103"/>
      <c r="U78" s="103"/>
      <c r="V78" s="80"/>
      <c r="W78" s="80"/>
      <c r="X78" s="80"/>
      <c r="Y78" s="80"/>
      <c r="Z78" s="80"/>
    </row>
    <row r="79" spans="1:26" ht="21" customHeight="1" x14ac:dyDescent="0.25">
      <c r="A79" s="48" t="s">
        <v>47</v>
      </c>
      <c r="B79" s="101" t="s">
        <v>82</v>
      </c>
      <c r="C79" s="48" t="s">
        <v>18</v>
      </c>
      <c r="D79" s="76">
        <f>'TUMO RONG (1)'!D79+'LONG LEO(2)'!D79+'ĐĂK CHUM 1(3)'!D79+'ĐĂK CHUM II(4)'!D79+'TU CẤP(5)'!D79+'ĐĂK KA(6)'!D79+'VĂN SANG(7)'!D79+'ĐĂK NEANG(8)'!D79+'NGỌC LEANG(9)'!D79+'ĐĂK SIÊNG(10)'!D79+'KON TUN(11)'!D79+'MÔ PẢ(12)'!D79+'TY TU(13)'!D79+'KON LING(14)'!D79+'ĐĂK PƠ TRANG(15)'!D79+'KON PIA(16)'!D79+'ĐĂK HÀ(17)'!D79</f>
        <v>0.44</v>
      </c>
      <c r="E79" s="76"/>
      <c r="F79" s="104">
        <f>'TUMO RONG (1)'!E79+'LONG LEO(2)'!E79+'ĐĂK CHUM 1(3)'!E79+'ĐĂK CHUM II(4)'!E79+'TU CẤP(5)'!E79+'ĐĂK KA(6)'!E79+'VĂN SANG(7)'!E79+'ĐĂK NEANG(8)'!E79+'NGỌC LEANG(9)'!E79+'ĐĂK SIÊNG(10)'!E79+'KON TUN(11)'!E79+'MÔ PẢ(12)'!E79+'TY TU(13)'!E79+'KON LING(14)'!E79+'ĐĂK PƠ TRANG(15)'!E79+'KON PIA(16)'!E79+'ĐĂK HÀ(17)'!E79</f>
        <v>0</v>
      </c>
      <c r="G79" s="104">
        <f>'TUMO RONG (1)'!F79+'LONG LEO(2)'!F79+'ĐĂK CHUM 1(3)'!F79+'ĐĂK CHUM II(4)'!F79+'TU CẤP(5)'!F79+'ĐĂK KA(6)'!F79+'VĂN SANG(7)'!F79+'ĐĂK NEANG(8)'!F79+'NGỌC LEANG(9)'!F79+'ĐĂK SIÊNG(10)'!F79+'KON TUN(11)'!F79+'MÔ PẢ(12)'!F79+'TY TU(13)'!F79+'KON LING(14)'!F79+'ĐĂK PƠ TRANG(15)'!F79+'KON PIA(16)'!F79+'ĐĂK HÀ(17)'!F79</f>
        <v>0</v>
      </c>
      <c r="H79" s="104">
        <f>'TUMO RONG (1)'!G79+'LONG LEO(2)'!G79+'ĐĂK CHUM 1(3)'!G79+'ĐĂK CHUM II(4)'!G79+'TU CẤP(5)'!G79+'ĐĂK KA(6)'!G79+'VĂN SANG(7)'!G79+'ĐĂK NEANG(8)'!G79+'NGỌC LEANG(9)'!G79+'ĐĂK SIÊNG(10)'!G79+'KON TUN(11)'!G79+'MÔ PẢ(12)'!G79+'TY TU(13)'!G79+'KON LING(14)'!G79+'ĐĂK PƠ TRANG(15)'!G79+'KON PIA(16)'!G79+'ĐĂK HÀ(17)'!G79</f>
        <v>0</v>
      </c>
      <c r="I79" s="76"/>
      <c r="J79" s="105"/>
      <c r="K79" s="106"/>
      <c r="L79" s="79"/>
      <c r="M79" s="80"/>
      <c r="N79" s="103"/>
      <c r="O79" s="103"/>
      <c r="P79" s="103"/>
      <c r="Q79" s="103"/>
      <c r="R79" s="103"/>
      <c r="S79" s="103"/>
      <c r="T79" s="103"/>
      <c r="U79" s="103"/>
      <c r="V79" s="80"/>
      <c r="W79" s="80"/>
      <c r="X79" s="80"/>
      <c r="Y79" s="80"/>
      <c r="Z79" s="80"/>
    </row>
    <row r="80" spans="1:26" ht="21" customHeight="1" x14ac:dyDescent="0.25">
      <c r="A80" s="48" t="s">
        <v>47</v>
      </c>
      <c r="B80" s="101" t="s">
        <v>83</v>
      </c>
      <c r="C80" s="48" t="s">
        <v>18</v>
      </c>
      <c r="D80" s="31">
        <f>'TUMO RONG (1)'!D80+'LONG LEO(2)'!D80+'ĐĂK CHUM 1(3)'!D80+'ĐĂK CHUM II(4)'!D80+'TU CẤP(5)'!D80+'ĐĂK KA(6)'!D80+'VĂN SANG(7)'!D80+'ĐĂK NEANG(8)'!D80+'NGỌC LEANG(9)'!D80+'ĐĂK SIÊNG(10)'!D80+'KON TUN(11)'!D80+'MÔ PẢ(12)'!D80+'TY TU(13)'!D80+'KON LING(14)'!D80+'ĐĂK PƠ TRANG(15)'!D80+'KON PIA(16)'!D80+'ĐĂK HÀ(17)'!D80</f>
        <v>3.84</v>
      </c>
      <c r="E80" s="31"/>
      <c r="F80" s="17">
        <f>'TUMO RONG (1)'!E80+'LONG LEO(2)'!E80+'ĐĂK CHUM 1(3)'!E80+'ĐĂK CHUM II(4)'!E80+'TU CẤP(5)'!E80+'ĐĂK KA(6)'!E80+'VĂN SANG(7)'!E80+'ĐĂK NEANG(8)'!E80+'NGỌC LEANG(9)'!E80+'ĐĂK SIÊNG(10)'!E80+'KON TUN(11)'!E80+'MÔ PẢ(12)'!E80+'TY TU(13)'!E80+'KON LING(14)'!E80+'ĐĂK PƠ TRANG(15)'!E80+'KON PIA(16)'!E80+'ĐĂK HÀ(17)'!E80</f>
        <v>0</v>
      </c>
      <c r="G80" s="17">
        <f>'TUMO RONG (1)'!F80+'LONG LEO(2)'!F80+'ĐĂK CHUM 1(3)'!F80+'ĐĂK CHUM II(4)'!F80+'TU CẤP(5)'!F80+'ĐĂK KA(6)'!F80+'VĂN SANG(7)'!F80+'ĐĂK NEANG(8)'!F80+'NGỌC LEANG(9)'!F80+'ĐĂK SIÊNG(10)'!F80+'KON TUN(11)'!F80+'MÔ PẢ(12)'!F80+'TY TU(13)'!F80+'KON LING(14)'!F80+'ĐĂK PƠ TRANG(15)'!F80+'KON PIA(16)'!F80+'ĐĂK HÀ(17)'!F80</f>
        <v>0</v>
      </c>
      <c r="H80" s="17">
        <f>'TUMO RONG (1)'!G80+'LONG LEO(2)'!G80+'ĐĂK CHUM 1(3)'!G80+'ĐĂK CHUM II(4)'!G80+'TU CẤP(5)'!G80+'ĐĂK KA(6)'!G80+'VĂN SANG(7)'!G80+'ĐĂK NEANG(8)'!G80+'NGỌC LEANG(9)'!G80+'ĐĂK SIÊNG(10)'!G80+'KON TUN(11)'!G80+'MÔ PẢ(12)'!G80+'TY TU(13)'!G80+'KON LING(14)'!G80+'ĐĂK PƠ TRANG(15)'!G80+'KON PIA(16)'!G80+'ĐĂK HÀ(17)'!G80</f>
        <v>0</v>
      </c>
      <c r="I80" s="31"/>
      <c r="J80" s="105"/>
      <c r="K80" s="106"/>
      <c r="L80" s="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">
      <c r="A81" s="95" t="s">
        <v>30</v>
      </c>
      <c r="B81" s="45" t="s">
        <v>84</v>
      </c>
      <c r="C81" s="40" t="s">
        <v>18</v>
      </c>
      <c r="D81" s="96">
        <f>D82+D83</f>
        <v>96.28</v>
      </c>
      <c r="E81" s="96"/>
      <c r="F81" s="96">
        <f t="shared" ref="F81:H81" si="41">F82+F83</f>
        <v>53.83</v>
      </c>
      <c r="G81" s="96">
        <f t="shared" si="41"/>
        <v>49.86</v>
      </c>
      <c r="H81" s="96">
        <f t="shared" si="41"/>
        <v>49.86</v>
      </c>
      <c r="I81" s="96"/>
      <c r="J81" s="107"/>
      <c r="K81" s="108"/>
      <c r="L81" s="109"/>
      <c r="M81" s="110"/>
      <c r="N81" s="110"/>
      <c r="O81" s="111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21" customHeight="1" x14ac:dyDescent="0.25">
      <c r="A82" s="59" t="s">
        <v>47</v>
      </c>
      <c r="B82" s="98" t="s">
        <v>85</v>
      </c>
      <c r="C82" s="30" t="s">
        <v>18</v>
      </c>
      <c r="D82" s="31">
        <f>'TUMO RONG (1)'!D82+'LONG LEO(2)'!D82+'ĐĂK CHUM 1(3)'!D82+'ĐĂK CHUM II(4)'!D82+'TU CẤP(5)'!D82+'ĐĂK KA(6)'!D82+'VĂN SANG(7)'!D82+'ĐĂK NEANG(8)'!D82+'NGỌC LEANG(9)'!D82+'ĐĂK SIÊNG(10)'!D82+'KON TUN(11)'!D82+'MÔ PẢ(12)'!D82+'TY TU(13)'!D82+'KON LING(14)'!D82+'ĐĂK PƠ TRANG(15)'!D82+'KON PIA(16)'!D82+'ĐĂK HÀ(17)'!D82</f>
        <v>87.28</v>
      </c>
      <c r="E82" s="31"/>
      <c r="F82" s="31">
        <f>'TUMO RONG (1)'!E82+'LONG LEO(2)'!E82+'ĐĂK CHUM 1(3)'!E82+'ĐĂK CHUM II(4)'!E82+'TU CẤP(5)'!E82+'ĐĂK KA(6)'!E82+'VĂN SANG(7)'!E82+'ĐĂK NEANG(8)'!E82+'NGỌC LEANG(9)'!E82+'ĐĂK SIÊNG(10)'!E82+'KON TUN(11)'!E82+'MÔ PẢ(12)'!E82+'TY TU(13)'!E82+'KON LING(14)'!E82+'ĐĂK PƠ TRANG(15)'!E82+'KON PIA(16)'!E82+'ĐĂK HÀ(17)'!E82</f>
        <v>49.86</v>
      </c>
      <c r="G82" s="31">
        <f>'TUMO RONG (1)'!F82+'LONG LEO(2)'!F82+'ĐĂK CHUM 1(3)'!F82+'ĐĂK CHUM II(4)'!F82+'TU CẤP(5)'!F82+'ĐĂK KA(6)'!F82+'VĂN SANG(7)'!F82+'ĐĂK NEANG(8)'!F82+'NGỌC LEANG(9)'!F82+'ĐĂK SIÊNG(10)'!F82+'KON TUN(11)'!F82+'MÔ PẢ(12)'!F82+'TY TU(13)'!F82+'KON LING(14)'!F82+'ĐĂK PƠ TRANG(15)'!F82+'KON PIA(16)'!F82+'ĐĂK HÀ(17)'!F82</f>
        <v>49.86</v>
      </c>
      <c r="H82" s="31">
        <f>'TUMO RONG (1)'!G82+'LONG LEO(2)'!G82+'ĐĂK CHUM 1(3)'!G82+'ĐĂK CHUM II(4)'!G82+'TU CẤP(5)'!G82+'ĐĂK KA(6)'!G82+'VĂN SANG(7)'!G82+'ĐĂK NEANG(8)'!G82+'NGỌC LEANG(9)'!G82+'ĐĂK SIÊNG(10)'!G82+'KON TUN(11)'!G82+'MÔ PẢ(12)'!G82+'TY TU(13)'!G82+'KON LING(14)'!G82+'ĐĂK PƠ TRANG(15)'!G82+'KON PIA(16)'!G82+'ĐĂK HÀ(17)'!G82</f>
        <v>49.86</v>
      </c>
      <c r="I82" s="31"/>
      <c r="J82" s="99" t="s">
        <v>75</v>
      </c>
      <c r="K82" s="112"/>
      <c r="L82" s="113"/>
      <c r="M82" s="114"/>
      <c r="N82" s="80"/>
      <c r="O82" s="80"/>
      <c r="P82" s="114"/>
      <c r="Q82" s="114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21" customHeight="1" x14ac:dyDescent="0.25">
      <c r="A83" s="59" t="s">
        <v>78</v>
      </c>
      <c r="B83" s="60" t="s">
        <v>79</v>
      </c>
      <c r="C83" s="30" t="s">
        <v>18</v>
      </c>
      <c r="D83" s="62">
        <f>SUM(D84:D87)</f>
        <v>9</v>
      </c>
      <c r="E83" s="62"/>
      <c r="F83" s="62">
        <f t="shared" ref="F83:H83" si="42">SUM(F84:F87)</f>
        <v>3.9699999999999998</v>
      </c>
      <c r="G83" s="62">
        <f t="shared" si="42"/>
        <v>0</v>
      </c>
      <c r="H83" s="62">
        <f t="shared" si="42"/>
        <v>0</v>
      </c>
      <c r="I83" s="62"/>
      <c r="J83" s="115"/>
      <c r="K83" s="116"/>
      <c r="L83" s="2"/>
      <c r="M83" s="1"/>
      <c r="N83" s="38"/>
      <c r="O83" s="38"/>
      <c r="P83" s="38"/>
      <c r="Q83" s="38"/>
      <c r="R83" s="38"/>
      <c r="S83" s="38"/>
      <c r="T83" s="1"/>
      <c r="U83" s="1"/>
      <c r="V83" s="1"/>
      <c r="W83" s="1"/>
      <c r="X83" s="1"/>
      <c r="Y83" s="1"/>
      <c r="Z83" s="1"/>
    </row>
    <row r="84" spans="1:26" ht="21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17">
        <f>'TUMO RONG (1)'!E84+'LONG LEO(2)'!E84+'ĐĂK CHUM 1(3)'!E84+'ĐĂK CHUM II(4)'!E84+'TU CẤP(5)'!E84+'ĐĂK KA(6)'!E84+'VĂN SANG(7)'!E84+'ĐĂK NEANG(8)'!E84+'NGỌC LEANG(9)'!E84+'ĐĂK SIÊNG(10)'!E84+'KON TUN(11)'!E84+'MÔ PẢ(12)'!E84+'TY TU(13)'!E84+'KON LING(14)'!E84+'ĐĂK PƠ TRANG(15)'!E84+'KON PIA(16)'!E84+'ĐĂK HÀ(17)'!E84</f>
        <v>0</v>
      </c>
      <c r="G84" s="17">
        <f>'TUMO RONG (1)'!F84+'LONG LEO(2)'!F84+'ĐĂK CHUM 1(3)'!F84+'ĐĂK CHUM II(4)'!F84+'TU CẤP(5)'!F84+'ĐĂK KA(6)'!F84+'VĂN SANG(7)'!F84+'ĐĂK NEANG(8)'!F84+'NGỌC LEANG(9)'!F84+'ĐĂK SIÊNG(10)'!F84+'KON TUN(11)'!F84+'MÔ PẢ(12)'!F84+'TY TU(13)'!F84+'KON LING(14)'!F84+'ĐĂK PƠ TRANG(15)'!F84+'KON PIA(16)'!F84+'ĐĂK HÀ(17)'!F84</f>
        <v>0</v>
      </c>
      <c r="H84" s="17">
        <f>'TUMO RONG (1)'!G84+'LONG LEO(2)'!G84+'ĐĂK CHUM 1(3)'!G84+'ĐĂK CHUM II(4)'!G84+'TU CẤP(5)'!G84+'ĐĂK KA(6)'!G84+'VĂN SANG(7)'!G84+'ĐĂK NEANG(8)'!G84+'NGỌC LEANG(9)'!G84+'ĐĂK SIÊNG(10)'!G84+'KON TUN(11)'!G84+'MÔ PẢ(12)'!G84+'TY TU(13)'!G84+'KON LING(14)'!G84+'ĐĂK PƠ TRANG(15)'!G84+'KON PIA(16)'!G84+'ĐĂK HÀ(17)'!G84</f>
        <v>0</v>
      </c>
      <c r="I84" s="31"/>
      <c r="J84" s="75"/>
      <c r="K84" s="106"/>
      <c r="L84" s="2"/>
      <c r="M84" s="1"/>
      <c r="N84" s="38"/>
      <c r="O84" s="38"/>
      <c r="P84" s="38"/>
      <c r="Q84" s="38"/>
      <c r="R84" s="38"/>
      <c r="S84" s="38"/>
      <c r="T84" s="1"/>
      <c r="U84" s="1"/>
      <c r="V84" s="1"/>
      <c r="W84" s="1"/>
      <c r="X84" s="1"/>
      <c r="Y84" s="1"/>
      <c r="Z84" s="1"/>
    </row>
    <row r="85" spans="1:26" ht="21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17">
        <f>'TUMO RONG (1)'!E85+'LONG LEO(2)'!E85+'ĐĂK CHUM 1(3)'!E85+'ĐĂK CHUM II(4)'!E85+'TU CẤP(5)'!E85+'ĐĂK KA(6)'!E85+'VĂN SANG(7)'!E85+'ĐĂK NEANG(8)'!E85+'NGỌC LEANG(9)'!E85+'ĐĂK SIÊNG(10)'!E85+'KON TUN(11)'!E85+'MÔ PẢ(12)'!E85+'TY TU(13)'!E85+'KON LING(14)'!E85+'ĐĂK PƠ TRANG(15)'!E85+'KON PIA(16)'!E85+'ĐĂK HÀ(17)'!E85</f>
        <v>0</v>
      </c>
      <c r="G85" s="17">
        <f>'TUMO RONG (1)'!F85+'LONG LEO(2)'!F85+'ĐĂK CHUM 1(3)'!F85+'ĐĂK CHUM II(4)'!F85+'TU CẤP(5)'!F85+'ĐĂK KA(6)'!F85+'VĂN SANG(7)'!F85+'ĐĂK NEANG(8)'!F85+'NGỌC LEANG(9)'!F85+'ĐĂK SIÊNG(10)'!F85+'KON TUN(11)'!F85+'MÔ PẢ(12)'!F85+'TY TU(13)'!F85+'KON LING(14)'!F85+'ĐĂK PƠ TRANG(15)'!F85+'KON PIA(16)'!F85+'ĐĂK HÀ(17)'!F85</f>
        <v>0</v>
      </c>
      <c r="H85" s="17">
        <f>'TUMO RONG (1)'!G85+'LONG LEO(2)'!G85+'ĐĂK CHUM 1(3)'!G85+'ĐĂK CHUM II(4)'!G85+'TU CẤP(5)'!G85+'ĐĂK KA(6)'!G85+'VĂN SANG(7)'!G85+'ĐĂK NEANG(8)'!G85+'NGỌC LEANG(9)'!G85+'ĐĂK SIÊNG(10)'!G85+'KON TUN(11)'!G85+'MÔ PẢ(12)'!G85+'TY TU(13)'!G85+'KON LING(14)'!G85+'ĐĂK PƠ TRANG(15)'!G85+'KON PIA(16)'!G85+'ĐĂK HÀ(17)'!G85</f>
        <v>0</v>
      </c>
      <c r="I85" s="31"/>
      <c r="J85" s="75"/>
      <c r="K85" s="106"/>
      <c r="L85" s="2"/>
      <c r="M85" s="1"/>
      <c r="N85" s="38"/>
      <c r="O85" s="38"/>
      <c r="P85" s="38"/>
      <c r="Q85" s="38"/>
      <c r="R85" s="38"/>
      <c r="S85" s="38"/>
      <c r="T85" s="1"/>
      <c r="U85" s="1"/>
      <c r="V85" s="1"/>
      <c r="W85" s="1"/>
      <c r="X85" s="1"/>
      <c r="Y85" s="1"/>
      <c r="Z85" s="1"/>
    </row>
    <row r="86" spans="1:26" ht="21" customHeight="1" x14ac:dyDescent="0.25">
      <c r="A86" s="117" t="s">
        <v>47</v>
      </c>
      <c r="B86" s="81" t="s">
        <v>88</v>
      </c>
      <c r="C86" s="48"/>
      <c r="D86" s="31"/>
      <c r="E86" s="31"/>
      <c r="F86" s="17">
        <f>'TUMO RONG (1)'!E86+'LONG LEO(2)'!E86+'ĐĂK CHUM 1(3)'!E86+'ĐĂK CHUM II(4)'!E86+'TU CẤP(5)'!E86+'ĐĂK KA(6)'!E86+'VĂN SANG(7)'!E86+'ĐĂK NEANG(8)'!E86+'NGỌC LEANG(9)'!E86+'ĐĂK SIÊNG(10)'!E86+'KON TUN(11)'!E86+'MÔ PẢ(12)'!E86+'TY TU(13)'!E86+'KON LING(14)'!E86+'ĐĂK PƠ TRANG(15)'!E86+'KON PIA(16)'!E86+'ĐĂK HÀ(17)'!E86</f>
        <v>0</v>
      </c>
      <c r="G86" s="17">
        <f>'TUMO RONG (1)'!F86+'LONG LEO(2)'!F86+'ĐĂK CHUM 1(3)'!F86+'ĐĂK CHUM II(4)'!F86+'TU CẤP(5)'!F86+'ĐĂK KA(6)'!F86+'VĂN SANG(7)'!F86+'ĐĂK NEANG(8)'!F86+'NGỌC LEANG(9)'!F86+'ĐĂK SIÊNG(10)'!F86+'KON TUN(11)'!F86+'MÔ PẢ(12)'!F86+'TY TU(13)'!F86+'KON LING(14)'!F86+'ĐĂK PƠ TRANG(15)'!F86+'KON PIA(16)'!F86+'ĐĂK HÀ(17)'!F86</f>
        <v>0</v>
      </c>
      <c r="H86" s="17">
        <f>'TUMO RONG (1)'!G86+'LONG LEO(2)'!G86+'ĐĂK CHUM 1(3)'!G86+'ĐĂK CHUM II(4)'!G86+'TU CẤP(5)'!G86+'ĐĂK KA(6)'!G86+'VĂN SANG(7)'!G86+'ĐĂK NEANG(8)'!G86+'NGỌC LEANG(9)'!G86+'ĐĂK SIÊNG(10)'!G86+'KON TUN(11)'!G86+'MÔ PẢ(12)'!G86+'TY TU(13)'!G86+'KON LING(14)'!G86+'ĐĂK PƠ TRANG(15)'!G86+'KON PIA(16)'!G86+'ĐĂK HÀ(17)'!G86</f>
        <v>0</v>
      </c>
      <c r="I86" s="31"/>
      <c r="J86" s="75"/>
      <c r="K86" s="106"/>
      <c r="L86" s="2"/>
      <c r="M86" s="1"/>
      <c r="N86" s="38"/>
      <c r="O86" s="38"/>
      <c r="P86" s="38"/>
      <c r="Q86" s="38"/>
      <c r="R86" s="38"/>
      <c r="S86" s="38"/>
      <c r="T86" s="1"/>
      <c r="U86" s="1"/>
      <c r="V86" s="1"/>
      <c r="W86" s="1"/>
      <c r="X86" s="1"/>
      <c r="Y86" s="1"/>
      <c r="Z86" s="1"/>
    </row>
    <row r="87" spans="1:26" ht="21" customHeight="1" x14ac:dyDescent="0.25">
      <c r="A87" s="117" t="s">
        <v>47</v>
      </c>
      <c r="B87" s="101" t="s">
        <v>89</v>
      </c>
      <c r="C87" s="48" t="s">
        <v>18</v>
      </c>
      <c r="D87" s="31">
        <f>'TUMO RONG (1)'!D87+'LONG LEO(2)'!D87+'ĐĂK CHUM 1(3)'!D87+'ĐĂK CHUM II(4)'!D87+'TU CẤP(5)'!D87+'ĐĂK KA(6)'!D87+'VĂN SANG(7)'!D87+'ĐĂK NEANG(8)'!D87+'NGỌC LEANG(9)'!D87+'ĐĂK SIÊNG(10)'!D87+'KON TUN(11)'!D87+'MÔ PẢ(12)'!D87+'TY TU(13)'!D87+'KON LING(14)'!D87+'ĐĂK PƠ TRANG(15)'!D87+'KON PIA(16)'!D87+'ĐĂK HÀ(17)'!D87</f>
        <v>9</v>
      </c>
      <c r="E87" s="31"/>
      <c r="F87" s="31">
        <f>'TUMO RONG (1)'!E87+'LONG LEO(2)'!E87+'ĐĂK CHUM 1(3)'!E87+'ĐĂK CHUM II(4)'!E87+'TU CẤP(5)'!E87+'ĐĂK KA(6)'!E87+'VĂN SANG(7)'!E87+'ĐĂK NEANG(8)'!E87+'NGỌC LEANG(9)'!E87+'ĐĂK SIÊNG(10)'!E87+'KON TUN(11)'!E87+'MÔ PẢ(12)'!E87+'TY TU(13)'!E87+'KON LING(14)'!E87+'ĐĂK PƠ TRANG(15)'!E87+'KON PIA(16)'!E87+'ĐĂK HÀ(17)'!E87</f>
        <v>3.9699999999999998</v>
      </c>
      <c r="G87" s="31">
        <f>'TUMO RONG (1)'!F87+'LONG LEO(2)'!F87+'ĐĂK CHUM 1(3)'!F87+'ĐĂK CHUM II(4)'!F87+'TU CẤP(5)'!F87+'ĐĂK KA(6)'!F87+'VĂN SANG(7)'!F87+'ĐĂK NEANG(8)'!F87+'NGỌC LEANG(9)'!F87+'ĐĂK SIÊNG(10)'!F87+'KON TUN(11)'!F87+'MÔ PẢ(12)'!F87+'TY TU(13)'!F87+'KON LING(14)'!F87+'ĐĂK PƠ TRANG(15)'!F87+'KON PIA(16)'!F87+'ĐĂK HÀ(17)'!F87</f>
        <v>0</v>
      </c>
      <c r="H87" s="31">
        <f>'TUMO RONG (1)'!G87+'LONG LEO(2)'!G87+'ĐĂK CHUM 1(3)'!G87+'ĐĂK CHUM II(4)'!G87+'TU CẤP(5)'!G87+'ĐĂK KA(6)'!G87+'VĂN SANG(7)'!G87+'ĐĂK NEANG(8)'!G87+'NGỌC LEANG(9)'!G87+'ĐĂK SIÊNG(10)'!G87+'KON TUN(11)'!G87+'MÔ PẢ(12)'!G87+'TY TU(13)'!G87+'KON LING(14)'!G87+'ĐĂK PƠ TRANG(15)'!G87+'KON PIA(16)'!G87+'ĐĂK HÀ(17)'!G87</f>
        <v>0</v>
      </c>
      <c r="I87" s="31"/>
      <c r="J87" s="75"/>
      <c r="K87" s="106"/>
      <c r="L87" s="2"/>
      <c r="M87" s="1"/>
      <c r="N87" s="38"/>
      <c r="O87" s="38"/>
      <c r="P87" s="38"/>
      <c r="Q87" s="38"/>
      <c r="R87" s="38"/>
      <c r="S87" s="1"/>
      <c r="T87" s="1"/>
      <c r="U87" s="1"/>
      <c r="V87" s="1"/>
      <c r="W87" s="1"/>
      <c r="X87" s="1"/>
      <c r="Y87" s="1"/>
      <c r="Z87" s="1"/>
    </row>
    <row r="88" spans="1:26" ht="38.25" customHeight="1" x14ac:dyDescent="0.25">
      <c r="A88" s="15" t="s">
        <v>90</v>
      </c>
      <c r="B88" s="24" t="s">
        <v>91</v>
      </c>
      <c r="C88" s="15"/>
      <c r="D88" s="17">
        <f t="shared" ref="D88:H88" si="43">D89+D90+D92+D94+D95</f>
        <v>9266</v>
      </c>
      <c r="E88" s="17">
        <f t="shared" si="43"/>
        <v>3245</v>
      </c>
      <c r="F88" s="304">
        <f t="shared" si="43"/>
        <v>9572</v>
      </c>
      <c r="G88" s="304">
        <f>G89+G90+G92+G94+G95</f>
        <v>8460</v>
      </c>
      <c r="H88" s="304">
        <f t="shared" si="43"/>
        <v>8464</v>
      </c>
      <c r="I88" s="17">
        <f t="shared" ref="I88:I90" si="44">G88/F88*100</f>
        <v>88.382783117425816</v>
      </c>
      <c r="J88" s="30"/>
      <c r="K88" s="46"/>
      <c r="L88" s="2"/>
      <c r="M88" s="39"/>
      <c r="N88" s="39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25">
      <c r="A89" s="30">
        <v>1</v>
      </c>
      <c r="B89" s="27" t="s">
        <v>92</v>
      </c>
      <c r="C89" s="30" t="s">
        <v>93</v>
      </c>
      <c r="D89" s="67">
        <f>'TUMO RONG (1)'!D89+'LONG LEO(2)'!D89+'ĐĂK CHUM 1(3)'!D89+'ĐĂK CHUM II(4)'!D89+'TU CẤP(5)'!D89+'ĐĂK KA(6)'!D89+'VĂN SANG(7)'!D89+'ĐĂK NEANG(8)'!D89+'NGỌC LEANG(9)'!D89+'ĐĂK SIÊNG(10)'!D89+'KON TUN(11)'!D89+'MÔ PẢ(12)'!D89+'TY TU(13)'!D89+'KON LING(14)'!D89+'ĐĂK PƠ TRANG(15)'!D89+'KON PIA(16)'!D89+'ĐĂK HÀ(17)'!D89</f>
        <v>845</v>
      </c>
      <c r="E89" s="67">
        <v>907</v>
      </c>
      <c r="F89" s="67">
        <f>'TUMO RONG (1)'!E89+'LONG LEO(2)'!E89+'ĐĂK CHUM 1(3)'!E89+'ĐĂK CHUM II(4)'!E89+'TU CẤP(5)'!E89+'ĐĂK KA(6)'!E89+'VĂN SANG(7)'!E89+'ĐĂK NEANG(8)'!E89+'NGỌC LEANG(9)'!E89+'ĐĂK SIÊNG(10)'!E89+'KON TUN(11)'!E89+'MÔ PẢ(12)'!E89+'TY TU(13)'!E89+'KON LING(14)'!E89+'ĐĂK PƠ TRANG(15)'!E89+'KON PIA(16)'!E89+'ĐĂK HÀ(17)'!E89</f>
        <v>907</v>
      </c>
      <c r="G89" s="67">
        <v>896</v>
      </c>
      <c r="H89" s="67">
        <v>896</v>
      </c>
      <c r="I89" s="31">
        <f t="shared" si="44"/>
        <v>98.787210584343981</v>
      </c>
      <c r="J89" s="48"/>
      <c r="K89" s="84"/>
      <c r="L89" s="83"/>
      <c r="M89" s="83"/>
      <c r="N89" s="118"/>
      <c r="O89" s="119"/>
      <c r="P89" s="119"/>
      <c r="Q89" s="119"/>
      <c r="R89" s="119"/>
      <c r="S89" s="119"/>
      <c r="T89" s="85"/>
      <c r="U89" s="85"/>
      <c r="V89" s="85"/>
      <c r="W89" s="58"/>
      <c r="X89" s="58"/>
      <c r="Y89" s="58"/>
      <c r="Z89" s="58"/>
    </row>
    <row r="90" spans="1:26" ht="21" customHeight="1" x14ac:dyDescent="0.25">
      <c r="A90" s="30">
        <v>2</v>
      </c>
      <c r="B90" s="27" t="s">
        <v>94</v>
      </c>
      <c r="C90" s="30" t="s">
        <v>93</v>
      </c>
      <c r="D90" s="67">
        <f>'TUMO RONG (1)'!D90+'LONG LEO(2)'!D90+'ĐĂK CHUM 1(3)'!D90+'ĐĂK CHUM II(4)'!D90+'TU CẤP(5)'!D90+'ĐĂK KA(6)'!D90+'VĂN SANG(7)'!D90+'ĐĂK NEANG(8)'!D90+'NGỌC LEANG(9)'!D90+'ĐĂK SIÊNG(10)'!D90+'KON TUN(11)'!D90+'MÔ PẢ(12)'!D90+'TY TU(13)'!D90+'KON LING(14)'!D90+'ĐĂK PƠ TRANG(15)'!D90+'KON PIA(16)'!D90+'ĐĂK HÀ(17)'!D90</f>
        <v>1400</v>
      </c>
      <c r="E90" s="67">
        <v>1474</v>
      </c>
      <c r="F90" s="67">
        <f>'TUMO RONG (1)'!E90+'LONG LEO(2)'!E90+'ĐĂK CHUM 1(3)'!E90+'ĐĂK CHUM II(4)'!E90+'TU CẤP(5)'!E90+'ĐĂK KA(6)'!E90+'VĂN SANG(7)'!E90+'ĐĂK NEANG(8)'!E90+'NGỌC LEANG(9)'!E90+'ĐĂK SIÊNG(10)'!E90+'KON TUN(11)'!E90+'MÔ PẢ(12)'!E90+'TY TU(13)'!E90+'KON LING(14)'!E90+'ĐĂK PƠ TRANG(15)'!E90+'KON PIA(16)'!E90+'ĐĂK HÀ(17)'!E90</f>
        <v>1474</v>
      </c>
      <c r="G90" s="67">
        <v>1450</v>
      </c>
      <c r="H90" s="67">
        <v>1450</v>
      </c>
      <c r="I90" s="31">
        <f t="shared" si="44"/>
        <v>98.37177747625509</v>
      </c>
      <c r="J90" s="48"/>
      <c r="K90" s="57"/>
      <c r="L90" s="83"/>
      <c r="M90" s="83"/>
      <c r="N90" s="118"/>
      <c r="O90" s="119"/>
      <c r="P90" s="119"/>
      <c r="Q90" s="118"/>
      <c r="R90" s="119"/>
      <c r="S90" s="119"/>
      <c r="T90" s="85"/>
      <c r="U90" s="85"/>
      <c r="V90" s="85"/>
      <c r="W90" s="58"/>
      <c r="X90" s="58"/>
      <c r="Y90" s="58"/>
      <c r="Z90" s="58"/>
    </row>
    <row r="91" spans="1:26" ht="21" customHeight="1" x14ac:dyDescent="0.25">
      <c r="A91" s="48"/>
      <c r="B91" s="75" t="s">
        <v>95</v>
      </c>
      <c r="C91" s="48" t="s">
        <v>96</v>
      </c>
      <c r="D91" s="36">
        <v>50</v>
      </c>
      <c r="E91" s="36">
        <v>50</v>
      </c>
      <c r="F91" s="36"/>
      <c r="G91" s="36"/>
      <c r="H91" s="36"/>
      <c r="I91" s="31"/>
      <c r="J91" s="48"/>
      <c r="K91" s="106"/>
      <c r="L91" s="113"/>
      <c r="M91" s="39"/>
      <c r="N91" s="120"/>
      <c r="O91" s="121"/>
      <c r="P91" s="121"/>
      <c r="Q91" s="121"/>
      <c r="R91" s="121"/>
      <c r="S91" s="121"/>
      <c r="T91" s="79"/>
      <c r="U91" s="79"/>
      <c r="V91" s="79"/>
      <c r="W91" s="80"/>
      <c r="X91" s="80"/>
      <c r="Y91" s="80"/>
      <c r="Z91" s="80"/>
    </row>
    <row r="92" spans="1:26" ht="21" customHeight="1" x14ac:dyDescent="0.25">
      <c r="A92" s="30">
        <v>3</v>
      </c>
      <c r="B92" s="27" t="s">
        <v>97</v>
      </c>
      <c r="C92" s="30" t="s">
        <v>93</v>
      </c>
      <c r="D92" s="67">
        <f>'TUMO RONG (1)'!D91+'LONG LEO(2)'!D91+'ĐĂK CHUM 1(3)'!D91+'ĐĂK CHUM II(4)'!D91+'TU CẤP(5)'!D91+'ĐĂK KA(6)'!D91+'VĂN SANG(7)'!D91+'ĐĂK NEANG(8)'!D91+'NGỌC LEANG(9)'!D91+'ĐĂK SIÊNG(10)'!D91+'KON TUN(11)'!D91+'MÔ PẢ(12)'!D91+'TY TU(13)'!D91+'KON LING(14)'!D91+'ĐĂK PƠ TRANG(15)'!D91+'KON PIA(16)'!D91+'ĐĂK HÀ(17)'!D91</f>
        <v>800</v>
      </c>
      <c r="E92" s="67">
        <v>864</v>
      </c>
      <c r="F92" s="67">
        <f>'TUMO RONG (1)'!E91+'LONG LEO(2)'!E91+'ĐĂK CHUM 1(3)'!E91+'ĐĂK CHUM II(4)'!E91+'TU CẤP(5)'!E91+'ĐĂK KA(6)'!E91+'VĂN SANG(7)'!E91+'ĐĂK NEANG(8)'!E91+'NGỌC LEANG(9)'!E91+'ĐĂK SIÊNG(10)'!E91+'KON TUN(11)'!E91+'MÔ PẢ(12)'!E91+'TY TU(13)'!E91+'KON LING(14)'!E91+'ĐĂK PƠ TRANG(15)'!E91+'KON PIA(16)'!E91+'ĐĂK HÀ(17)'!E91</f>
        <v>864</v>
      </c>
      <c r="G92" s="67">
        <v>776</v>
      </c>
      <c r="H92" s="67">
        <v>780</v>
      </c>
      <c r="I92" s="31">
        <f>G92/F92*100</f>
        <v>89.81481481481481</v>
      </c>
      <c r="J92" s="48"/>
      <c r="K92" s="57"/>
      <c r="L92" s="83"/>
      <c r="M92" s="83"/>
      <c r="N92" s="118"/>
      <c r="O92" s="119"/>
      <c r="P92" s="118"/>
      <c r="Q92" s="119"/>
      <c r="R92" s="119"/>
      <c r="S92" s="119"/>
      <c r="T92" s="85"/>
      <c r="U92" s="85"/>
      <c r="V92" s="85"/>
      <c r="W92" s="58"/>
      <c r="X92" s="58"/>
      <c r="Y92" s="58"/>
      <c r="Z92" s="58"/>
    </row>
    <row r="93" spans="1:26" ht="21" customHeight="1" x14ac:dyDescent="0.25">
      <c r="A93" s="48"/>
      <c r="B93" s="75" t="s">
        <v>98</v>
      </c>
      <c r="C93" s="48" t="s">
        <v>21</v>
      </c>
      <c r="D93" s="36">
        <v>545</v>
      </c>
      <c r="E93" s="36">
        <v>630</v>
      </c>
      <c r="F93" s="36">
        <v>630</v>
      </c>
      <c r="G93" s="36"/>
      <c r="H93" s="36"/>
      <c r="I93" s="31"/>
      <c r="J93" s="48"/>
      <c r="K93" s="106"/>
      <c r="L93" s="113"/>
      <c r="M93" s="80"/>
      <c r="N93" s="120"/>
      <c r="O93" s="121"/>
      <c r="P93" s="121"/>
      <c r="Q93" s="121"/>
      <c r="R93" s="121"/>
      <c r="S93" s="121"/>
      <c r="T93" s="79"/>
      <c r="U93" s="79"/>
      <c r="V93" s="79"/>
      <c r="W93" s="80"/>
      <c r="X93" s="80"/>
      <c r="Y93" s="80"/>
      <c r="Z93" s="80"/>
    </row>
    <row r="94" spans="1:26" ht="21" customHeight="1" x14ac:dyDescent="0.25">
      <c r="A94" s="30">
        <v>4</v>
      </c>
      <c r="B94" s="27" t="s">
        <v>99</v>
      </c>
      <c r="C94" s="30" t="s">
        <v>93</v>
      </c>
      <c r="D94" s="67">
        <f>'TUMO RONG (1)'!D92+'LONG LEO(2)'!D92+'ĐĂK CHUM 1(3)'!D92+'ĐĂK CHUM II(4)'!D92+'TU CẤP(5)'!D92+'ĐĂK KA(6)'!D92+'VĂN SANG(7)'!D92+'ĐĂK NEANG(8)'!D92+'NGỌC LEANG(9)'!D92+'ĐĂK SIÊNG(10)'!D92+'KON TUN(11)'!D92+'MÔ PẢ(12)'!D92+'TY TU(13)'!D92+'KON LING(14)'!D92+'ĐĂK PƠ TRANG(15)'!D92+'KON PIA(16)'!D92+'ĐĂK HÀ(17)'!D92</f>
        <v>80</v>
      </c>
      <c r="E94" s="67"/>
      <c r="F94" s="67">
        <f>'TUMO RONG (1)'!E92+'LONG LEO(2)'!E92+'ĐĂK CHUM 1(3)'!E92+'ĐĂK CHUM II(4)'!E92+'TU CẤP(5)'!E92+'ĐĂK KA(6)'!E92+'VĂN SANG(7)'!E92+'ĐĂK NEANG(8)'!E92+'NGỌC LEANG(9)'!E92+'ĐĂK SIÊNG(10)'!E92+'KON TUN(11)'!E92+'MÔ PẢ(12)'!E92+'TY TU(13)'!E92+'KON LING(14)'!E92+'ĐĂK PƠ TRANG(15)'!E92+'KON PIA(16)'!E92+'ĐĂK HÀ(17)'!E92</f>
        <v>98</v>
      </c>
      <c r="G94" s="67">
        <f>'TUMO RONG (1)'!F92+'LONG LEO(2)'!F92+'ĐĂK CHUM 1(3)'!F92+'ĐĂK CHUM II(4)'!F92+'TU CẤP(5)'!F92+'ĐĂK KA(6)'!F92+'VĂN SANG(7)'!F92+'ĐĂK NEANG(8)'!F92+'NGỌC LEANG(9)'!F92+'ĐĂK SIÊNG(10)'!F92+'KON TUN(11)'!F92+'MÔ PẢ(12)'!F92+'TY TU(13)'!F92+'KON LING(14)'!F92+'ĐĂK PƠ TRANG(15)'!F92+'KON PIA(16)'!F92+'ĐĂK HÀ(17)'!F92-4</f>
        <v>83</v>
      </c>
      <c r="H94" s="67">
        <v>83</v>
      </c>
      <c r="I94" s="31">
        <f t="shared" ref="I94:I97" si="45">G94/F94*100</f>
        <v>84.693877551020407</v>
      </c>
      <c r="J94" s="27"/>
      <c r="K94" s="57"/>
      <c r="L94" s="122"/>
      <c r="M94" s="122"/>
      <c r="N94" s="118"/>
      <c r="O94" s="118"/>
      <c r="P94" s="118"/>
      <c r="Q94" s="118"/>
      <c r="R94" s="119"/>
      <c r="S94" s="119"/>
      <c r="T94" s="85"/>
      <c r="U94" s="85"/>
      <c r="V94" s="85"/>
      <c r="W94" s="58"/>
      <c r="X94" s="58"/>
      <c r="Y94" s="58"/>
      <c r="Z94" s="58"/>
    </row>
    <row r="95" spans="1:26" ht="21" customHeight="1" x14ac:dyDescent="0.25">
      <c r="A95" s="30">
        <v>5</v>
      </c>
      <c r="B95" s="27" t="s">
        <v>100</v>
      </c>
      <c r="C95" s="30" t="s">
        <v>93</v>
      </c>
      <c r="D95" s="67">
        <f>'TUMO RONG (1)'!D93+'LONG LEO(2)'!D93+'ĐĂK CHUM 1(3)'!D93+'ĐĂK CHUM II(4)'!D93+'TU CẤP(5)'!D93+'ĐĂK KA(6)'!D93+'VĂN SANG(7)'!D93+'ĐĂK NEANG(8)'!D93+'NGỌC LEANG(9)'!D93+'ĐĂK SIÊNG(10)'!D93+'KON TUN(11)'!D93+'MÔ PẢ(12)'!D93+'TY TU(13)'!D93+'KON LING(14)'!D93+'ĐĂK PƠ TRANG(15)'!D93+'KON PIA(16)'!D93+'ĐĂK HÀ(17)'!D93</f>
        <v>6141</v>
      </c>
      <c r="E95" s="67"/>
      <c r="F95" s="67">
        <f>'TUMO RONG (1)'!E93+'LONG LEO(2)'!E93+'ĐĂK CHUM 1(3)'!E93+'ĐĂK CHUM II(4)'!E93+'TU CẤP(5)'!E93+'ĐĂK KA(6)'!E93+'VĂN SANG(7)'!E93+'ĐĂK NEANG(8)'!E93+'NGỌC LEANG(9)'!E93+'ĐĂK SIÊNG(10)'!E93+'KON TUN(11)'!E93+'MÔ PẢ(12)'!E93+'TY TU(13)'!E93+'KON LING(14)'!E93+'ĐĂK PƠ TRANG(15)'!E93+'KON PIA(16)'!E93+'ĐĂK HÀ(17)'!E93</f>
        <v>6229</v>
      </c>
      <c r="G95" s="67">
        <f>'TUMO RONG (1)'!F93+'LONG LEO(2)'!F93+'ĐĂK CHUM 1(3)'!F93+'ĐĂK CHUM II(4)'!F93+'TU CẤP(5)'!F93+'ĐĂK KA(6)'!F93+'VĂN SANG(7)'!F93+'ĐĂK NEANG(8)'!F93+'NGỌC LEANG(9)'!F93+'ĐĂK SIÊNG(10)'!F93+'KON TUN(11)'!F93+'MÔ PẢ(12)'!F93+'TY TU(13)'!F93+'KON LING(14)'!F93+'ĐĂK PƠ TRANG(15)'!F93+'KON PIA(16)'!F93+'ĐĂK HÀ(17)'!F93+50</f>
        <v>5255</v>
      </c>
      <c r="H95" s="67">
        <f>'TUMO RONG (1)'!G93+'LONG LEO(2)'!G93+'ĐĂK CHUM 1(3)'!G93+'ĐĂK CHUM II(4)'!G93+'TU CẤP(5)'!G93+'ĐĂK KA(6)'!G93+'VĂN SANG(7)'!G93+'ĐĂK NEANG(8)'!G93+'NGỌC LEANG(9)'!G93+'ĐĂK SIÊNG(10)'!G93+'KON TUN(11)'!G93+'MÔ PẢ(12)'!G93+'TY TU(13)'!G93+'KON LING(14)'!G93+'ĐĂK PƠ TRANG(15)'!G93+'KON PIA(16)'!G93+'ĐĂK HÀ(17)'!G93+50</f>
        <v>5255</v>
      </c>
      <c r="I95" s="31">
        <f t="shared" si="45"/>
        <v>84.363461229731897</v>
      </c>
      <c r="J95" s="30"/>
      <c r="K95" s="123"/>
      <c r="L95" s="124"/>
      <c r="M95" s="122"/>
      <c r="N95" s="118"/>
      <c r="O95" s="119"/>
      <c r="P95" s="119"/>
      <c r="Q95" s="119"/>
      <c r="R95" s="119"/>
      <c r="S95" s="119"/>
      <c r="T95" s="85"/>
      <c r="U95" s="85"/>
      <c r="V95" s="85"/>
      <c r="W95" s="58"/>
      <c r="X95" s="58"/>
      <c r="Y95" s="58"/>
      <c r="Z95" s="58"/>
    </row>
    <row r="96" spans="1:26" ht="21" customHeight="1" x14ac:dyDescent="0.25">
      <c r="A96" s="15" t="s">
        <v>101</v>
      </c>
      <c r="B96" s="16" t="s">
        <v>102</v>
      </c>
      <c r="C96" s="15" t="s">
        <v>18</v>
      </c>
      <c r="D96" s="17">
        <f>D97</f>
        <v>7.9</v>
      </c>
      <c r="E96" s="17">
        <v>7.5</v>
      </c>
      <c r="F96" s="17">
        <f t="shared" ref="F96:H96" si="46">F97</f>
        <v>8.4</v>
      </c>
      <c r="G96" s="17">
        <f t="shared" si="46"/>
        <v>8.4</v>
      </c>
      <c r="H96" s="17">
        <f t="shared" si="46"/>
        <v>8.4</v>
      </c>
      <c r="I96" s="17">
        <f t="shared" si="45"/>
        <v>100</v>
      </c>
      <c r="J96" s="27"/>
      <c r="K96" s="125"/>
      <c r="L96" s="29"/>
      <c r="M96" s="26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1" customHeight="1" x14ac:dyDescent="0.25">
      <c r="A97" s="48" t="s">
        <v>47</v>
      </c>
      <c r="B97" s="81" t="s">
        <v>103</v>
      </c>
      <c r="C97" s="48" t="s">
        <v>18</v>
      </c>
      <c r="D97" s="76">
        <f>'TUMO RONG (1)'!D95+'LONG LEO(2)'!D95+'ĐĂK CHUM 1(3)'!D95+'ĐĂK CHUM II(4)'!D95+'TU CẤP(5)'!D95+'ĐĂK KA(6)'!D95+'VĂN SANG(7)'!D95+'ĐĂK NEANG(8)'!D95+'NGỌC LEANG(9)'!D95+'ĐĂK SIÊNG(10)'!D95+'KON TUN(11)'!D95+'MÔ PẢ(12)'!D95+'TY TU(13)'!D95+'KON LING(14)'!D95+'ĐĂK PƠ TRANG(15)'!D95+'KON PIA(16)'!D95+'ĐĂK HÀ(17)'!D95</f>
        <v>7.9</v>
      </c>
      <c r="E97" s="76">
        <v>7.5</v>
      </c>
      <c r="F97" s="76">
        <f>'TUMO RONG (1)'!E95+'LONG LEO(2)'!E95+'ĐĂK CHUM 1(3)'!E95+'ĐĂK CHUM II(4)'!E95+'TU CẤP(5)'!E95+'ĐĂK KA(6)'!E95+'VĂN SANG(7)'!E95+'ĐĂK NEANG(8)'!E95+'NGỌC LEANG(9)'!E95+'ĐĂK SIÊNG(10)'!E95+'KON TUN(11)'!E95+'MÔ PẢ(12)'!E95+'TY TU(13)'!E95+'KON LING(14)'!E95+'ĐĂK PƠ TRANG(15)'!E95+'KON PIA(16)'!E95+'ĐĂK HÀ(17)'!E95</f>
        <v>8.4</v>
      </c>
      <c r="G97" s="76">
        <f>'TUMO RONG (1)'!F95+'LONG LEO(2)'!F95+'ĐĂK CHUM 1(3)'!F95+'ĐĂK CHUM II(4)'!F95+'TU CẤP(5)'!F95+'ĐĂK KA(6)'!F95+'VĂN SANG(7)'!F95+'ĐĂK NEANG(8)'!F95+'NGỌC LEANG(9)'!F95+'ĐĂK SIÊNG(10)'!F95+'KON TUN(11)'!F95+'MÔ PẢ(12)'!F95+'TY TU(13)'!F95+'KON LING(14)'!F95+'ĐĂK PƠ TRANG(15)'!F95+'KON PIA(16)'!F95+'ĐĂK HÀ(17)'!F95</f>
        <v>8.4</v>
      </c>
      <c r="H97" s="76">
        <f>'TUMO RONG (1)'!G95+'LONG LEO(2)'!G95+'ĐĂK CHUM 1(3)'!G95+'ĐĂK CHUM II(4)'!G95+'TU CẤP(5)'!G95+'ĐĂK KA(6)'!G95+'VĂN SANG(7)'!G95+'ĐĂK NEANG(8)'!G95+'NGỌC LEANG(9)'!G95+'ĐĂK SIÊNG(10)'!G95+'KON TUN(11)'!G95+'MÔ PẢ(12)'!G95+'TY TU(13)'!G95+'KON LING(14)'!G95+'ĐĂK PƠ TRANG(15)'!G95+'KON PIA(16)'!G95+'ĐĂK HÀ(17)'!G95</f>
        <v>8.4</v>
      </c>
      <c r="I97" s="76">
        <f t="shared" si="45"/>
        <v>100</v>
      </c>
      <c r="J97" s="75"/>
      <c r="K97" s="126"/>
      <c r="L97" s="127"/>
      <c r="M97" s="128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</row>
    <row r="98" spans="1:26" ht="21" customHeight="1" x14ac:dyDescent="0.25">
      <c r="A98" s="48" t="s">
        <v>47</v>
      </c>
      <c r="B98" s="60" t="s">
        <v>104</v>
      </c>
      <c r="C98" s="30" t="s">
        <v>21</v>
      </c>
      <c r="D98" s="31">
        <v>27.6</v>
      </c>
      <c r="E98" s="31">
        <v>29.3</v>
      </c>
      <c r="F98" s="31">
        <v>29.3</v>
      </c>
      <c r="G98" s="31"/>
      <c r="H98" s="31"/>
      <c r="I98" s="31"/>
      <c r="J98" s="27"/>
      <c r="K98" s="28"/>
      <c r="L98" s="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25">
      <c r="A99" s="15" t="s">
        <v>105</v>
      </c>
      <c r="B99" s="16" t="s">
        <v>106</v>
      </c>
      <c r="C99" s="15" t="s">
        <v>18</v>
      </c>
      <c r="D99" s="17">
        <f t="shared" ref="D99:H99" si="47">D100+D103</f>
        <v>28</v>
      </c>
      <c r="E99" s="17">
        <f t="shared" si="47"/>
        <v>5</v>
      </c>
      <c r="F99" s="17">
        <f t="shared" si="47"/>
        <v>15</v>
      </c>
      <c r="G99" s="17">
        <f t="shared" si="47"/>
        <v>13.21</v>
      </c>
      <c r="H99" s="17">
        <f t="shared" si="47"/>
        <v>13.21</v>
      </c>
      <c r="I99" s="17"/>
      <c r="J99" s="30"/>
      <c r="K99" s="46"/>
      <c r="L99" s="2"/>
      <c r="M99" s="1"/>
      <c r="N99" s="130"/>
      <c r="O99" s="130"/>
      <c r="P99" s="2"/>
      <c r="Q99" s="2"/>
      <c r="R99" s="2"/>
      <c r="S99" s="2"/>
      <c r="T99" s="1"/>
      <c r="U99" s="1"/>
      <c r="V99" s="1"/>
      <c r="W99" s="1"/>
      <c r="X99" s="1"/>
      <c r="Y99" s="1"/>
      <c r="Z99" s="1"/>
    </row>
    <row r="100" spans="1:26" ht="21" customHeight="1" x14ac:dyDescent="0.25">
      <c r="A100" s="30" t="s">
        <v>47</v>
      </c>
      <c r="B100" s="98" t="s">
        <v>107</v>
      </c>
      <c r="C100" s="48" t="s">
        <v>18</v>
      </c>
      <c r="D100" s="31">
        <f>'TUMO RONG (1)'!D97+'LONG LEO(2)'!D97+'ĐĂK CHUM 1(3)'!D97+'ĐĂK CHUM II(4)'!D97+'TU CẤP(5)'!D97+'ĐĂK KA(6)'!D97+'VĂN SANG(7)'!D97+'ĐĂK NEANG(8)'!D97+'NGỌC LEANG(9)'!D97+'ĐĂK SIÊNG(10)'!D97+'KON TUN(11)'!D97+'MÔ PẢ(12)'!D97+'TY TU(13)'!D97+'KON LING(14)'!D97+'ĐĂK PƠ TRANG(15)'!D97+'KON PIA(16)'!D97+'ĐĂK HÀ(17)'!D97</f>
        <v>0</v>
      </c>
      <c r="E100" s="31">
        <f>E101+E102</f>
        <v>5</v>
      </c>
      <c r="F100" s="31">
        <f>'TUMO RONG (1)'!E97+'LONG LEO(2)'!E97+'ĐĂK CHUM 1(3)'!E97+'ĐĂK CHUM II(4)'!E97+'TU CẤP(5)'!E97+'ĐĂK KA(6)'!E97+'VĂN SANG(7)'!E97+'ĐĂK NEANG(8)'!E97+'NGỌC LEANG(9)'!E97+'ĐĂK SIÊNG(10)'!E97+'KON TUN(11)'!E97+'MÔ PẢ(12)'!E97+'TY TU(13)'!E97+'KON LING(14)'!E97+'ĐĂK PƠ TRANG(15)'!E97+'KON PIA(16)'!E97+'ĐĂK HÀ(17)'!E97</f>
        <v>5.0000000000000009</v>
      </c>
      <c r="G100" s="31">
        <f>'TUMO RONG (1)'!F97+'LONG LEO(2)'!F97+'ĐĂK CHUM 1(3)'!F97+'ĐĂK CHUM II(4)'!F97+'TU CẤP(5)'!F97+'ĐĂK KA(6)'!F97+'VĂN SANG(7)'!F97+'ĐĂK NEANG(8)'!F97+'NGỌC LEANG(9)'!F97+'ĐĂK SIÊNG(10)'!F97+'KON TUN(11)'!F97+'MÔ PẢ(12)'!F97+'TY TU(13)'!F97+'KON LING(14)'!F97+'ĐĂK PƠ TRANG(15)'!F97+'KON PIA(16)'!F97+'ĐĂK HÀ(17)'!F97</f>
        <v>0</v>
      </c>
      <c r="H100" s="31">
        <f>'TUMO RONG (1)'!G97+'LONG LEO(2)'!G97+'ĐĂK CHUM 1(3)'!G97+'ĐĂK CHUM II(4)'!G97+'TU CẤP(5)'!G97+'ĐĂK KA(6)'!G97+'VĂN SANG(7)'!G97+'ĐĂK NEANG(8)'!G97+'NGỌC LEANG(9)'!G97+'ĐĂK SIÊNG(10)'!G97+'KON TUN(11)'!G97+'MÔ PẢ(12)'!G97+'TY TU(13)'!G97+'KON LING(14)'!G97+'ĐĂK PƠ TRANG(15)'!G97+'KON PIA(16)'!G97+'ĐĂK HÀ(17)'!G97</f>
        <v>0</v>
      </c>
      <c r="I100" s="31"/>
      <c r="J100" s="48"/>
      <c r="K100" s="28"/>
      <c r="L100" s="131"/>
      <c r="M100" s="131"/>
      <c r="N100" s="2"/>
      <c r="O100" s="2"/>
      <c r="P100" s="32"/>
      <c r="Q100" s="32"/>
      <c r="R100" s="2"/>
      <c r="S100" s="2"/>
      <c r="T100" s="1"/>
      <c r="U100" s="1"/>
      <c r="V100" s="1"/>
      <c r="W100" s="1"/>
      <c r="X100" s="1"/>
      <c r="Y100" s="1"/>
      <c r="Z100" s="1"/>
    </row>
    <row r="101" spans="1:26" ht="21" customHeight="1" x14ac:dyDescent="0.25">
      <c r="A101" s="30"/>
      <c r="B101" s="132" t="s">
        <v>108</v>
      </c>
      <c r="C101" s="48" t="s">
        <v>18</v>
      </c>
      <c r="D101" s="76"/>
      <c r="E101" s="76"/>
      <c r="F101" s="76"/>
      <c r="G101" s="76"/>
      <c r="H101" s="76"/>
      <c r="I101" s="76"/>
      <c r="J101" s="48"/>
      <c r="K101" s="28"/>
      <c r="L101" s="2"/>
      <c r="M101" s="1"/>
      <c r="N101" s="2"/>
      <c r="O101" s="2"/>
      <c r="P101" s="32"/>
      <c r="Q101" s="32"/>
      <c r="R101" s="2"/>
      <c r="S101" s="2"/>
      <c r="T101" s="1"/>
      <c r="U101" s="1"/>
      <c r="V101" s="1"/>
      <c r="W101" s="1"/>
      <c r="X101" s="1"/>
      <c r="Y101" s="1"/>
      <c r="Z101" s="1"/>
    </row>
    <row r="102" spans="1:26" ht="18.75" customHeight="1" x14ac:dyDescent="0.25">
      <c r="A102" s="30"/>
      <c r="B102" s="132" t="s">
        <v>109</v>
      </c>
      <c r="C102" s="48" t="s">
        <v>18</v>
      </c>
      <c r="D102" s="76"/>
      <c r="E102" s="76">
        <v>5</v>
      </c>
      <c r="F102" s="76">
        <v>5</v>
      </c>
      <c r="G102" s="76"/>
      <c r="H102" s="76">
        <v>5</v>
      </c>
      <c r="I102" s="76"/>
      <c r="J102" s="48"/>
      <c r="K102" s="28"/>
      <c r="L102" s="2"/>
      <c r="M102" s="1"/>
      <c r="N102" s="2"/>
      <c r="O102" s="2"/>
      <c r="P102" s="32"/>
      <c r="Q102" s="32"/>
      <c r="R102" s="2"/>
      <c r="S102" s="2"/>
      <c r="T102" s="1"/>
      <c r="U102" s="1"/>
      <c r="V102" s="1"/>
      <c r="W102" s="1"/>
      <c r="X102" s="1"/>
      <c r="Y102" s="1"/>
      <c r="Z102" s="1"/>
    </row>
    <row r="103" spans="1:26" ht="21" customHeight="1" x14ac:dyDescent="0.25">
      <c r="A103" s="133" t="s">
        <v>47</v>
      </c>
      <c r="B103" s="98" t="s">
        <v>110</v>
      </c>
      <c r="C103" s="48" t="s">
        <v>18</v>
      </c>
      <c r="D103" s="31">
        <f>'TUMO RONG (1)'!D98+'LONG LEO(2)'!D98+'ĐĂK CHUM 1(3)'!D98+'ĐĂK CHUM II(4)'!D98+'TU CẤP(5)'!D98+'ĐĂK KA(6)'!D98+'VĂN SANG(7)'!D98+'ĐĂK NEANG(8)'!D98+'NGỌC LEANG(9)'!D98+'ĐĂK SIÊNG(10)'!D98+'KON TUN(11)'!D98+'MÔ PẢ(12)'!D98+'TY TU(13)'!D98+'KON LING(14)'!D98+'ĐĂK PƠ TRANG(15)'!D98+'KON PIA(16)'!D98+'ĐĂK HÀ(17)'!D98</f>
        <v>28</v>
      </c>
      <c r="E103" s="31">
        <v>0</v>
      </c>
      <c r="F103" s="31">
        <f>'TUMO RONG (1)'!E98+'LONG LEO(2)'!E98+'ĐĂK CHUM 1(3)'!E98+'ĐĂK CHUM II(4)'!E98+'TU CẤP(5)'!E98+'ĐĂK KA(6)'!E98+'VĂN SANG(7)'!E98+'ĐĂK NEANG(8)'!E98+'NGỌC LEANG(9)'!E98+'ĐĂK SIÊNG(10)'!E98+'KON TUN(11)'!E98+'MÔ PẢ(12)'!E98+'TY TU(13)'!E98+'KON LING(14)'!E98+'ĐĂK PƠ TRANG(15)'!E98+'KON PIA(16)'!E98+'ĐĂK HÀ(17)'!E98</f>
        <v>10</v>
      </c>
      <c r="G103" s="134">
        <v>13.21</v>
      </c>
      <c r="H103" s="134">
        <v>13.21</v>
      </c>
      <c r="I103" s="31">
        <f>G103/F103*100</f>
        <v>132.10000000000002</v>
      </c>
      <c r="J103" s="27"/>
      <c r="K103" s="28"/>
      <c r="L103" s="2"/>
      <c r="M103" s="1"/>
      <c r="N103" s="130"/>
      <c r="O103" s="130"/>
      <c r="P103" s="32"/>
      <c r="Q103" s="32"/>
      <c r="R103" s="2"/>
      <c r="S103" s="2"/>
      <c r="T103" s="1"/>
      <c r="U103" s="1"/>
      <c r="V103" s="1"/>
      <c r="W103" s="1"/>
      <c r="X103" s="1"/>
      <c r="Y103" s="1"/>
      <c r="Z103" s="1"/>
    </row>
    <row r="104" spans="1:26" ht="21" customHeight="1" x14ac:dyDescent="0.25">
      <c r="A104" s="133" t="s">
        <v>47</v>
      </c>
      <c r="B104" s="27" t="s">
        <v>111</v>
      </c>
      <c r="C104" s="48" t="s">
        <v>18</v>
      </c>
      <c r="D104" s="31">
        <f t="shared" ref="D104:H104" si="48">D105+D106</f>
        <v>9940</v>
      </c>
      <c r="E104" s="31">
        <f t="shared" si="48"/>
        <v>9940</v>
      </c>
      <c r="F104" s="31">
        <f t="shared" si="48"/>
        <v>9940</v>
      </c>
      <c r="G104" s="31">
        <f t="shared" si="48"/>
        <v>0</v>
      </c>
      <c r="H104" s="31">
        <f t="shared" si="48"/>
        <v>0</v>
      </c>
      <c r="I104" s="135"/>
      <c r="J104" s="27"/>
      <c r="K104" s="28"/>
      <c r="L104" s="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25">
      <c r="A105" s="136"/>
      <c r="B105" s="132" t="s">
        <v>108</v>
      </c>
      <c r="C105" s="48" t="s">
        <v>112</v>
      </c>
      <c r="D105" s="76">
        <v>2805</v>
      </c>
      <c r="E105" s="76">
        <v>2805</v>
      </c>
      <c r="F105" s="76">
        <v>2805</v>
      </c>
      <c r="G105" s="81"/>
      <c r="H105" s="81"/>
      <c r="I105" s="81"/>
      <c r="J105" s="75"/>
      <c r="K105" s="28"/>
      <c r="L105" s="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25">
      <c r="A106" s="136"/>
      <c r="B106" s="132" t="s">
        <v>109</v>
      </c>
      <c r="C106" s="48" t="s">
        <v>112</v>
      </c>
      <c r="D106" s="76">
        <v>7135</v>
      </c>
      <c r="E106" s="76">
        <v>7135</v>
      </c>
      <c r="F106" s="76">
        <v>7135</v>
      </c>
      <c r="G106" s="81"/>
      <c r="H106" s="81"/>
      <c r="I106" s="81"/>
      <c r="J106" s="75"/>
      <c r="K106" s="28"/>
      <c r="L106" s="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28"/>
      <c r="K107" s="28"/>
      <c r="L107" s="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28"/>
      <c r="K108" s="28"/>
      <c r="L108" s="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28"/>
      <c r="K109" s="28"/>
      <c r="L109" s="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28"/>
      <c r="K110" s="28"/>
      <c r="L110" s="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28"/>
      <c r="K111" s="28"/>
      <c r="L111" s="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28"/>
      <c r="K112" s="28"/>
      <c r="L112" s="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28"/>
      <c r="K113" s="28"/>
      <c r="L113" s="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28"/>
      <c r="K114" s="28"/>
      <c r="L114" s="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28"/>
      <c r="K115" s="28"/>
      <c r="L115" s="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28"/>
      <c r="K116" s="28"/>
      <c r="L116" s="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28"/>
      <c r="K117" s="28"/>
      <c r="L117" s="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28"/>
      <c r="K118" s="28"/>
      <c r="L118" s="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28"/>
      <c r="K119" s="28"/>
      <c r="L119" s="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28"/>
      <c r="K120" s="28"/>
      <c r="L120" s="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28"/>
      <c r="K121" s="28"/>
      <c r="L121" s="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28"/>
      <c r="K122" s="28"/>
      <c r="L122" s="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28"/>
      <c r="K123" s="28"/>
      <c r="L123" s="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28"/>
      <c r="K124" s="28"/>
      <c r="L124" s="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28"/>
      <c r="K125" s="28"/>
      <c r="L125" s="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28"/>
      <c r="K126" s="28"/>
      <c r="L126" s="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28"/>
      <c r="K127" s="28"/>
      <c r="L127" s="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28"/>
      <c r="K128" s="28"/>
      <c r="L128" s="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28"/>
      <c r="K129" s="28"/>
      <c r="L129" s="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28"/>
      <c r="K130" s="28"/>
      <c r="L130" s="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28"/>
      <c r="K131" s="28"/>
      <c r="L131" s="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28"/>
      <c r="K132" s="28"/>
      <c r="L132" s="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28"/>
      <c r="K133" s="28"/>
      <c r="L133" s="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28"/>
      <c r="K134" s="28"/>
      <c r="L134" s="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28"/>
      <c r="K135" s="28"/>
      <c r="L135" s="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28"/>
      <c r="K136" s="28"/>
      <c r="L136" s="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28"/>
      <c r="K137" s="28"/>
      <c r="L137" s="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28"/>
      <c r="K138" s="28"/>
      <c r="L138" s="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28"/>
      <c r="K139" s="28"/>
      <c r="L139" s="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28"/>
      <c r="K140" s="28"/>
      <c r="L140" s="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28"/>
      <c r="K141" s="28"/>
      <c r="L141" s="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28"/>
      <c r="K142" s="28"/>
      <c r="L142" s="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28"/>
      <c r="K143" s="28"/>
      <c r="L143" s="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28"/>
      <c r="K144" s="28"/>
      <c r="L144" s="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28"/>
      <c r="K145" s="28"/>
      <c r="L145" s="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28"/>
      <c r="K146" s="28"/>
      <c r="L146" s="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28"/>
      <c r="K147" s="28"/>
      <c r="L147" s="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28"/>
      <c r="K148" s="28"/>
      <c r="L148" s="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28"/>
      <c r="K149" s="28"/>
      <c r="L149" s="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28"/>
      <c r="K150" s="28"/>
      <c r="L150" s="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28"/>
      <c r="K151" s="28"/>
      <c r="L151" s="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28"/>
      <c r="K152" s="28"/>
      <c r="L152" s="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28"/>
      <c r="K153" s="28"/>
      <c r="L153" s="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28"/>
      <c r="K154" s="28"/>
      <c r="L154" s="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28"/>
      <c r="K155" s="28"/>
      <c r="L155" s="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28"/>
      <c r="K156" s="28"/>
      <c r="L156" s="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28"/>
      <c r="K157" s="28"/>
      <c r="L157" s="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28"/>
      <c r="K158" s="28"/>
      <c r="L158" s="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28"/>
      <c r="K159" s="28"/>
      <c r="L159" s="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28"/>
      <c r="K160" s="28"/>
      <c r="L160" s="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28"/>
      <c r="K161" s="28"/>
      <c r="L161" s="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28"/>
      <c r="K162" s="28"/>
      <c r="L162" s="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28"/>
      <c r="K163" s="28"/>
      <c r="L163" s="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28"/>
      <c r="K164" s="28"/>
      <c r="L164" s="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28"/>
      <c r="K165" s="28"/>
      <c r="L165" s="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28"/>
      <c r="K166" s="28"/>
      <c r="L166" s="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28"/>
      <c r="K167" s="28"/>
      <c r="L167" s="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28"/>
      <c r="K168" s="28"/>
      <c r="L168" s="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28"/>
      <c r="K169" s="28"/>
      <c r="L169" s="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28"/>
      <c r="K170" s="28"/>
      <c r="L170" s="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28"/>
      <c r="K171" s="28"/>
      <c r="L171" s="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28"/>
      <c r="K172" s="28"/>
      <c r="L172" s="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28"/>
      <c r="K173" s="28"/>
      <c r="L173" s="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28"/>
      <c r="K174" s="28"/>
      <c r="L174" s="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28"/>
      <c r="K175" s="28"/>
      <c r="L175" s="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28"/>
      <c r="K176" s="28"/>
      <c r="L176" s="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28"/>
      <c r="K177" s="28"/>
      <c r="L177" s="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28"/>
      <c r="K178" s="28"/>
      <c r="L178" s="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28"/>
      <c r="K179" s="28"/>
      <c r="L179" s="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28"/>
      <c r="K180" s="28"/>
      <c r="L180" s="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28"/>
      <c r="K181" s="28"/>
      <c r="L181" s="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28"/>
      <c r="K182" s="28"/>
      <c r="L182" s="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28"/>
      <c r="K183" s="28"/>
      <c r="L183" s="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28"/>
      <c r="K184" s="28"/>
      <c r="L184" s="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28"/>
      <c r="K185" s="28"/>
      <c r="L185" s="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28"/>
      <c r="K186" s="28"/>
      <c r="L186" s="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28"/>
      <c r="K187" s="28"/>
      <c r="L187" s="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28"/>
      <c r="K188" s="28"/>
      <c r="L188" s="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28"/>
      <c r="K189" s="28"/>
      <c r="L189" s="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28"/>
      <c r="K190" s="28"/>
      <c r="L190" s="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28"/>
      <c r="K191" s="28"/>
      <c r="L191" s="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28"/>
      <c r="K192" s="28"/>
      <c r="L192" s="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28"/>
      <c r="K193" s="28"/>
      <c r="L193" s="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28"/>
      <c r="K194" s="28"/>
      <c r="L194" s="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28"/>
      <c r="K195" s="28"/>
      <c r="L195" s="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28"/>
      <c r="K196" s="28"/>
      <c r="L196" s="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28"/>
      <c r="K197" s="28"/>
      <c r="L197" s="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28"/>
      <c r="K198" s="28"/>
      <c r="L198" s="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28"/>
      <c r="K199" s="28"/>
      <c r="L199" s="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28"/>
      <c r="K200" s="28"/>
      <c r="L200" s="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28"/>
      <c r="K201" s="28"/>
      <c r="L201" s="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28"/>
      <c r="K202" s="28"/>
      <c r="L202" s="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28"/>
      <c r="K203" s="28"/>
      <c r="L203" s="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28"/>
      <c r="K204" s="28"/>
      <c r="L204" s="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28"/>
      <c r="K205" s="28"/>
      <c r="L205" s="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28"/>
      <c r="K206" s="28"/>
      <c r="L206" s="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28"/>
      <c r="K207" s="28"/>
      <c r="L207" s="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28"/>
      <c r="K208" s="28"/>
      <c r="L208" s="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28"/>
      <c r="K209" s="28"/>
      <c r="L209" s="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28"/>
      <c r="K210" s="28"/>
      <c r="L210" s="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28"/>
      <c r="K211" s="28"/>
      <c r="L211" s="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28"/>
      <c r="K212" s="28"/>
      <c r="L212" s="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28"/>
      <c r="K213" s="28"/>
      <c r="L213" s="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28"/>
      <c r="K214" s="28"/>
      <c r="L214" s="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28"/>
      <c r="K215" s="28"/>
      <c r="L215" s="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28"/>
      <c r="K216" s="28"/>
      <c r="L216" s="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28"/>
      <c r="K217" s="28"/>
      <c r="L217" s="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28"/>
      <c r="K218" s="28"/>
      <c r="L218" s="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28"/>
      <c r="K219" s="28"/>
      <c r="L219" s="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28"/>
      <c r="K220" s="28"/>
      <c r="L220" s="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28"/>
      <c r="K221" s="28"/>
      <c r="L221" s="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28"/>
      <c r="K222" s="28"/>
      <c r="L222" s="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28"/>
      <c r="K223" s="28"/>
      <c r="L223" s="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28"/>
      <c r="K224" s="28"/>
      <c r="L224" s="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28"/>
      <c r="K225" s="28"/>
      <c r="L225" s="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28"/>
      <c r="K226" s="28"/>
      <c r="L226" s="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28"/>
      <c r="K227" s="28"/>
      <c r="L227" s="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28"/>
      <c r="K228" s="28"/>
      <c r="L228" s="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28"/>
      <c r="K229" s="28"/>
      <c r="L229" s="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28"/>
      <c r="K230" s="28"/>
      <c r="L230" s="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28"/>
      <c r="K231" s="28"/>
      <c r="L231" s="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28"/>
      <c r="K232" s="28"/>
      <c r="L232" s="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28"/>
      <c r="K233" s="28"/>
      <c r="L233" s="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28"/>
      <c r="K234" s="28"/>
      <c r="L234" s="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28"/>
      <c r="K235" s="28"/>
      <c r="L235" s="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28"/>
      <c r="K236" s="28"/>
      <c r="L236" s="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28"/>
      <c r="K237" s="28"/>
      <c r="L237" s="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28"/>
      <c r="K238" s="28"/>
      <c r="L238" s="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28"/>
      <c r="K239" s="28"/>
      <c r="L239" s="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28"/>
      <c r="K240" s="28"/>
      <c r="L240" s="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28"/>
      <c r="K241" s="28"/>
      <c r="L241" s="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28"/>
      <c r="K242" s="28"/>
      <c r="L242" s="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28"/>
      <c r="K243" s="28"/>
      <c r="L243" s="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28"/>
      <c r="K244" s="28"/>
      <c r="L244" s="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28"/>
      <c r="K245" s="28"/>
      <c r="L245" s="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28"/>
      <c r="K246" s="28"/>
      <c r="L246" s="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28"/>
      <c r="K247" s="28"/>
      <c r="L247" s="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28"/>
      <c r="K248" s="28"/>
      <c r="L248" s="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28"/>
      <c r="K249" s="28"/>
      <c r="L249" s="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28"/>
      <c r="K250" s="28"/>
      <c r="L250" s="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28"/>
      <c r="K251" s="28"/>
      <c r="L251" s="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28"/>
      <c r="K252" s="28"/>
      <c r="L252" s="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28"/>
      <c r="K253" s="28"/>
      <c r="L253" s="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28"/>
      <c r="K254" s="28"/>
      <c r="L254" s="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28"/>
      <c r="K255" s="28"/>
      <c r="L255" s="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28"/>
      <c r="K256" s="28"/>
      <c r="L256" s="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28"/>
      <c r="K257" s="28"/>
      <c r="L257" s="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28"/>
      <c r="K258" s="28"/>
      <c r="L258" s="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28"/>
      <c r="K259" s="28"/>
      <c r="L259" s="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28"/>
      <c r="K260" s="28"/>
      <c r="L260" s="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28"/>
      <c r="K261" s="28"/>
      <c r="L261" s="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28"/>
      <c r="K262" s="28"/>
      <c r="L262" s="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28"/>
      <c r="K263" s="28"/>
      <c r="L263" s="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28"/>
      <c r="K264" s="28"/>
      <c r="L264" s="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28"/>
      <c r="K265" s="28"/>
      <c r="L265" s="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28"/>
      <c r="K266" s="28"/>
      <c r="L266" s="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28"/>
      <c r="K267" s="28"/>
      <c r="L267" s="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28"/>
      <c r="K268" s="28"/>
      <c r="L268" s="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28"/>
      <c r="K269" s="28"/>
      <c r="L269" s="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28"/>
      <c r="K270" s="28"/>
      <c r="L270" s="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28"/>
      <c r="K271" s="28"/>
      <c r="L271" s="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28"/>
      <c r="K272" s="28"/>
      <c r="L272" s="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28"/>
      <c r="K273" s="28"/>
      <c r="L273" s="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28"/>
      <c r="K274" s="28"/>
      <c r="L274" s="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28"/>
      <c r="K275" s="28"/>
      <c r="L275" s="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28"/>
      <c r="K276" s="28"/>
      <c r="L276" s="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28"/>
      <c r="K277" s="28"/>
      <c r="L277" s="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28"/>
      <c r="K278" s="28"/>
      <c r="L278" s="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28"/>
      <c r="K279" s="28"/>
      <c r="L279" s="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28"/>
      <c r="K280" s="28"/>
      <c r="L280" s="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28"/>
      <c r="K281" s="28"/>
      <c r="L281" s="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28"/>
      <c r="K282" s="28"/>
      <c r="L282" s="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28"/>
      <c r="K283" s="28"/>
      <c r="L283" s="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28"/>
      <c r="K284" s="28"/>
      <c r="L284" s="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28"/>
      <c r="K285" s="28"/>
      <c r="L285" s="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28"/>
      <c r="K286" s="28"/>
      <c r="L286" s="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28"/>
      <c r="K287" s="28"/>
      <c r="L287" s="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28"/>
      <c r="K288" s="28"/>
      <c r="L288" s="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28"/>
      <c r="K289" s="28"/>
      <c r="L289" s="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28"/>
      <c r="K290" s="28"/>
      <c r="L290" s="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28"/>
      <c r="K291" s="28"/>
      <c r="L291" s="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28"/>
      <c r="K292" s="28"/>
      <c r="L292" s="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28"/>
      <c r="K293" s="28"/>
      <c r="L293" s="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28"/>
      <c r="K294" s="28"/>
      <c r="L294" s="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28"/>
      <c r="K295" s="28"/>
      <c r="L295" s="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28"/>
      <c r="K296" s="28"/>
      <c r="L296" s="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28"/>
      <c r="K297" s="28"/>
      <c r="L297" s="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28"/>
      <c r="K298" s="28"/>
      <c r="L298" s="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37"/>
      <c r="B299" s="137"/>
      <c r="C299" s="137"/>
      <c r="D299" s="138"/>
      <c r="E299" s="138"/>
      <c r="F299" s="138"/>
      <c r="G299" s="138"/>
      <c r="H299" s="138"/>
      <c r="I299" s="138"/>
      <c r="J299" s="28"/>
      <c r="K299" s="28"/>
      <c r="L299" s="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37"/>
      <c r="B300" s="137"/>
      <c r="C300" s="137"/>
      <c r="D300" s="138"/>
      <c r="E300" s="138"/>
      <c r="F300" s="138"/>
      <c r="G300" s="138"/>
      <c r="H300" s="138"/>
      <c r="I300" s="138"/>
      <c r="J300" s="28"/>
      <c r="K300" s="28"/>
      <c r="L300" s="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37"/>
      <c r="B301" s="137"/>
      <c r="C301" s="137"/>
      <c r="D301" s="138"/>
      <c r="E301" s="138"/>
      <c r="F301" s="138"/>
      <c r="G301" s="138"/>
      <c r="H301" s="138"/>
      <c r="I301" s="138"/>
      <c r="J301" s="28"/>
      <c r="K301" s="28"/>
      <c r="L301" s="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37"/>
      <c r="B302" s="137"/>
      <c r="C302" s="137"/>
      <c r="D302" s="138"/>
      <c r="E302" s="138"/>
      <c r="F302" s="138"/>
      <c r="G302" s="138"/>
      <c r="H302" s="138"/>
      <c r="I302" s="138"/>
      <c r="J302" s="28"/>
      <c r="K302" s="28"/>
      <c r="L302" s="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37"/>
      <c r="B303" s="137"/>
      <c r="C303" s="137"/>
      <c r="D303" s="138"/>
      <c r="E303" s="138"/>
      <c r="F303" s="138"/>
      <c r="G303" s="138"/>
      <c r="H303" s="138"/>
      <c r="I303" s="138"/>
      <c r="J303" s="28"/>
      <c r="K303" s="28"/>
      <c r="L303" s="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37"/>
      <c r="B304" s="137"/>
      <c r="C304" s="137"/>
      <c r="D304" s="138"/>
      <c r="E304" s="138"/>
      <c r="F304" s="138"/>
      <c r="G304" s="138"/>
      <c r="H304" s="138"/>
      <c r="I304" s="138"/>
      <c r="J304" s="28"/>
      <c r="K304" s="28"/>
      <c r="L304" s="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37"/>
      <c r="B305" s="137"/>
      <c r="C305" s="137"/>
      <c r="D305" s="138"/>
      <c r="E305" s="138"/>
      <c r="F305" s="138"/>
      <c r="G305" s="138"/>
      <c r="H305" s="138"/>
      <c r="I305" s="138"/>
      <c r="J305" s="28"/>
      <c r="K305" s="28"/>
      <c r="L305" s="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37"/>
      <c r="B306" s="137"/>
      <c r="C306" s="137"/>
      <c r="D306" s="138"/>
      <c r="E306" s="138"/>
      <c r="F306" s="138"/>
      <c r="G306" s="138"/>
      <c r="H306" s="138"/>
      <c r="I306" s="138"/>
      <c r="J306" s="28"/>
      <c r="K306" s="28"/>
      <c r="L306" s="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/>
    <row r="308" spans="1:26" ht="15.75" customHeight="1" x14ac:dyDescent="0.25"/>
    <row r="309" spans="1:26" ht="15.75" customHeight="1" x14ac:dyDescent="0.25"/>
    <row r="310" spans="1:26" ht="15.75" customHeight="1" x14ac:dyDescent="0.25"/>
    <row r="311" spans="1:26" ht="15.75" customHeight="1" x14ac:dyDescent="0.25"/>
    <row r="312" spans="1:26" ht="15.75" customHeight="1" x14ac:dyDescent="0.25"/>
    <row r="313" spans="1:26" ht="15.75" customHeight="1" x14ac:dyDescent="0.25"/>
    <row r="314" spans="1:26" ht="15.75" customHeight="1" x14ac:dyDescent="0.25"/>
    <row r="315" spans="1:26" ht="15.75" customHeight="1" x14ac:dyDescent="0.25"/>
    <row r="316" spans="1:26" ht="15.75" customHeight="1" x14ac:dyDescent="0.25"/>
    <row r="317" spans="1:26" ht="15.75" customHeight="1" x14ac:dyDescent="0.25"/>
    <row r="318" spans="1:26" ht="15.75" customHeight="1" x14ac:dyDescent="0.25"/>
    <row r="319" spans="1:26" ht="15.75" customHeight="1" x14ac:dyDescent="0.25"/>
    <row r="320" spans="1:26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">
    <mergeCell ref="E5:E6"/>
    <mergeCell ref="F5:I5"/>
    <mergeCell ref="F1:J1"/>
    <mergeCell ref="A2:J2"/>
    <mergeCell ref="A3:J3"/>
    <mergeCell ref="A5:A6"/>
    <mergeCell ref="B5:B6"/>
    <mergeCell ref="C5:C6"/>
    <mergeCell ref="D5:D6"/>
    <mergeCell ref="J5:J6"/>
  </mergeCells>
  <pageMargins left="0.55118110236220474" right="0.27559055118110237" top="0.35433070866141736" bottom="0.35433070866141736" header="0" footer="0"/>
  <pageSetup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109375" customWidth="1"/>
    <col min="2" max="2" width="29.33203125" customWidth="1"/>
    <col min="3" max="3" width="9.21875" customWidth="1"/>
    <col min="4" max="4" width="17.88671875" customWidth="1"/>
    <col min="5" max="5" width="18.21875" customWidth="1"/>
    <col min="6" max="9" width="12.6640625" customWidth="1"/>
    <col min="10" max="10" width="8.88671875" customWidth="1"/>
    <col min="11" max="11" width="21.6640625" customWidth="1"/>
    <col min="12" max="14" width="8.88671875" customWidth="1"/>
    <col min="15" max="25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280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'VĂN SANG(7)'!A5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44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250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47.019999999999996</v>
      </c>
      <c r="E9" s="17">
        <f t="shared" si="0"/>
        <v>65.540000000000006</v>
      </c>
      <c r="F9" s="17">
        <f t="shared" si="0"/>
        <v>51.01</v>
      </c>
      <c r="G9" s="17">
        <f t="shared" si="0"/>
        <v>50.809999999999995</v>
      </c>
      <c r="H9" s="17">
        <f t="shared" ref="H9:H23" si="1">F9/E9*100</f>
        <v>77.830332621299959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0.7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8.25</v>
      </c>
      <c r="F10" s="17">
        <f t="shared" si="2"/>
        <v>2.38</v>
      </c>
      <c r="G10" s="17">
        <f t="shared" si="2"/>
        <v>2.38</v>
      </c>
      <c r="H10" s="17">
        <f t="shared" si="1"/>
        <v>28.848484848484844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0.7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22.782875000000001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0.7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19.092874999999999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0.7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7.25</v>
      </c>
      <c r="F13" s="17">
        <f t="shared" si="5"/>
        <v>1.38</v>
      </c>
      <c r="G13" s="17">
        <f t="shared" si="5"/>
        <v>1.38</v>
      </c>
      <c r="H13" s="17">
        <f t="shared" si="1"/>
        <v>19.034482758620687</v>
      </c>
      <c r="I13" s="17"/>
      <c r="J13" s="137"/>
      <c r="K13" s="259"/>
      <c r="L13" s="259"/>
      <c r="M13" s="259"/>
      <c r="N13" s="1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26.335000000000001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19.092874999999999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1.38</v>
      </c>
      <c r="F16" s="17">
        <v>1.38</v>
      </c>
      <c r="G16" s="17">
        <v>1.38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0.7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0.7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4.6229999999999993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0.7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5.87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6"/>
      <c r="O19" s="90"/>
      <c r="P19" s="90"/>
      <c r="Q19" s="90"/>
      <c r="R19" s="90"/>
      <c r="S19" s="90"/>
      <c r="T19" s="90"/>
      <c r="U19" s="90"/>
      <c r="V19" s="90"/>
      <c r="W19" s="1"/>
      <c r="X19" s="1"/>
      <c r="Y19" s="1"/>
      <c r="Z19" s="1"/>
    </row>
    <row r="20" spans="1:26" ht="30.7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19.170000000000002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46"/>
      <c r="O20" s="90"/>
      <c r="P20" s="90"/>
      <c r="Q20" s="90"/>
      <c r="R20" s="90"/>
      <c r="S20" s="90"/>
      <c r="T20" s="90"/>
      <c r="U20" s="90"/>
      <c r="V20" s="90"/>
      <c r="W20" s="1"/>
      <c r="X20" s="1"/>
      <c r="Y20" s="1"/>
      <c r="Z20" s="1"/>
    </row>
    <row r="21" spans="1:26" ht="30.7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11.252790000000001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46"/>
      <c r="O21" s="90"/>
      <c r="P21" s="90"/>
      <c r="Q21" s="90"/>
      <c r="R21" s="90"/>
      <c r="S21" s="90"/>
      <c r="T21" s="90"/>
      <c r="U21" s="90"/>
      <c r="V21" s="90"/>
      <c r="W21" s="1"/>
      <c r="X21" s="1"/>
      <c r="Y21" s="1"/>
      <c r="Z21" s="1"/>
    </row>
    <row r="22" spans="1:26" ht="30.75" customHeight="1" x14ac:dyDescent="0.25">
      <c r="A22" s="40" t="s">
        <v>32</v>
      </c>
      <c r="B22" s="42" t="s">
        <v>33</v>
      </c>
      <c r="C22" s="40" t="s">
        <v>18</v>
      </c>
      <c r="D22" s="17"/>
      <c r="E22" s="17">
        <v>5.87</v>
      </c>
      <c r="F22" s="31">
        <v>0</v>
      </c>
      <c r="G22" s="17">
        <v>0</v>
      </c>
      <c r="H22" s="17">
        <f t="shared" si="1"/>
        <v>0</v>
      </c>
      <c r="I22" s="31"/>
      <c r="J22" s="55"/>
      <c r="K22" s="55"/>
      <c r="L22" s="55"/>
      <c r="M22" s="55"/>
      <c r="N22" s="63"/>
      <c r="O22" s="255"/>
      <c r="P22" s="255"/>
      <c r="Q22" s="255"/>
      <c r="R22" s="255"/>
      <c r="S22" s="255"/>
      <c r="T22" s="255"/>
      <c r="U22" s="255"/>
      <c r="V22" s="90"/>
      <c r="W22" s="1"/>
      <c r="X22" s="1"/>
      <c r="Y22" s="1"/>
      <c r="Z22" s="1"/>
    </row>
    <row r="23" spans="1:26" ht="30.7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5"/>
      <c r="K23" s="55"/>
      <c r="L23" s="55"/>
      <c r="M23" s="55"/>
      <c r="N23" s="63"/>
      <c r="O23" s="255"/>
      <c r="P23" s="255"/>
      <c r="Q23" s="255"/>
      <c r="R23" s="255"/>
      <c r="S23" s="255"/>
      <c r="T23" s="255"/>
      <c r="U23" s="255"/>
      <c r="V23" s="90"/>
      <c r="W23" s="1"/>
      <c r="X23" s="1"/>
      <c r="Y23" s="1"/>
      <c r="Z23" s="1"/>
    </row>
    <row r="24" spans="1:26" ht="30.75" customHeight="1" x14ac:dyDescent="0.25">
      <c r="A24" s="40"/>
      <c r="B24" s="27" t="s">
        <v>27</v>
      </c>
      <c r="C24" s="30" t="s">
        <v>21</v>
      </c>
      <c r="D24" s="31"/>
      <c r="E24" s="31"/>
      <c r="F24" s="31"/>
      <c r="G24" s="31"/>
      <c r="H24" s="17"/>
      <c r="I24" s="31"/>
      <c r="J24" s="55"/>
      <c r="K24" s="55"/>
      <c r="L24" s="55"/>
      <c r="M24" s="55"/>
      <c r="N24" s="63"/>
      <c r="O24" s="255"/>
      <c r="P24" s="255"/>
      <c r="Q24" s="255"/>
      <c r="R24" s="255"/>
      <c r="S24" s="255"/>
      <c r="T24" s="255"/>
      <c r="U24" s="255"/>
      <c r="V24" s="90"/>
      <c r="W24" s="1"/>
      <c r="X24" s="1"/>
      <c r="Y24" s="1"/>
      <c r="Z24" s="1"/>
    </row>
    <row r="25" spans="1:26" ht="30.75" customHeight="1" x14ac:dyDescent="0.25">
      <c r="A25" s="40" t="s">
        <v>32</v>
      </c>
      <c r="B25" s="42" t="s">
        <v>34</v>
      </c>
      <c r="C25" s="40" t="s">
        <v>18</v>
      </c>
      <c r="D25" s="17"/>
      <c r="E25" s="17"/>
      <c r="F25" s="31">
        <v>0</v>
      </c>
      <c r="G25" s="31"/>
      <c r="H25" s="17"/>
      <c r="I25" s="31"/>
      <c r="J25" s="55"/>
      <c r="K25" s="55"/>
      <c r="L25" s="55"/>
      <c r="M25" s="55"/>
      <c r="N25" s="55"/>
      <c r="O25" s="33"/>
      <c r="P25" s="33"/>
      <c r="Q25" s="256"/>
      <c r="R25" s="256"/>
      <c r="S25" s="256"/>
      <c r="T25" s="256"/>
      <c r="U25" s="256"/>
      <c r="V25" s="1"/>
      <c r="W25" s="1"/>
      <c r="X25" s="1"/>
      <c r="Y25" s="1"/>
      <c r="Z25" s="1"/>
    </row>
    <row r="26" spans="1:26" ht="30.7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17"/>
      <c r="I26" s="31"/>
      <c r="J26" s="55"/>
      <c r="K26" s="55"/>
      <c r="L26" s="55"/>
      <c r="M26" s="55"/>
      <c r="N26" s="55"/>
      <c r="O26" s="33"/>
      <c r="P26" s="33"/>
      <c r="Q26" s="256"/>
      <c r="R26" s="256"/>
      <c r="S26" s="256"/>
      <c r="T26" s="256"/>
      <c r="U26" s="256"/>
      <c r="V26" s="1"/>
      <c r="W26" s="1"/>
      <c r="X26" s="1"/>
      <c r="Y26" s="1"/>
      <c r="Z26" s="1"/>
    </row>
    <row r="27" spans="1:26" ht="30.75" customHeight="1" x14ac:dyDescent="0.25">
      <c r="A27" s="40"/>
      <c r="B27" s="27" t="s">
        <v>27</v>
      </c>
      <c r="C27" s="30" t="s">
        <v>21</v>
      </c>
      <c r="D27" s="31"/>
      <c r="E27" s="31"/>
      <c r="F27" s="31"/>
      <c r="G27" s="31"/>
      <c r="H27" s="17"/>
      <c r="I27" s="31"/>
      <c r="J27" s="55"/>
      <c r="K27" s="55"/>
      <c r="L27" s="55"/>
      <c r="M27" s="55"/>
      <c r="N27" s="55"/>
      <c r="O27" s="33"/>
      <c r="P27" s="33"/>
      <c r="Q27" s="256"/>
      <c r="R27" s="256"/>
      <c r="S27" s="256"/>
      <c r="T27" s="256"/>
      <c r="U27" s="256"/>
      <c r="V27" s="1"/>
      <c r="W27" s="1"/>
      <c r="X27" s="1"/>
      <c r="Y27" s="1"/>
      <c r="Z27" s="1"/>
    </row>
    <row r="28" spans="1:26" ht="30.7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2">D31+D34</f>
        <v>1</v>
      </c>
      <c r="E28" s="17">
        <f t="shared" si="12"/>
        <v>1</v>
      </c>
      <c r="F28" s="17">
        <f t="shared" si="12"/>
        <v>1</v>
      </c>
      <c r="G28" s="17">
        <f t="shared" si="12"/>
        <v>1</v>
      </c>
      <c r="H28" s="17">
        <f t="shared" ref="H28:H30" si="13">F28/E28*100</f>
        <v>100</v>
      </c>
      <c r="I28" s="17"/>
      <c r="J28" s="55"/>
      <c r="K28" s="55"/>
      <c r="L28" s="55"/>
      <c r="M28" s="55"/>
      <c r="N28" s="55"/>
      <c r="O28" s="33"/>
      <c r="P28" s="33"/>
      <c r="Q28" s="256"/>
      <c r="R28" s="256"/>
      <c r="S28" s="256"/>
      <c r="T28" s="256"/>
      <c r="U28" s="256"/>
      <c r="V28" s="1"/>
      <c r="W28" s="1"/>
      <c r="X28" s="1"/>
      <c r="Y28" s="1"/>
      <c r="Z28" s="1"/>
    </row>
    <row r="29" spans="1:26" ht="30.75" customHeight="1" x14ac:dyDescent="0.25">
      <c r="A29" s="15"/>
      <c r="B29" s="27" t="s">
        <v>25</v>
      </c>
      <c r="C29" s="30" t="s">
        <v>26</v>
      </c>
      <c r="D29" s="31">
        <f t="shared" ref="D29:G29" si="14">D35</f>
        <v>36.85</v>
      </c>
      <c r="E29" s="31">
        <f t="shared" si="14"/>
        <v>36.9</v>
      </c>
      <c r="F29" s="31">
        <f t="shared" si="14"/>
        <v>0</v>
      </c>
      <c r="G29" s="31">
        <f t="shared" si="14"/>
        <v>0</v>
      </c>
      <c r="H29" s="17">
        <f t="shared" si="13"/>
        <v>0</v>
      </c>
      <c r="I29" s="31"/>
      <c r="J29" s="55"/>
      <c r="K29" s="55"/>
      <c r="L29" s="55"/>
      <c r="M29" s="55"/>
      <c r="N29" s="55"/>
      <c r="O29" s="33"/>
      <c r="P29" s="33"/>
      <c r="Q29" s="256"/>
      <c r="R29" s="256"/>
      <c r="S29" s="256"/>
      <c r="T29" s="256"/>
      <c r="U29" s="256"/>
      <c r="V29" s="1"/>
      <c r="W29" s="1"/>
      <c r="X29" s="1"/>
      <c r="Y29" s="1"/>
      <c r="Z29" s="1"/>
    </row>
    <row r="30" spans="1:26" ht="30.75" customHeight="1" x14ac:dyDescent="0.25">
      <c r="A30" s="15"/>
      <c r="B30" s="27" t="s">
        <v>27</v>
      </c>
      <c r="C30" s="30" t="s">
        <v>21</v>
      </c>
      <c r="D30" s="31">
        <f t="shared" ref="D30:G30" si="15">D28*D29/10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17">
        <f t="shared" si="13"/>
        <v>0</v>
      </c>
      <c r="I30" s="31"/>
      <c r="J30" s="55"/>
      <c r="K30" s="55"/>
      <c r="L30" s="55"/>
      <c r="M30" s="55"/>
      <c r="N30" s="55"/>
      <c r="O30" s="33"/>
      <c r="P30" s="33"/>
      <c r="Q30" s="256"/>
      <c r="R30" s="256"/>
      <c r="S30" s="256"/>
      <c r="T30" s="256"/>
      <c r="U30" s="256"/>
      <c r="V30" s="1"/>
      <c r="W30" s="1"/>
      <c r="X30" s="1"/>
      <c r="Y30" s="1"/>
      <c r="Z30" s="1"/>
    </row>
    <row r="31" spans="1:26" ht="30.7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17"/>
      <c r="I31" s="17"/>
      <c r="J31" s="55"/>
      <c r="K31" s="74"/>
      <c r="L31" s="280"/>
      <c r="M31" s="280"/>
      <c r="N31" s="280"/>
      <c r="O31" s="280"/>
      <c r="P31" s="33"/>
      <c r="Q31" s="256"/>
      <c r="R31" s="256"/>
      <c r="S31" s="256"/>
      <c r="T31" s="256"/>
      <c r="U31" s="256"/>
      <c r="V31" s="1"/>
      <c r="W31" s="1"/>
      <c r="X31" s="1"/>
      <c r="Y31" s="1"/>
      <c r="Z31" s="1"/>
    </row>
    <row r="32" spans="1:26" ht="30.7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55"/>
      <c r="K32" s="74"/>
      <c r="L32" s="280"/>
      <c r="M32" s="280"/>
      <c r="N32" s="280"/>
      <c r="O32" s="280"/>
      <c r="P32" s="33"/>
      <c r="Q32" s="256"/>
      <c r="R32" s="256"/>
      <c r="S32" s="256"/>
      <c r="T32" s="256"/>
      <c r="U32" s="256"/>
      <c r="V32" s="1"/>
      <c r="W32" s="1"/>
      <c r="X32" s="1"/>
      <c r="Y32" s="1"/>
      <c r="Z32" s="1"/>
    </row>
    <row r="33" spans="1:26" ht="30.7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55"/>
      <c r="K33" s="74"/>
      <c r="L33" s="280"/>
      <c r="M33" s="280"/>
      <c r="N33" s="280"/>
      <c r="O33" s="280"/>
      <c r="P33" s="33"/>
      <c r="Q33" s="256"/>
      <c r="R33" s="256"/>
      <c r="S33" s="256"/>
      <c r="T33" s="256"/>
      <c r="U33" s="256"/>
      <c r="V33" s="1"/>
      <c r="W33" s="1"/>
      <c r="X33" s="1"/>
      <c r="Y33" s="1"/>
      <c r="Z33" s="1"/>
    </row>
    <row r="34" spans="1:26" ht="30.7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17">
        <f t="shared" ref="H34:H50" si="16">F34/E34*100</f>
        <v>100</v>
      </c>
      <c r="I34" s="104"/>
      <c r="J34" s="257"/>
      <c r="K34" s="46"/>
      <c r="L34" s="46"/>
      <c r="M34" s="46"/>
      <c r="N34" s="46"/>
      <c r="O34" s="46"/>
      <c r="P34" s="256"/>
      <c r="Q34" s="256"/>
      <c r="R34" s="256"/>
      <c r="S34" s="256"/>
      <c r="T34" s="256"/>
      <c r="U34" s="256"/>
      <c r="V34" s="1"/>
      <c r="W34" s="1"/>
      <c r="X34" s="1"/>
      <c r="Y34" s="1"/>
      <c r="Z34" s="1"/>
    </row>
    <row r="35" spans="1:26" ht="30.7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6"/>
        <v>0</v>
      </c>
      <c r="I35" s="31"/>
      <c r="J35" s="257"/>
      <c r="K35" s="46"/>
      <c r="L35" s="289"/>
      <c r="M35" s="289"/>
      <c r="N35" s="289"/>
      <c r="O35" s="289"/>
      <c r="P35" s="296"/>
      <c r="Q35" s="296"/>
      <c r="R35" s="296"/>
      <c r="S35" s="296"/>
      <c r="T35" s="296"/>
      <c r="U35" s="296"/>
      <c r="V35" s="286"/>
      <c r="W35" s="286"/>
      <c r="X35" s="286"/>
      <c r="Y35" s="286"/>
      <c r="Z35" s="286"/>
    </row>
    <row r="36" spans="1:26" ht="30.7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17">
        <f t="shared" si="16"/>
        <v>0</v>
      </c>
      <c r="I36" s="31"/>
      <c r="J36" s="257"/>
      <c r="K36" s="46"/>
      <c r="L36" s="289"/>
      <c r="M36" s="289"/>
      <c r="N36" s="289"/>
      <c r="O36" s="289"/>
      <c r="P36" s="296"/>
      <c r="Q36" s="296"/>
      <c r="R36" s="296"/>
      <c r="S36" s="296"/>
      <c r="T36" s="296"/>
      <c r="U36" s="296"/>
      <c r="V36" s="286"/>
      <c r="W36" s="286"/>
      <c r="X36" s="286"/>
      <c r="Y36" s="286"/>
      <c r="Z36" s="286"/>
    </row>
    <row r="37" spans="1:26" ht="30.75" customHeight="1" x14ac:dyDescent="0.25">
      <c r="A37" s="15">
        <v>2</v>
      </c>
      <c r="B37" s="16" t="s">
        <v>39</v>
      </c>
      <c r="C37" s="15" t="s">
        <v>18</v>
      </c>
      <c r="D37" s="17">
        <v>16</v>
      </c>
      <c r="E37" s="17">
        <v>21.14</v>
      </c>
      <c r="F37" s="17">
        <v>21.14</v>
      </c>
      <c r="G37" s="17">
        <v>21.14</v>
      </c>
      <c r="H37" s="17">
        <f t="shared" si="16"/>
        <v>100</v>
      </c>
      <c r="I37" s="31"/>
      <c r="J37" s="55"/>
      <c r="K37" s="297"/>
      <c r="L37" s="297"/>
      <c r="M37" s="297"/>
      <c r="N37" s="297"/>
      <c r="O37" s="6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"/>
    </row>
    <row r="38" spans="1:26" ht="30.7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6"/>
        <v>0</v>
      </c>
      <c r="I38" s="31"/>
      <c r="J38" s="55"/>
      <c r="K38" s="63"/>
      <c r="L38" s="293"/>
      <c r="M38" s="293"/>
      <c r="N38" s="293"/>
      <c r="O38" s="293"/>
      <c r="P38" s="298"/>
      <c r="Q38" s="298"/>
      <c r="R38" s="298"/>
      <c r="S38" s="298"/>
      <c r="T38" s="298"/>
      <c r="U38" s="298"/>
      <c r="V38" s="298"/>
      <c r="W38" s="298"/>
      <c r="X38" s="298"/>
      <c r="Y38" s="298"/>
      <c r="Z38" s="286"/>
    </row>
    <row r="39" spans="1:26" ht="30.75" customHeight="1" x14ac:dyDescent="0.25">
      <c r="A39" s="15"/>
      <c r="B39" s="27" t="s">
        <v>27</v>
      </c>
      <c r="C39" s="30" t="s">
        <v>21</v>
      </c>
      <c r="D39" s="31">
        <f t="shared" ref="D39:G39" si="18">D37*D38/10</f>
        <v>220</v>
      </c>
      <c r="E39" s="31">
        <f t="shared" si="18"/>
        <v>295.95999999999998</v>
      </c>
      <c r="F39" s="31">
        <f t="shared" si="18"/>
        <v>0</v>
      </c>
      <c r="G39" s="31">
        <f t="shared" si="18"/>
        <v>0</v>
      </c>
      <c r="H39" s="17">
        <f t="shared" si="16"/>
        <v>0</v>
      </c>
      <c r="I39" s="31"/>
      <c r="J39" s="55"/>
      <c r="K39" s="63"/>
      <c r="L39" s="293"/>
      <c r="M39" s="293"/>
      <c r="N39" s="293"/>
      <c r="O39" s="293"/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286"/>
    </row>
    <row r="40" spans="1:26" ht="30.7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0.5</v>
      </c>
      <c r="F40" s="17">
        <v>0</v>
      </c>
      <c r="G40" s="17">
        <v>0</v>
      </c>
      <c r="H40" s="17">
        <f t="shared" si="16"/>
        <v>0</v>
      </c>
      <c r="I40" s="31"/>
      <c r="J40" s="55"/>
      <c r="K40" s="63"/>
      <c r="L40" s="293"/>
      <c r="M40" s="293"/>
      <c r="N40" s="293"/>
      <c r="O40" s="293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86"/>
    </row>
    <row r="41" spans="1:26" ht="30.7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31"/>
      <c r="G41" s="31"/>
      <c r="H41" s="17">
        <f t="shared" si="16"/>
        <v>0</v>
      </c>
      <c r="I41" s="31"/>
      <c r="J41" s="55"/>
      <c r="K41" s="63"/>
      <c r="L41" s="293"/>
      <c r="M41" s="293"/>
      <c r="N41" s="293"/>
      <c r="O41" s="293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286"/>
    </row>
    <row r="42" spans="1:26" ht="30.7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19">E40*E41/10</f>
        <v>1.2050000000000001</v>
      </c>
      <c r="F42" s="31">
        <f t="shared" si="19"/>
        <v>0</v>
      </c>
      <c r="G42" s="31">
        <f t="shared" si="19"/>
        <v>0</v>
      </c>
      <c r="H42" s="17">
        <f t="shared" si="16"/>
        <v>0</v>
      </c>
      <c r="I42" s="31"/>
      <c r="J42" s="55"/>
      <c r="K42" s="63"/>
      <c r="L42" s="293"/>
      <c r="M42" s="293"/>
      <c r="N42" s="293"/>
      <c r="O42" s="293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86"/>
    </row>
    <row r="43" spans="1:26" ht="30.7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6"/>
        <v>54</v>
      </c>
      <c r="I43" s="17"/>
      <c r="J43" s="137"/>
      <c r="K43" s="53"/>
      <c r="L43" s="282"/>
      <c r="M43" s="282"/>
      <c r="N43" s="282"/>
      <c r="O43" s="28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6"/>
        <v>0</v>
      </c>
      <c r="I44" s="31"/>
      <c r="J44" s="137"/>
      <c r="K44" s="238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.75" customHeight="1" x14ac:dyDescent="0.25">
      <c r="A45" s="30"/>
      <c r="B45" s="49" t="s">
        <v>27</v>
      </c>
      <c r="C45" s="50" t="s">
        <v>21</v>
      </c>
      <c r="D45" s="31">
        <f t="shared" ref="D45:G45" si="20">D43*D44/10</f>
        <v>5</v>
      </c>
      <c r="E45" s="31">
        <f t="shared" si="20"/>
        <v>4.9249999999999998</v>
      </c>
      <c r="F45" s="31">
        <f t="shared" si="20"/>
        <v>0</v>
      </c>
      <c r="G45" s="31">
        <f t="shared" si="20"/>
        <v>0</v>
      </c>
      <c r="H45" s="17">
        <f t="shared" si="16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.7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1">D47+D55+D64</f>
        <v>17.04</v>
      </c>
      <c r="E46" s="17">
        <f t="shared" si="21"/>
        <v>25.84</v>
      </c>
      <c r="F46" s="17">
        <f t="shared" si="21"/>
        <v>17.54</v>
      </c>
      <c r="G46" s="17">
        <f t="shared" si="21"/>
        <v>17.34</v>
      </c>
      <c r="H46" s="17">
        <f t="shared" si="16"/>
        <v>67.879256965944265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.7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2">D48+D49</f>
        <v>12.54</v>
      </c>
      <c r="E47" s="17">
        <f t="shared" si="22"/>
        <v>20.54</v>
      </c>
      <c r="F47" s="17">
        <f t="shared" si="22"/>
        <v>12.739999999999998</v>
      </c>
      <c r="G47" s="17">
        <f t="shared" si="22"/>
        <v>12.54</v>
      </c>
      <c r="H47" s="17">
        <f t="shared" si="16"/>
        <v>62.025316455696199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customHeight="1" x14ac:dyDescent="0.25">
      <c r="A48" s="59" t="s">
        <v>32</v>
      </c>
      <c r="B48" s="60" t="s">
        <v>45</v>
      </c>
      <c r="C48" s="61" t="s">
        <v>18</v>
      </c>
      <c r="D48" s="31">
        <v>5.7</v>
      </c>
      <c r="E48" s="31">
        <f>D48+D49</f>
        <v>12.54</v>
      </c>
      <c r="F48" s="31">
        <v>12.54</v>
      </c>
      <c r="G48" s="31">
        <v>12.54</v>
      </c>
      <c r="H48" s="31">
        <f t="shared" si="16"/>
        <v>100</v>
      </c>
      <c r="I48" s="31"/>
      <c r="J48" s="55"/>
      <c r="K48" s="55"/>
      <c r="L48" s="55"/>
      <c r="M48" s="55"/>
      <c r="N48" s="55"/>
      <c r="O48" s="33"/>
      <c r="P48" s="33"/>
      <c r="Q48" s="33"/>
      <c r="R48" s="1"/>
      <c r="S48" s="1"/>
      <c r="T48" s="1"/>
      <c r="U48" s="1"/>
      <c r="V48" s="1"/>
      <c r="W48" s="1"/>
      <c r="X48" s="1"/>
      <c r="Y48" s="1"/>
      <c r="Z48" s="1"/>
    </row>
    <row r="49" spans="1:26" ht="30.7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3">D50+D51</f>
        <v>6.84</v>
      </c>
      <c r="E49" s="17">
        <f t="shared" si="23"/>
        <v>8</v>
      </c>
      <c r="F49" s="17">
        <f t="shared" si="23"/>
        <v>0.2</v>
      </c>
      <c r="G49" s="17">
        <f t="shared" si="23"/>
        <v>0</v>
      </c>
      <c r="H49" s="17">
        <f t="shared" si="16"/>
        <v>2.5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0.75" customHeight="1" x14ac:dyDescent="0.25">
      <c r="A50" s="61" t="s">
        <v>47</v>
      </c>
      <c r="B50" s="66" t="s">
        <v>269</v>
      </c>
      <c r="C50" s="61" t="s">
        <v>18</v>
      </c>
      <c r="D50" s="31">
        <v>6.84</v>
      </c>
      <c r="E50" s="31">
        <v>8</v>
      </c>
      <c r="F50" s="31">
        <v>0.2</v>
      </c>
      <c r="G50" s="31">
        <v>0</v>
      </c>
      <c r="H50" s="17">
        <f t="shared" si="16"/>
        <v>2.5</v>
      </c>
      <c r="I50" s="31"/>
      <c r="J50" s="35"/>
      <c r="K50" s="137"/>
      <c r="L50" s="137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.75" customHeight="1" x14ac:dyDescent="0.25">
      <c r="A51" s="61" t="s">
        <v>47</v>
      </c>
      <c r="B51" s="66" t="s">
        <v>49</v>
      </c>
      <c r="C51" s="30" t="s">
        <v>18</v>
      </c>
      <c r="D51" s="31"/>
      <c r="E51" s="31"/>
      <c r="F51" s="31"/>
      <c r="G51" s="31"/>
      <c r="H51" s="17"/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4">D53+D54</f>
        <v>5.71</v>
      </c>
      <c r="E52" s="17">
        <f t="shared" si="24"/>
        <v>4.8449999999999998</v>
      </c>
      <c r="F52" s="17">
        <f t="shared" si="24"/>
        <v>4.84</v>
      </c>
      <c r="G52" s="17">
        <f t="shared" si="24"/>
        <v>4.84</v>
      </c>
      <c r="H52" s="17">
        <f t="shared" ref="H52:H53" si="25">F52/E52*100</f>
        <v>99.896800825593402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0.75" customHeight="1" x14ac:dyDescent="0.25">
      <c r="A53" s="71" t="s">
        <v>47</v>
      </c>
      <c r="B53" s="66" t="s">
        <v>51</v>
      </c>
      <c r="C53" s="30" t="s">
        <v>18</v>
      </c>
      <c r="D53" s="31">
        <v>3.71</v>
      </c>
      <c r="E53" s="31">
        <f>D48*85%</f>
        <v>4.8449999999999998</v>
      </c>
      <c r="F53" s="31">
        <v>4.84</v>
      </c>
      <c r="G53" s="31">
        <v>4.84</v>
      </c>
      <c r="H53" s="31">
        <f t="shared" si="25"/>
        <v>99.896800825593402</v>
      </c>
      <c r="I53" s="31"/>
      <c r="J53" s="137"/>
      <c r="K53" s="137"/>
      <c r="L53" s="137"/>
      <c r="M53" s="238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.75" customHeight="1" x14ac:dyDescent="0.25">
      <c r="A54" s="30"/>
      <c r="B54" s="66" t="s">
        <v>52</v>
      </c>
      <c r="C54" s="30" t="s">
        <v>18</v>
      </c>
      <c r="D54" s="31">
        <v>2</v>
      </c>
      <c r="E54" s="31"/>
      <c r="F54" s="31"/>
      <c r="G54" s="31"/>
      <c r="H54" s="17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6">D56+D57</f>
        <v>4.5</v>
      </c>
      <c r="E55" s="17">
        <f t="shared" si="26"/>
        <v>5.3</v>
      </c>
      <c r="F55" s="17">
        <f t="shared" si="26"/>
        <v>4.8</v>
      </c>
      <c r="G55" s="17">
        <f t="shared" si="26"/>
        <v>4.8</v>
      </c>
      <c r="H55" s="17">
        <f t="shared" ref="H55:H63" si="27">F55/E55*100</f>
        <v>90.566037735849065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customHeight="1" x14ac:dyDescent="0.25">
      <c r="A56" s="30" t="s">
        <v>32</v>
      </c>
      <c r="B56" s="60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31">
        <f t="shared" si="27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.7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8">D58+D61</f>
        <v>0</v>
      </c>
      <c r="E57" s="31">
        <f t="shared" si="28"/>
        <v>0.5</v>
      </c>
      <c r="F57" s="31">
        <f t="shared" si="28"/>
        <v>0</v>
      </c>
      <c r="G57" s="31">
        <f t="shared" si="28"/>
        <v>0</v>
      </c>
      <c r="H57" s="17">
        <f t="shared" si="27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.7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29">D59+D60</f>
        <v>0</v>
      </c>
      <c r="E58" s="76">
        <f t="shared" si="29"/>
        <v>0.30000000000000004</v>
      </c>
      <c r="F58" s="76">
        <f t="shared" si="29"/>
        <v>0</v>
      </c>
      <c r="G58" s="76">
        <f t="shared" si="29"/>
        <v>0</v>
      </c>
      <c r="H58" s="17">
        <f t="shared" si="27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0.7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27"/>
        <v>0</v>
      </c>
      <c r="I59" s="31"/>
      <c r="J59" s="238"/>
      <c r="K59" s="240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.7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7">
        <f t="shared" si="27"/>
        <v>0</v>
      </c>
      <c r="I60" s="31"/>
      <c r="J60" s="238"/>
      <c r="K60" s="240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0">D62+D63</f>
        <v>0</v>
      </c>
      <c r="E61" s="76">
        <f t="shared" si="30"/>
        <v>0.2</v>
      </c>
      <c r="F61" s="76">
        <f t="shared" si="30"/>
        <v>0</v>
      </c>
      <c r="G61" s="76">
        <f t="shared" si="30"/>
        <v>0</v>
      </c>
      <c r="H61" s="17">
        <f t="shared" si="27"/>
        <v>0</v>
      </c>
      <c r="I61" s="76"/>
      <c r="J61" s="238"/>
      <c r="K61" s="106"/>
      <c r="L61" s="241"/>
      <c r="M61" s="241"/>
      <c r="N61" s="24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0.7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0.1</v>
      </c>
      <c r="F62" s="31">
        <v>0</v>
      </c>
      <c r="G62" s="31">
        <v>0</v>
      </c>
      <c r="H62" s="17">
        <f t="shared" si="27"/>
        <v>0</v>
      </c>
      <c r="I62" s="31"/>
      <c r="J62" s="238"/>
      <c r="K62" s="240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7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7"/>
        <v>0</v>
      </c>
      <c r="I63" s="31"/>
      <c r="J63" s="238"/>
      <c r="K63" s="240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.7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F64" si="31">D65+D66</f>
        <v>0</v>
      </c>
      <c r="E64" s="17">
        <f t="shared" si="31"/>
        <v>0</v>
      </c>
      <c r="F64" s="17">
        <f t="shared" si="31"/>
        <v>0</v>
      </c>
      <c r="G64" s="17"/>
      <c r="H64" s="17"/>
      <c r="I64" s="17"/>
      <c r="J64" s="238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.75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17"/>
      <c r="I65" s="31"/>
      <c r="J65" s="238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.7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2">D68+D71</f>
        <v>12.479999999999999</v>
      </c>
      <c r="E67" s="17">
        <f t="shared" si="32"/>
        <v>9.81</v>
      </c>
      <c r="F67" s="17">
        <f t="shared" si="32"/>
        <v>9.68</v>
      </c>
      <c r="G67" s="17">
        <f t="shared" si="32"/>
        <v>9.68</v>
      </c>
      <c r="H67" s="17">
        <f>F67/E67*100</f>
        <v>98.674821610601413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.7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F68" si="33">D69+D70</f>
        <v>0</v>
      </c>
      <c r="E68" s="17">
        <f t="shared" si="33"/>
        <v>0</v>
      </c>
      <c r="F68" s="17">
        <f t="shared" si="33"/>
        <v>0</v>
      </c>
      <c r="G68" s="17"/>
      <c r="H68" s="17"/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.75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17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.75" customHeight="1" x14ac:dyDescent="0.25">
      <c r="A70" s="30" t="s">
        <v>47</v>
      </c>
      <c r="B70" s="60" t="s">
        <v>70</v>
      </c>
      <c r="C70" s="30" t="s">
        <v>18</v>
      </c>
      <c r="D70" s="31"/>
      <c r="E70" s="31"/>
      <c r="F70" s="31"/>
      <c r="G70" s="31"/>
      <c r="H70" s="17"/>
      <c r="I70" s="31"/>
      <c r="J70" s="137"/>
      <c r="K70" s="137"/>
      <c r="L70" s="137"/>
      <c r="M70" s="137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.7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4">D72+D73</f>
        <v>12.479999999999999</v>
      </c>
      <c r="E71" s="17">
        <f t="shared" si="34"/>
        <v>9.81</v>
      </c>
      <c r="F71" s="17">
        <f t="shared" si="34"/>
        <v>9.68</v>
      </c>
      <c r="G71" s="17">
        <f t="shared" si="34"/>
        <v>9.68</v>
      </c>
      <c r="H71" s="17">
        <f t="shared" ref="H71:H75" si="35">F71/E71*100</f>
        <v>98.674821610601413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.7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6">D75+D82</f>
        <v>11.54</v>
      </c>
      <c r="E72" s="91">
        <f t="shared" si="36"/>
        <v>9.68</v>
      </c>
      <c r="F72" s="91">
        <f t="shared" si="36"/>
        <v>9.68</v>
      </c>
      <c r="G72" s="91">
        <f t="shared" si="36"/>
        <v>9.68</v>
      </c>
      <c r="H72" s="17">
        <f t="shared" si="35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7">D76+D83</f>
        <v>0.94</v>
      </c>
      <c r="E73" s="17">
        <f t="shared" si="37"/>
        <v>0.13</v>
      </c>
      <c r="F73" s="17">
        <f t="shared" si="37"/>
        <v>0</v>
      </c>
      <c r="G73" s="17">
        <f t="shared" si="37"/>
        <v>0</v>
      </c>
      <c r="H73" s="17">
        <f t="shared" si="35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38">D75+D76</f>
        <v>9.18</v>
      </c>
      <c r="E74" s="96">
        <f t="shared" si="38"/>
        <v>9.18</v>
      </c>
      <c r="F74" s="96">
        <f t="shared" si="38"/>
        <v>9.18</v>
      </c>
      <c r="G74" s="96">
        <f t="shared" si="38"/>
        <v>9.18</v>
      </c>
      <c r="H74" s="17">
        <f t="shared" si="35"/>
        <v>100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 x14ac:dyDescent="0.25">
      <c r="A75" s="59" t="s">
        <v>32</v>
      </c>
      <c r="B75" s="98" t="s">
        <v>45</v>
      </c>
      <c r="C75" s="30" t="s">
        <v>18</v>
      </c>
      <c r="D75" s="62">
        <f>7.74+1</f>
        <v>8.74</v>
      </c>
      <c r="E75" s="62">
        <f>D75+D76</f>
        <v>9.18</v>
      </c>
      <c r="F75" s="31">
        <v>9.18</v>
      </c>
      <c r="G75" s="31">
        <v>9.18</v>
      </c>
      <c r="H75" s="31">
        <f t="shared" si="35"/>
        <v>100</v>
      </c>
      <c r="I75" s="31"/>
      <c r="J75" s="137"/>
      <c r="K75" s="137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39">SUM(D77:D80)</f>
        <v>0.44</v>
      </c>
      <c r="E76" s="244">
        <f t="shared" si="39"/>
        <v>0</v>
      </c>
      <c r="F76" s="244">
        <f t="shared" si="39"/>
        <v>0</v>
      </c>
      <c r="G76" s="244">
        <f t="shared" si="39"/>
        <v>0</v>
      </c>
      <c r="H76" s="17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0.75" customHeight="1" x14ac:dyDescent="0.25">
      <c r="A77" s="48" t="s">
        <v>47</v>
      </c>
      <c r="B77" s="101" t="s">
        <v>80</v>
      </c>
      <c r="C77" s="48" t="s">
        <v>18</v>
      </c>
      <c r="D77" s="31"/>
      <c r="E77" s="31"/>
      <c r="F77" s="31"/>
      <c r="G77" s="31"/>
      <c r="H77" s="17"/>
      <c r="I77" s="31"/>
      <c r="J77" s="241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31"/>
      <c r="H78" s="17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0.75" customHeight="1" x14ac:dyDescent="0.25">
      <c r="A79" s="48" t="s">
        <v>47</v>
      </c>
      <c r="B79" s="101" t="s">
        <v>82</v>
      </c>
      <c r="C79" s="48" t="s">
        <v>18</v>
      </c>
      <c r="D79" s="31">
        <v>0.44</v>
      </c>
      <c r="E79" s="31"/>
      <c r="F79" s="31"/>
      <c r="G79" s="31"/>
      <c r="H79" s="17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 x14ac:dyDescent="0.25">
      <c r="A80" s="48" t="s">
        <v>47</v>
      </c>
      <c r="B80" s="247" t="s">
        <v>83</v>
      </c>
      <c r="C80" s="48" t="s">
        <v>18</v>
      </c>
      <c r="D80" s="31"/>
      <c r="E80" s="31"/>
      <c r="F80" s="31"/>
      <c r="G80" s="31"/>
      <c r="H80" s="17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0">D82+D83</f>
        <v>3.3</v>
      </c>
      <c r="E81" s="96">
        <f t="shared" si="40"/>
        <v>0.63</v>
      </c>
      <c r="F81" s="96">
        <f t="shared" si="40"/>
        <v>0.5</v>
      </c>
      <c r="G81" s="96">
        <f t="shared" si="40"/>
        <v>0.5</v>
      </c>
      <c r="H81" s="17">
        <f t="shared" ref="H81:H83" si="41">F81/E81*100</f>
        <v>79.365079365079367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0.75" customHeight="1" x14ac:dyDescent="0.25">
      <c r="A82" s="117" t="s">
        <v>47</v>
      </c>
      <c r="B82" s="101" t="s">
        <v>85</v>
      </c>
      <c r="C82" s="48" t="s">
        <v>18</v>
      </c>
      <c r="D82" s="76">
        <v>2.8</v>
      </c>
      <c r="E82" s="76">
        <v>0.5</v>
      </c>
      <c r="F82" s="76">
        <v>0.5</v>
      </c>
      <c r="G82" s="76">
        <v>0.5</v>
      </c>
      <c r="H82" s="76">
        <f t="shared" si="41"/>
        <v>100</v>
      </c>
      <c r="I82" s="76"/>
      <c r="J82" s="241"/>
      <c r="K82" s="245"/>
      <c r="L82" s="24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0.7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2">SUM(D84:D87)</f>
        <v>0.5</v>
      </c>
      <c r="E83" s="62">
        <f t="shared" si="42"/>
        <v>0.13</v>
      </c>
      <c r="F83" s="62">
        <f t="shared" si="42"/>
        <v>0</v>
      </c>
      <c r="G83" s="62">
        <f t="shared" si="42"/>
        <v>0</v>
      </c>
      <c r="H83" s="17">
        <f t="shared" si="41"/>
        <v>0</v>
      </c>
      <c r="I83" s="62"/>
      <c r="J83" s="241"/>
      <c r="K83" s="241"/>
      <c r="L83" s="106"/>
      <c r="M83" s="106"/>
      <c r="N83" s="106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0.7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31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.7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31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.7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31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0.75" customHeight="1" x14ac:dyDescent="0.25">
      <c r="A87" s="117" t="s">
        <v>47</v>
      </c>
      <c r="B87" s="101" t="s">
        <v>89</v>
      </c>
      <c r="C87" s="48" t="s">
        <v>18</v>
      </c>
      <c r="D87" s="31">
        <v>0.5</v>
      </c>
      <c r="E87" s="31">
        <v>0.13</v>
      </c>
      <c r="F87" s="31">
        <v>0</v>
      </c>
      <c r="G87" s="31">
        <v>0</v>
      </c>
      <c r="H87" s="17">
        <f t="shared" ref="H87:H91" si="43">F87/E87*100</f>
        <v>0</v>
      </c>
      <c r="I87" s="31"/>
      <c r="J87" s="106"/>
      <c r="K87" s="106"/>
      <c r="L87" s="106"/>
      <c r="M87" s="299"/>
      <c r="N87" s="299"/>
      <c r="O87" s="33"/>
      <c r="P87" s="33"/>
      <c r="Q87" s="33"/>
      <c r="R87" s="256"/>
      <c r="S87" s="256"/>
      <c r="T87" s="1"/>
      <c r="U87" s="1"/>
      <c r="V87" s="1"/>
      <c r="W87" s="1"/>
      <c r="X87" s="1"/>
      <c r="Y87" s="1"/>
      <c r="Z87" s="1"/>
    </row>
    <row r="88" spans="1:26" ht="30.75" customHeight="1" x14ac:dyDescent="0.25">
      <c r="A88" s="15" t="s">
        <v>90</v>
      </c>
      <c r="B88" s="24" t="s">
        <v>91</v>
      </c>
      <c r="C88" s="15"/>
      <c r="D88" s="17">
        <f t="shared" ref="D88:G88" si="44">SUM(D89:D93)</f>
        <v>344</v>
      </c>
      <c r="E88" s="17">
        <f t="shared" si="44"/>
        <v>328</v>
      </c>
      <c r="F88" s="17">
        <f t="shared" si="44"/>
        <v>275</v>
      </c>
      <c r="G88" s="17">
        <f t="shared" si="44"/>
        <v>275</v>
      </c>
      <c r="H88" s="17">
        <f t="shared" si="43"/>
        <v>83.841463414634148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.75" customHeight="1" x14ac:dyDescent="0.25">
      <c r="A89" s="30">
        <v>1</v>
      </c>
      <c r="B89" s="27" t="s">
        <v>92</v>
      </c>
      <c r="C89" s="30" t="s">
        <v>93</v>
      </c>
      <c r="D89" s="31">
        <f>29+5</f>
        <v>34</v>
      </c>
      <c r="E89" s="31">
        <f>30+16</f>
        <v>46</v>
      </c>
      <c r="F89" s="31">
        <v>44</v>
      </c>
      <c r="G89" s="31">
        <f t="shared" ref="G89:G91" si="45">F89</f>
        <v>44</v>
      </c>
      <c r="H89" s="31">
        <f t="shared" si="43"/>
        <v>95.652173913043484</v>
      </c>
      <c r="I89" s="31"/>
      <c r="J89" s="57"/>
      <c r="K89" s="279"/>
      <c r="L89" s="274"/>
      <c r="M89" s="275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0.75" customHeight="1" x14ac:dyDescent="0.25">
      <c r="A90" s="30">
        <v>2</v>
      </c>
      <c r="B90" s="27" t="s">
        <v>94</v>
      </c>
      <c r="C90" s="30" t="s">
        <v>93</v>
      </c>
      <c r="D90" s="31">
        <f>49+5</f>
        <v>54</v>
      </c>
      <c r="E90" s="31">
        <f>50+8</f>
        <v>58</v>
      </c>
      <c r="F90" s="31">
        <v>56</v>
      </c>
      <c r="G90" s="31">
        <f t="shared" si="45"/>
        <v>56</v>
      </c>
      <c r="H90" s="31">
        <f t="shared" si="43"/>
        <v>96.551724137931032</v>
      </c>
      <c r="I90" s="31"/>
      <c r="J90" s="57"/>
      <c r="K90" s="279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0.75" customHeight="1" x14ac:dyDescent="0.25">
      <c r="A91" s="30">
        <v>3</v>
      </c>
      <c r="B91" s="27" t="s">
        <v>97</v>
      </c>
      <c r="C91" s="30" t="s">
        <v>93</v>
      </c>
      <c r="D91" s="31">
        <f>33-5</f>
        <v>28</v>
      </c>
      <c r="E91" s="31">
        <f>29+9</f>
        <v>38</v>
      </c>
      <c r="F91" s="31">
        <v>32</v>
      </c>
      <c r="G91" s="31">
        <f t="shared" si="45"/>
        <v>32</v>
      </c>
      <c r="H91" s="31">
        <f t="shared" si="43"/>
        <v>84.210526315789465</v>
      </c>
      <c r="I91" s="31"/>
      <c r="J91" s="57"/>
      <c r="K91" s="84"/>
      <c r="L91" s="274"/>
      <c r="M91" s="275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0.75" customHeight="1" x14ac:dyDescent="0.25">
      <c r="A92" s="30">
        <v>4</v>
      </c>
      <c r="B92" s="27" t="s">
        <v>99</v>
      </c>
      <c r="C92" s="30" t="s">
        <v>93</v>
      </c>
      <c r="D92" s="31"/>
      <c r="E92" s="31"/>
      <c r="F92" s="31"/>
      <c r="G92" s="31"/>
      <c r="H92" s="17"/>
      <c r="I92" s="31"/>
      <c r="J92" s="28"/>
      <c r="K92" s="28"/>
      <c r="L92" s="277"/>
      <c r="M92" s="275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.75" customHeight="1" x14ac:dyDescent="0.25">
      <c r="A93" s="30">
        <v>5</v>
      </c>
      <c r="B93" s="27" t="s">
        <v>100</v>
      </c>
      <c r="C93" s="30" t="s">
        <v>93</v>
      </c>
      <c r="D93" s="31">
        <f>213+15</f>
        <v>228</v>
      </c>
      <c r="E93" s="31">
        <f>206-20</f>
        <v>186</v>
      </c>
      <c r="F93" s="31">
        <v>143</v>
      </c>
      <c r="G93" s="31">
        <f>F93</f>
        <v>143</v>
      </c>
      <c r="H93" s="31">
        <f>F93/E93*100</f>
        <v>76.881720430107521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0.7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6">D95</f>
        <v>0</v>
      </c>
      <c r="E94" s="17">
        <f t="shared" si="46"/>
        <v>0</v>
      </c>
      <c r="F94" s="17">
        <f t="shared" si="46"/>
        <v>0</v>
      </c>
      <c r="G94" s="17">
        <f t="shared" si="46"/>
        <v>0</v>
      </c>
      <c r="H94" s="17"/>
      <c r="I94" s="17"/>
      <c r="J94" s="19"/>
      <c r="K94" s="70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0.75" customHeight="1" x14ac:dyDescent="0.25">
      <c r="A95" s="48" t="s">
        <v>47</v>
      </c>
      <c r="B95" s="81" t="s">
        <v>103</v>
      </c>
      <c r="C95" s="48" t="s">
        <v>18</v>
      </c>
      <c r="D95" s="31"/>
      <c r="E95" s="31"/>
      <c r="F95" s="31"/>
      <c r="G95" s="31"/>
      <c r="H95" s="17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.7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7">D97+D98</f>
        <v>2.8</v>
      </c>
      <c r="E96" s="17">
        <f t="shared" si="47"/>
        <v>2.75</v>
      </c>
      <c r="F96" s="17">
        <f t="shared" si="47"/>
        <v>0</v>
      </c>
      <c r="G96" s="17">
        <f t="shared" si="47"/>
        <v>0</v>
      </c>
      <c r="H96" s="17">
        <f t="shared" ref="H96:H98" si="48"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.75" customHeight="1" x14ac:dyDescent="0.25">
      <c r="A97" s="30" t="s">
        <v>47</v>
      </c>
      <c r="B97" s="98" t="s">
        <v>270</v>
      </c>
      <c r="C97" s="48" t="s">
        <v>18</v>
      </c>
      <c r="D97" s="31"/>
      <c r="E97" s="31">
        <v>2.1</v>
      </c>
      <c r="F97" s="31"/>
      <c r="G97" s="31"/>
      <c r="H97" s="17">
        <f t="shared" si="48"/>
        <v>0</v>
      </c>
      <c r="I97" s="31"/>
      <c r="J97" s="28"/>
      <c r="K97" s="125"/>
      <c r="L97" s="35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.75" customHeight="1" x14ac:dyDescent="0.25">
      <c r="A98" s="133" t="s">
        <v>47</v>
      </c>
      <c r="B98" s="98" t="s">
        <v>110</v>
      </c>
      <c r="C98" s="48" t="s">
        <v>18</v>
      </c>
      <c r="D98" s="31">
        <v>2.8</v>
      </c>
      <c r="E98" s="31">
        <f>1.9-1.25</f>
        <v>0.64999999999999991</v>
      </c>
      <c r="F98" s="31"/>
      <c r="G98" s="31"/>
      <c r="H98" s="17">
        <f t="shared" si="48"/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5000000000000004" bottom="0.46" header="0" footer="0"/>
  <pageSetup scale="95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21875" customWidth="1"/>
    <col min="2" max="2" width="30.5546875" customWidth="1"/>
    <col min="3" max="3" width="10.21875" customWidth="1"/>
    <col min="4" max="5" width="16.77734375" customWidth="1"/>
    <col min="6" max="9" width="12.6640625" customWidth="1"/>
    <col min="10" max="10" width="8.88671875" customWidth="1"/>
    <col min="11" max="11" width="21.21875" customWidth="1"/>
    <col min="12" max="14" width="8.88671875" customWidth="1"/>
    <col min="15" max="23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281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'ĐĂK NEANG(8)'!A5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117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850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185.26</v>
      </c>
      <c r="E9" s="17">
        <f t="shared" si="0"/>
        <v>191.57999999999998</v>
      </c>
      <c r="F9" s="17">
        <f t="shared" si="0"/>
        <v>155.47</v>
      </c>
      <c r="G9" s="17">
        <f t="shared" si="0"/>
        <v>155.47</v>
      </c>
      <c r="H9" s="17">
        <f t="shared" ref="H9:H24" si="1">F9/E9*100</f>
        <v>81.151477189685778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3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27.1</v>
      </c>
      <c r="F10" s="17">
        <f t="shared" si="2"/>
        <v>3.08</v>
      </c>
      <c r="G10" s="17">
        <f t="shared" si="2"/>
        <v>3.08</v>
      </c>
      <c r="H10" s="17">
        <f t="shared" si="1"/>
        <v>11.365313653136532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3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72.424350000000004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3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68.734350000000006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3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26.1</v>
      </c>
      <c r="F13" s="17">
        <f t="shared" si="5"/>
        <v>2.08</v>
      </c>
      <c r="G13" s="17">
        <f t="shared" si="5"/>
        <v>2.08</v>
      </c>
      <c r="H13" s="17">
        <f t="shared" si="1"/>
        <v>7.969348659003832</v>
      </c>
      <c r="I13" s="17"/>
      <c r="J13" s="137"/>
      <c r="K13" s="55"/>
      <c r="L13" s="55"/>
      <c r="M13" s="55"/>
      <c r="N13" s="55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26.335000000000001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68.734350000000006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2.08</v>
      </c>
      <c r="F16" s="17">
        <v>2.08</v>
      </c>
      <c r="G16" s="17">
        <v>2.08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6.9680000000000009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24.02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28"/>
      <c r="O19" s="2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3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19.170000000000002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28"/>
      <c r="O20" s="2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3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46.046340000000001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28"/>
      <c r="O21" s="2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3" customHeight="1" x14ac:dyDescent="0.25">
      <c r="A22" s="40" t="s">
        <v>32</v>
      </c>
      <c r="B22" s="42" t="s">
        <v>33</v>
      </c>
      <c r="C22" s="40" t="s">
        <v>18</v>
      </c>
      <c r="D22" s="104"/>
      <c r="E22" s="104">
        <v>24.02</v>
      </c>
      <c r="F22" s="31">
        <v>0</v>
      </c>
      <c r="G22" s="104">
        <v>0</v>
      </c>
      <c r="H22" s="17">
        <f t="shared" si="1"/>
        <v>0</v>
      </c>
      <c r="I22" s="31"/>
      <c r="J22" s="55"/>
      <c r="K22" s="55"/>
      <c r="L22" s="55"/>
      <c r="M22" s="55"/>
      <c r="N22" s="55"/>
      <c r="O22" s="33"/>
      <c r="P22" s="255"/>
      <c r="Q22" s="255"/>
      <c r="R22" s="255"/>
      <c r="S22" s="255"/>
      <c r="T22" s="255"/>
      <c r="U22" s="90"/>
      <c r="V22" s="1"/>
      <c r="W22" s="1"/>
      <c r="X22" s="1"/>
      <c r="Y22" s="1"/>
      <c r="Z22" s="1"/>
    </row>
    <row r="23" spans="1:26" ht="33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5"/>
      <c r="K23" s="55"/>
      <c r="L23" s="55"/>
      <c r="M23" s="55"/>
      <c r="N23" s="55"/>
      <c r="O23" s="33"/>
      <c r="P23" s="255"/>
      <c r="Q23" s="255"/>
      <c r="R23" s="255"/>
      <c r="S23" s="255"/>
      <c r="T23" s="255"/>
      <c r="U23" s="90"/>
      <c r="V23" s="1"/>
      <c r="W23" s="1"/>
      <c r="X23" s="1"/>
      <c r="Y23" s="1"/>
      <c r="Z23" s="1"/>
    </row>
    <row r="24" spans="1:26" ht="33" customHeight="1" x14ac:dyDescent="0.25">
      <c r="A24" s="40"/>
      <c r="B24" s="27" t="s">
        <v>27</v>
      </c>
      <c r="C24" s="30" t="s">
        <v>21</v>
      </c>
      <c r="D24" s="17"/>
      <c r="E24" s="31">
        <f t="shared" ref="E24:G24" si="12">E22*E23/10</f>
        <v>92.092680000000001</v>
      </c>
      <c r="F24" s="31">
        <f t="shared" si="12"/>
        <v>0</v>
      </c>
      <c r="G24" s="31">
        <f t="shared" si="12"/>
        <v>0</v>
      </c>
      <c r="H24" s="17">
        <f t="shared" si="1"/>
        <v>0</v>
      </c>
      <c r="I24" s="31"/>
      <c r="J24" s="55"/>
      <c r="K24" s="279"/>
      <c r="L24" s="55"/>
      <c r="M24" s="55"/>
      <c r="N24" s="55"/>
      <c r="O24" s="33"/>
      <c r="P24" s="255"/>
      <c r="Q24" s="255"/>
      <c r="R24" s="255"/>
      <c r="S24" s="255"/>
      <c r="T24" s="255"/>
      <c r="U24" s="90"/>
      <c r="V24" s="1"/>
      <c r="W24" s="1"/>
      <c r="X24" s="1"/>
      <c r="Y24" s="1"/>
      <c r="Z24" s="1"/>
    </row>
    <row r="25" spans="1:26" ht="33" customHeight="1" x14ac:dyDescent="0.25">
      <c r="A25" s="40" t="s">
        <v>32</v>
      </c>
      <c r="B25" s="42" t="s">
        <v>34</v>
      </c>
      <c r="C25" s="40" t="s">
        <v>18</v>
      </c>
      <c r="D25" s="17"/>
      <c r="E25" s="17"/>
      <c r="F25" s="31">
        <v>0</v>
      </c>
      <c r="G25" s="31">
        <v>0</v>
      </c>
      <c r="H25" s="17"/>
      <c r="I25" s="31"/>
      <c r="J25" s="257"/>
      <c r="K25" s="257"/>
      <c r="L25" s="257"/>
      <c r="M25" s="257"/>
      <c r="N25" s="257"/>
      <c r="O25" s="256"/>
      <c r="P25" s="256"/>
      <c r="Q25" s="256"/>
      <c r="R25" s="256"/>
      <c r="S25" s="256"/>
      <c r="T25" s="256"/>
      <c r="U25" s="1"/>
      <c r="V25" s="1"/>
      <c r="W25" s="1"/>
      <c r="X25" s="1"/>
      <c r="Y25" s="1"/>
      <c r="Z25" s="1"/>
    </row>
    <row r="26" spans="1:26" ht="33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17"/>
      <c r="I26" s="31"/>
      <c r="J26" s="257"/>
      <c r="K26" s="257"/>
      <c r="L26" s="257"/>
      <c r="M26" s="257"/>
      <c r="N26" s="257"/>
      <c r="O26" s="256"/>
      <c r="P26" s="256"/>
      <c r="Q26" s="256"/>
      <c r="R26" s="256"/>
      <c r="S26" s="256"/>
      <c r="T26" s="256"/>
      <c r="U26" s="1"/>
      <c r="V26" s="1"/>
      <c r="W26" s="1"/>
      <c r="X26" s="1"/>
      <c r="Y26" s="1"/>
      <c r="Z26" s="1"/>
    </row>
    <row r="27" spans="1:26" ht="33" customHeight="1" x14ac:dyDescent="0.25">
      <c r="A27" s="40"/>
      <c r="B27" s="27" t="s">
        <v>27</v>
      </c>
      <c r="C27" s="30" t="s">
        <v>21</v>
      </c>
      <c r="D27" s="17"/>
      <c r="E27" s="17"/>
      <c r="F27" s="31"/>
      <c r="G27" s="31"/>
      <c r="H27" s="17"/>
      <c r="I27" s="31"/>
      <c r="J27" s="257"/>
      <c r="K27" s="257"/>
      <c r="L27" s="257"/>
      <c r="M27" s="257"/>
      <c r="N27" s="257"/>
      <c r="O27" s="256"/>
      <c r="P27" s="256"/>
      <c r="Q27" s="256"/>
      <c r="R27" s="256"/>
      <c r="S27" s="256"/>
      <c r="T27" s="256"/>
      <c r="U27" s="1"/>
      <c r="V27" s="1"/>
      <c r="W27" s="1"/>
      <c r="X27" s="1"/>
      <c r="Y27" s="1"/>
      <c r="Z27" s="1"/>
    </row>
    <row r="28" spans="1:26" ht="33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17">
        <f t="shared" ref="H28:H30" si="14">F28/E28*100</f>
        <v>100</v>
      </c>
      <c r="I28" s="17"/>
      <c r="J28" s="257"/>
      <c r="K28" s="257"/>
      <c r="L28" s="257"/>
      <c r="M28" s="257"/>
      <c r="N28" s="257"/>
      <c r="O28" s="256"/>
      <c r="P28" s="256"/>
      <c r="Q28" s="256"/>
      <c r="R28" s="256"/>
      <c r="S28" s="256"/>
      <c r="T28" s="256"/>
      <c r="U28" s="1"/>
      <c r="V28" s="1"/>
      <c r="W28" s="1"/>
      <c r="X28" s="1"/>
      <c r="Y28" s="1"/>
      <c r="Z28" s="1"/>
    </row>
    <row r="29" spans="1:26" ht="33" customHeight="1" x14ac:dyDescent="0.25">
      <c r="A29" s="15"/>
      <c r="B29" s="27" t="s">
        <v>25</v>
      </c>
      <c r="C29" s="30" t="s">
        <v>26</v>
      </c>
      <c r="D29" s="31">
        <f t="shared" ref="D29:G29" si="15">D35</f>
        <v>36.85</v>
      </c>
      <c r="E29" s="31">
        <f t="shared" si="15"/>
        <v>36.9</v>
      </c>
      <c r="F29" s="31">
        <f t="shared" si="15"/>
        <v>0</v>
      </c>
      <c r="G29" s="31">
        <f t="shared" si="15"/>
        <v>0</v>
      </c>
      <c r="H29" s="17">
        <f t="shared" si="14"/>
        <v>0</v>
      </c>
      <c r="I29" s="31"/>
      <c r="J29" s="257"/>
      <c r="K29" s="257"/>
      <c r="L29" s="257"/>
      <c r="M29" s="257"/>
      <c r="N29" s="257"/>
      <c r="O29" s="256"/>
      <c r="P29" s="256"/>
      <c r="Q29" s="256"/>
      <c r="R29" s="256"/>
      <c r="S29" s="256"/>
      <c r="T29" s="256"/>
      <c r="U29" s="1"/>
      <c r="V29" s="1"/>
      <c r="W29" s="1"/>
      <c r="X29" s="1"/>
      <c r="Y29" s="1"/>
      <c r="Z29" s="1"/>
    </row>
    <row r="30" spans="1:26" ht="33" customHeight="1" x14ac:dyDescent="0.25">
      <c r="A30" s="15"/>
      <c r="B30" s="27" t="s">
        <v>27</v>
      </c>
      <c r="C30" s="30" t="s">
        <v>21</v>
      </c>
      <c r="D30" s="31">
        <f t="shared" ref="D30:G30" si="16">D28*D29/10</f>
        <v>3.6850000000000001</v>
      </c>
      <c r="E30" s="31">
        <f t="shared" si="16"/>
        <v>3.69</v>
      </c>
      <c r="F30" s="31">
        <f t="shared" si="16"/>
        <v>0</v>
      </c>
      <c r="G30" s="31">
        <f t="shared" si="16"/>
        <v>0</v>
      </c>
      <c r="H30" s="17">
        <f t="shared" si="14"/>
        <v>0</v>
      </c>
      <c r="I30" s="31"/>
      <c r="J30" s="257"/>
      <c r="K30" s="257"/>
      <c r="L30" s="257"/>
      <c r="M30" s="257"/>
      <c r="N30" s="257"/>
      <c r="O30" s="256"/>
      <c r="P30" s="256"/>
      <c r="Q30" s="256"/>
      <c r="R30" s="256"/>
      <c r="S30" s="256"/>
      <c r="T30" s="256"/>
      <c r="U30" s="1"/>
      <c r="V30" s="1"/>
      <c r="W30" s="1"/>
      <c r="X30" s="1"/>
      <c r="Y30" s="1"/>
      <c r="Z30" s="1"/>
    </row>
    <row r="31" spans="1:26" ht="33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17"/>
      <c r="I31" s="17"/>
      <c r="J31" s="257"/>
      <c r="K31" s="240"/>
      <c r="L31" s="258"/>
      <c r="M31" s="258"/>
      <c r="N31" s="258"/>
      <c r="O31" s="258"/>
      <c r="P31" s="256"/>
      <c r="Q31" s="256"/>
      <c r="R31" s="256"/>
      <c r="S31" s="256"/>
      <c r="T31" s="256"/>
      <c r="U31" s="1"/>
      <c r="V31" s="1"/>
      <c r="W31" s="1"/>
      <c r="X31" s="1"/>
      <c r="Y31" s="1"/>
      <c r="Z31" s="1"/>
    </row>
    <row r="32" spans="1:26" ht="33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257"/>
      <c r="K32" s="240"/>
      <c r="L32" s="258"/>
      <c r="M32" s="258"/>
      <c r="N32" s="258"/>
      <c r="O32" s="258"/>
      <c r="P32" s="256"/>
      <c r="Q32" s="256"/>
      <c r="R32" s="256"/>
      <c r="S32" s="256"/>
      <c r="T32" s="256"/>
      <c r="U32" s="1"/>
      <c r="V32" s="1"/>
      <c r="W32" s="1"/>
      <c r="X32" s="1"/>
      <c r="Y32" s="1"/>
      <c r="Z32" s="1"/>
    </row>
    <row r="33" spans="1:26" ht="33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257"/>
      <c r="K33" s="240"/>
      <c r="L33" s="258"/>
      <c r="M33" s="258"/>
      <c r="N33" s="258"/>
      <c r="O33" s="258"/>
      <c r="P33" s="256"/>
      <c r="Q33" s="256"/>
      <c r="R33" s="256"/>
      <c r="S33" s="256"/>
      <c r="T33" s="256"/>
      <c r="U33" s="1"/>
      <c r="V33" s="1"/>
      <c r="W33" s="1"/>
      <c r="X33" s="1"/>
      <c r="Y33" s="1"/>
      <c r="Z33" s="1"/>
    </row>
    <row r="34" spans="1:26" ht="33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17">
        <f t="shared" ref="H34:H50" si="17">F34/E34*100</f>
        <v>100</v>
      </c>
      <c r="I34" s="17"/>
      <c r="J34" s="257"/>
      <c r="K34" s="46"/>
      <c r="L34" s="46"/>
      <c r="M34" s="46"/>
      <c r="N34" s="46"/>
      <c r="O34" s="46"/>
      <c r="P34" s="256"/>
      <c r="Q34" s="256"/>
      <c r="R34" s="256"/>
      <c r="S34" s="256"/>
      <c r="T34" s="256"/>
      <c r="U34" s="1"/>
      <c r="V34" s="1"/>
      <c r="W34" s="1"/>
      <c r="X34" s="1"/>
      <c r="Y34" s="1"/>
      <c r="Z34" s="1"/>
    </row>
    <row r="35" spans="1:26" ht="33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257"/>
      <c r="K35" s="46"/>
      <c r="L35" s="46"/>
      <c r="M35" s="46"/>
      <c r="N35" s="46"/>
      <c r="O35" s="46"/>
      <c r="P35" s="256"/>
      <c r="Q35" s="256"/>
      <c r="R35" s="256"/>
      <c r="S35" s="256"/>
      <c r="T35" s="256"/>
      <c r="U35" s="1"/>
      <c r="V35" s="1"/>
      <c r="W35" s="1"/>
      <c r="X35" s="1"/>
      <c r="Y35" s="1"/>
      <c r="Z35" s="1"/>
    </row>
    <row r="36" spans="1:26" ht="33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3.6850000000000001</v>
      </c>
      <c r="E36" s="31">
        <f t="shared" si="18"/>
        <v>3.69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257"/>
      <c r="K36" s="46"/>
      <c r="L36" s="46"/>
      <c r="M36" s="46"/>
      <c r="N36" s="46"/>
      <c r="O36" s="46"/>
      <c r="P36" s="256"/>
      <c r="Q36" s="256"/>
      <c r="R36" s="256"/>
      <c r="S36" s="256"/>
      <c r="T36" s="256"/>
      <c r="U36" s="1"/>
      <c r="V36" s="1"/>
      <c r="W36" s="1"/>
      <c r="X36" s="1"/>
      <c r="Y36" s="1"/>
      <c r="Z36" s="1"/>
    </row>
    <row r="37" spans="1:26" ht="33" customHeight="1" x14ac:dyDescent="0.25">
      <c r="A37" s="15">
        <v>2</v>
      </c>
      <c r="B37" s="16" t="s">
        <v>39</v>
      </c>
      <c r="C37" s="15" t="s">
        <v>18</v>
      </c>
      <c r="D37" s="17">
        <v>114</v>
      </c>
      <c r="E37" s="17">
        <v>99.37</v>
      </c>
      <c r="F37" s="17">
        <v>99.37</v>
      </c>
      <c r="G37" s="17">
        <v>99.37</v>
      </c>
      <c r="H37" s="17">
        <f t="shared" si="17"/>
        <v>100</v>
      </c>
      <c r="I37" s="17"/>
      <c r="J37" s="55"/>
      <c r="K37" s="55"/>
      <c r="L37" s="55"/>
      <c r="M37" s="55"/>
      <c r="N37" s="55"/>
      <c r="O37" s="55"/>
      <c r="P37" s="33"/>
      <c r="Q37" s="33"/>
      <c r="R37" s="33"/>
      <c r="S37" s="33"/>
      <c r="T37" s="33"/>
      <c r="U37" s="33"/>
      <c r="V37" s="33"/>
      <c r="W37" s="33"/>
      <c r="X37" s="1"/>
      <c r="Y37" s="1"/>
      <c r="Z37" s="1"/>
    </row>
    <row r="38" spans="1:26" ht="33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7"/>
        <v>0</v>
      </c>
      <c r="I38" s="31"/>
      <c r="J38" s="55"/>
      <c r="K38" s="55"/>
      <c r="L38" s="55"/>
      <c r="M38" s="55"/>
      <c r="N38" s="55"/>
      <c r="O38" s="55"/>
      <c r="P38" s="33"/>
      <c r="Q38" s="33"/>
      <c r="R38" s="33"/>
      <c r="S38" s="33"/>
      <c r="T38" s="33"/>
      <c r="U38" s="33"/>
      <c r="V38" s="33"/>
      <c r="W38" s="33"/>
      <c r="X38" s="1"/>
      <c r="Y38" s="1"/>
      <c r="Z38" s="1"/>
    </row>
    <row r="39" spans="1:26" ht="33" customHeight="1" x14ac:dyDescent="0.25">
      <c r="A39" s="15"/>
      <c r="B39" s="27" t="s">
        <v>27</v>
      </c>
      <c r="C39" s="30" t="s">
        <v>21</v>
      </c>
      <c r="D39" s="31">
        <f t="shared" ref="D39:G39" si="19">D37*D38/10</f>
        <v>1567.5</v>
      </c>
      <c r="E39" s="31">
        <f t="shared" si="19"/>
        <v>1391.18</v>
      </c>
      <c r="F39" s="31">
        <f t="shared" si="19"/>
        <v>0</v>
      </c>
      <c r="G39" s="31">
        <f t="shared" si="19"/>
        <v>0</v>
      </c>
      <c r="H39" s="17">
        <f t="shared" si="17"/>
        <v>0</v>
      </c>
      <c r="I39" s="31"/>
      <c r="J39" s="55"/>
      <c r="K39" s="55"/>
      <c r="L39" s="55"/>
      <c r="M39" s="55"/>
      <c r="N39" s="55"/>
      <c r="O39" s="55"/>
      <c r="P39" s="33"/>
      <c r="Q39" s="33"/>
      <c r="R39" s="33"/>
      <c r="S39" s="33"/>
      <c r="T39" s="33"/>
      <c r="U39" s="33"/>
      <c r="V39" s="33"/>
      <c r="W39" s="33"/>
      <c r="X39" s="1"/>
      <c r="Y39" s="1"/>
      <c r="Z39" s="1"/>
    </row>
    <row r="40" spans="1:26" ht="33" customHeight="1" x14ac:dyDescent="0.25">
      <c r="A40" s="15">
        <v>3</v>
      </c>
      <c r="B40" s="16" t="s">
        <v>40</v>
      </c>
      <c r="C40" s="15" t="s">
        <v>18</v>
      </c>
      <c r="D40" s="17"/>
      <c r="E40" s="17">
        <v>0.5</v>
      </c>
      <c r="F40" s="17">
        <v>0</v>
      </c>
      <c r="G40" s="17">
        <v>0</v>
      </c>
      <c r="H40" s="17">
        <f t="shared" si="17"/>
        <v>0</v>
      </c>
      <c r="I40" s="31"/>
      <c r="J40" s="55"/>
      <c r="K40" s="55"/>
      <c r="L40" s="55"/>
      <c r="M40" s="55"/>
      <c r="N40" s="55"/>
      <c r="O40" s="55"/>
      <c r="P40" s="33"/>
      <c r="Q40" s="33"/>
      <c r="R40" s="33"/>
      <c r="S40" s="33"/>
      <c r="T40" s="33"/>
      <c r="U40" s="33"/>
      <c r="V40" s="33"/>
      <c r="W40" s="33"/>
      <c r="X40" s="1"/>
      <c r="Y40" s="1"/>
      <c r="Z40" s="1"/>
    </row>
    <row r="41" spans="1:26" ht="33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31"/>
      <c r="G41" s="31"/>
      <c r="H41" s="17">
        <f t="shared" si="17"/>
        <v>0</v>
      </c>
      <c r="I41" s="31"/>
      <c r="J41" s="55"/>
      <c r="K41" s="55"/>
      <c r="L41" s="55"/>
      <c r="M41" s="55"/>
      <c r="N41" s="55"/>
      <c r="O41" s="55"/>
      <c r="P41" s="33"/>
      <c r="Q41" s="33"/>
      <c r="R41" s="33"/>
      <c r="S41" s="33"/>
      <c r="T41" s="33"/>
      <c r="U41" s="33"/>
      <c r="V41" s="33"/>
      <c r="W41" s="33"/>
      <c r="X41" s="1"/>
      <c r="Y41" s="1"/>
      <c r="Z41" s="1"/>
    </row>
    <row r="42" spans="1:26" ht="33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20">E40*E41/10</f>
        <v>1.2050000000000001</v>
      </c>
      <c r="F42" s="31">
        <f t="shared" si="20"/>
        <v>0</v>
      </c>
      <c r="G42" s="31">
        <f t="shared" si="20"/>
        <v>0</v>
      </c>
      <c r="H42" s="17">
        <f t="shared" si="17"/>
        <v>0</v>
      </c>
      <c r="I42" s="31"/>
      <c r="J42" s="55"/>
      <c r="K42" s="55"/>
      <c r="L42" s="55"/>
      <c r="M42" s="55"/>
      <c r="N42" s="55"/>
      <c r="O42" s="55"/>
      <c r="P42" s="33"/>
      <c r="Q42" s="33"/>
      <c r="R42" s="33"/>
      <c r="S42" s="33"/>
      <c r="T42" s="33"/>
      <c r="U42" s="33"/>
      <c r="V42" s="33"/>
      <c r="W42" s="33"/>
      <c r="X42" s="1"/>
      <c r="Y42" s="1"/>
      <c r="Z42" s="1"/>
    </row>
    <row r="43" spans="1:26" ht="33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7"/>
        <v>54</v>
      </c>
      <c r="I43" s="17"/>
      <c r="J43" s="137"/>
      <c r="K43" s="35"/>
      <c r="L43" s="84"/>
      <c r="M43" s="84"/>
      <c r="N43" s="84"/>
      <c r="O43" s="84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7"/>
        <v>0</v>
      </c>
      <c r="I44" s="31"/>
      <c r="J44" s="137"/>
      <c r="K44" s="35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" customHeight="1" x14ac:dyDescent="0.25">
      <c r="A45" s="30"/>
      <c r="B45" s="49" t="s">
        <v>27</v>
      </c>
      <c r="C45" s="50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17">
        <f t="shared" si="17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3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37.71</v>
      </c>
      <c r="E46" s="17">
        <f t="shared" si="22"/>
        <v>47.31</v>
      </c>
      <c r="F46" s="17">
        <f t="shared" si="22"/>
        <v>38.31</v>
      </c>
      <c r="G46" s="17">
        <f t="shared" si="22"/>
        <v>38.31</v>
      </c>
      <c r="H46" s="17">
        <f t="shared" si="17"/>
        <v>80.976537729866834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3">D48+D49</f>
        <v>29.21</v>
      </c>
      <c r="E47" s="17">
        <f t="shared" si="23"/>
        <v>37.21</v>
      </c>
      <c r="F47" s="17">
        <f t="shared" si="23"/>
        <v>29.21</v>
      </c>
      <c r="G47" s="17">
        <f t="shared" si="23"/>
        <v>29.21</v>
      </c>
      <c r="H47" s="17">
        <f t="shared" si="17"/>
        <v>78.50040311744155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" customHeight="1" x14ac:dyDescent="0.25">
      <c r="A48" s="59" t="s">
        <v>32</v>
      </c>
      <c r="B48" s="60" t="s">
        <v>45</v>
      </c>
      <c r="C48" s="61" t="s">
        <v>18</v>
      </c>
      <c r="D48" s="31">
        <v>28.35</v>
      </c>
      <c r="E48" s="31">
        <f>D48+D49</f>
        <v>29.21</v>
      </c>
      <c r="F48" s="31">
        <v>29.21</v>
      </c>
      <c r="G48" s="31">
        <v>29.21</v>
      </c>
      <c r="H48" s="17">
        <f t="shared" si="17"/>
        <v>100</v>
      </c>
      <c r="I48" s="31"/>
      <c r="J48" s="55"/>
      <c r="K48" s="55"/>
      <c r="L48" s="55"/>
      <c r="M48" s="55"/>
      <c r="N48" s="55"/>
      <c r="O48" s="33"/>
      <c r="P48" s="33"/>
      <c r="Q48" s="33"/>
      <c r="R48" s="1"/>
      <c r="S48" s="1"/>
      <c r="T48" s="1"/>
      <c r="U48" s="1"/>
      <c r="V48" s="1"/>
      <c r="W48" s="1"/>
      <c r="X48" s="1"/>
      <c r="Y48" s="1"/>
      <c r="Z48" s="1"/>
    </row>
    <row r="49" spans="1:26" ht="33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4">D50+D51</f>
        <v>0.86</v>
      </c>
      <c r="E49" s="17">
        <f t="shared" si="24"/>
        <v>8</v>
      </c>
      <c r="F49" s="17">
        <f t="shared" si="24"/>
        <v>0</v>
      </c>
      <c r="G49" s="17">
        <f t="shared" si="24"/>
        <v>0</v>
      </c>
      <c r="H49" s="17">
        <f t="shared" si="17"/>
        <v>0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3" customHeight="1" x14ac:dyDescent="0.25">
      <c r="A50" s="61" t="s">
        <v>47</v>
      </c>
      <c r="B50" s="66" t="s">
        <v>269</v>
      </c>
      <c r="C50" s="61" t="s">
        <v>18</v>
      </c>
      <c r="D50" s="31"/>
      <c r="E50" s="31">
        <v>8</v>
      </c>
      <c r="F50" s="31"/>
      <c r="G50" s="31">
        <v>0</v>
      </c>
      <c r="H50" s="17">
        <f t="shared" si="17"/>
        <v>0</v>
      </c>
      <c r="I50" s="31"/>
      <c r="J50" s="35"/>
      <c r="K50" s="137"/>
      <c r="L50" s="137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3" customHeight="1" x14ac:dyDescent="0.25">
      <c r="A51" s="61" t="s">
        <v>47</v>
      </c>
      <c r="B51" s="66" t="s">
        <v>49</v>
      </c>
      <c r="C51" s="30" t="s">
        <v>18</v>
      </c>
      <c r="D51" s="31">
        <v>0.86</v>
      </c>
      <c r="E51" s="31">
        <v>0</v>
      </c>
      <c r="F51" s="31"/>
      <c r="G51" s="31"/>
      <c r="H51" s="17"/>
      <c r="I51" s="31"/>
      <c r="J51" s="137"/>
      <c r="K51" s="55"/>
      <c r="L51" s="55"/>
      <c r="M51" s="55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3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17.43</v>
      </c>
      <c r="E52" s="17">
        <f t="shared" si="25"/>
        <v>24.0975</v>
      </c>
      <c r="F52" s="17">
        <f t="shared" si="25"/>
        <v>24.1</v>
      </c>
      <c r="G52" s="17">
        <f t="shared" si="25"/>
        <v>24.1</v>
      </c>
      <c r="H52" s="17">
        <f t="shared" ref="H52:H53" si="26">F52/E52*100</f>
        <v>100.01037452017844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3" customHeight="1" x14ac:dyDescent="0.25">
      <c r="A53" s="71" t="s">
        <v>47</v>
      </c>
      <c r="B53" s="66" t="s">
        <v>51</v>
      </c>
      <c r="C53" s="30" t="s">
        <v>18</v>
      </c>
      <c r="D53" s="31">
        <f>18.43-6</f>
        <v>12.43</v>
      </c>
      <c r="E53" s="31">
        <f>D48*85%</f>
        <v>24.0975</v>
      </c>
      <c r="F53" s="31">
        <v>24.1</v>
      </c>
      <c r="G53" s="31">
        <v>24.1</v>
      </c>
      <c r="H53" s="31">
        <f t="shared" si="26"/>
        <v>100.01037452017844</v>
      </c>
      <c r="I53" s="31"/>
      <c r="J53" s="137"/>
      <c r="K53" s="137"/>
      <c r="L53" s="238"/>
      <c r="M53" s="137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3" customHeight="1" x14ac:dyDescent="0.25">
      <c r="A54" s="30"/>
      <c r="B54" s="66" t="s">
        <v>52</v>
      </c>
      <c r="C54" s="30" t="s">
        <v>18</v>
      </c>
      <c r="D54" s="31">
        <v>5</v>
      </c>
      <c r="E54" s="31"/>
      <c r="F54" s="31"/>
      <c r="G54" s="31"/>
      <c r="H54" s="17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3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8.5</v>
      </c>
      <c r="E55" s="17">
        <f t="shared" si="27"/>
        <v>10.1</v>
      </c>
      <c r="F55" s="17">
        <f t="shared" si="27"/>
        <v>9.1</v>
      </c>
      <c r="G55" s="17">
        <f t="shared" si="27"/>
        <v>9.1</v>
      </c>
      <c r="H55" s="17">
        <f t="shared" ref="H55:H63" si="28">F55/E55*100</f>
        <v>90.099009900990097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3" customHeight="1" x14ac:dyDescent="0.25">
      <c r="A56" s="30" t="s">
        <v>32</v>
      </c>
      <c r="B56" s="60" t="s">
        <v>50</v>
      </c>
      <c r="C56" s="30" t="s">
        <v>18</v>
      </c>
      <c r="D56" s="31">
        <v>8.5</v>
      </c>
      <c r="E56" s="31">
        <f>D56+E58</f>
        <v>9.1</v>
      </c>
      <c r="F56" s="31">
        <v>9.1</v>
      </c>
      <c r="G56" s="31">
        <v>9.1</v>
      </c>
      <c r="H56" s="17">
        <f t="shared" si="28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3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9">D58+D61</f>
        <v>0</v>
      </c>
      <c r="E57" s="31">
        <f t="shared" si="29"/>
        <v>1</v>
      </c>
      <c r="F57" s="31">
        <f t="shared" si="29"/>
        <v>0</v>
      </c>
      <c r="G57" s="31">
        <f t="shared" si="29"/>
        <v>0</v>
      </c>
      <c r="H57" s="17">
        <f t="shared" si="28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3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30">D59+D60</f>
        <v>0</v>
      </c>
      <c r="E58" s="76">
        <f t="shared" si="30"/>
        <v>0.6</v>
      </c>
      <c r="F58" s="76">
        <f t="shared" si="30"/>
        <v>0</v>
      </c>
      <c r="G58" s="76">
        <f t="shared" si="30"/>
        <v>0</v>
      </c>
      <c r="H58" s="17">
        <f t="shared" si="28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3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0.3</v>
      </c>
      <c r="F59" s="31">
        <v>0</v>
      </c>
      <c r="G59" s="31">
        <v>0</v>
      </c>
      <c r="H59" s="17">
        <f t="shared" si="28"/>
        <v>0</v>
      </c>
      <c r="I59" s="31"/>
      <c r="J59" s="35"/>
      <c r="K59" s="28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3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0.3</v>
      </c>
      <c r="F60" s="31">
        <v>0</v>
      </c>
      <c r="G60" s="31">
        <v>0</v>
      </c>
      <c r="H60" s="17">
        <f t="shared" si="28"/>
        <v>0</v>
      </c>
      <c r="I60" s="31"/>
      <c r="J60" s="35"/>
      <c r="K60" s="28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3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1">D62+D63</f>
        <v>0</v>
      </c>
      <c r="E61" s="76">
        <f t="shared" si="31"/>
        <v>0.4</v>
      </c>
      <c r="F61" s="76">
        <f t="shared" si="31"/>
        <v>0</v>
      </c>
      <c r="G61" s="76">
        <f t="shared" si="31"/>
        <v>0</v>
      </c>
      <c r="H61" s="17">
        <f t="shared" si="28"/>
        <v>0</v>
      </c>
      <c r="I61" s="76"/>
      <c r="J61" s="35"/>
      <c r="K61" s="106"/>
      <c r="L61" s="106"/>
      <c r="M61" s="106"/>
      <c r="N61" s="106"/>
      <c r="O61" s="79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3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0.3</v>
      </c>
      <c r="F62" s="31">
        <v>0</v>
      </c>
      <c r="G62" s="31">
        <v>0</v>
      </c>
      <c r="H62" s="17">
        <f t="shared" si="28"/>
        <v>0</v>
      </c>
      <c r="I62" s="31"/>
      <c r="J62" s="35"/>
      <c r="K62" s="28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3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8"/>
        <v>0</v>
      </c>
      <c r="I63" s="31"/>
      <c r="J63" s="35"/>
      <c r="K63" s="28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3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2">D65+D66</f>
        <v>0</v>
      </c>
      <c r="E64" s="17">
        <f t="shared" si="32"/>
        <v>0</v>
      </c>
      <c r="F64" s="17">
        <f t="shared" si="32"/>
        <v>0</v>
      </c>
      <c r="G64" s="17">
        <f t="shared" si="32"/>
        <v>0</v>
      </c>
      <c r="H64" s="17"/>
      <c r="I64" s="17"/>
      <c r="J64" s="137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3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17"/>
      <c r="I65" s="31"/>
      <c r="J65" s="137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3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3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3">D68+D71</f>
        <v>32.049999999999997</v>
      </c>
      <c r="E67" s="17">
        <f t="shared" si="33"/>
        <v>17.299999999999997</v>
      </c>
      <c r="F67" s="17">
        <f t="shared" si="33"/>
        <v>14.44</v>
      </c>
      <c r="G67" s="17">
        <f t="shared" si="33"/>
        <v>14.44</v>
      </c>
      <c r="H67" s="17">
        <f t="shared" ref="H67:H68" si="34">F67/E67*100</f>
        <v>83.468208092485568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3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5">D69+D70</f>
        <v>0</v>
      </c>
      <c r="E68" s="17">
        <f t="shared" si="35"/>
        <v>2</v>
      </c>
      <c r="F68" s="17">
        <f t="shared" si="35"/>
        <v>0</v>
      </c>
      <c r="G68" s="17">
        <f t="shared" si="35"/>
        <v>0</v>
      </c>
      <c r="H68" s="17">
        <f t="shared" si="34"/>
        <v>0</v>
      </c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3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17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3" customHeight="1" x14ac:dyDescent="0.25">
      <c r="A70" s="30" t="s">
        <v>47</v>
      </c>
      <c r="B70" s="60" t="s">
        <v>70</v>
      </c>
      <c r="C70" s="30" t="s">
        <v>18</v>
      </c>
      <c r="D70" s="31"/>
      <c r="E70" s="31">
        <v>2</v>
      </c>
      <c r="F70" s="31"/>
      <c r="G70" s="31"/>
      <c r="H70" s="17">
        <f t="shared" ref="H70:H77" si="36">F70/E70*100</f>
        <v>0</v>
      </c>
      <c r="I70" s="31"/>
      <c r="J70" s="137"/>
      <c r="K70" s="137"/>
      <c r="L70" s="137"/>
      <c r="M70" s="137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3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7">D72+D73</f>
        <v>32.049999999999997</v>
      </c>
      <c r="E71" s="17">
        <f t="shared" si="37"/>
        <v>15.299999999999997</v>
      </c>
      <c r="F71" s="17">
        <f t="shared" si="37"/>
        <v>14.44</v>
      </c>
      <c r="G71" s="17">
        <f t="shared" si="37"/>
        <v>14.44</v>
      </c>
      <c r="H71" s="17">
        <f t="shared" si="36"/>
        <v>94.379084967320267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3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8">D75+D82</f>
        <v>30.669999999999998</v>
      </c>
      <c r="E72" s="91">
        <f t="shared" si="38"/>
        <v>14.439999999999998</v>
      </c>
      <c r="F72" s="91">
        <f t="shared" si="38"/>
        <v>14.44</v>
      </c>
      <c r="G72" s="91">
        <f t="shared" si="38"/>
        <v>14.44</v>
      </c>
      <c r="H72" s="17">
        <f t="shared" si="36"/>
        <v>100.00000000000003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3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9">D76+D83</f>
        <v>1.38</v>
      </c>
      <c r="E73" s="17">
        <f t="shared" si="39"/>
        <v>0.86</v>
      </c>
      <c r="F73" s="17">
        <f t="shared" si="39"/>
        <v>0</v>
      </c>
      <c r="G73" s="17">
        <f t="shared" si="39"/>
        <v>0</v>
      </c>
      <c r="H73" s="17">
        <f t="shared" si="36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3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40">D75+D76</f>
        <v>23.939999999999998</v>
      </c>
      <c r="E74" s="96">
        <f t="shared" si="40"/>
        <v>14.439999999999998</v>
      </c>
      <c r="F74" s="96">
        <f t="shared" si="40"/>
        <v>13.94</v>
      </c>
      <c r="G74" s="96">
        <f t="shared" si="40"/>
        <v>13.94</v>
      </c>
      <c r="H74" s="17">
        <f t="shared" si="36"/>
        <v>96.537396121883674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3" customHeight="1" x14ac:dyDescent="0.25">
      <c r="A75" s="59" t="s">
        <v>32</v>
      </c>
      <c r="B75" s="98" t="s">
        <v>45</v>
      </c>
      <c r="C75" s="30" t="s">
        <v>18</v>
      </c>
      <c r="D75" s="62">
        <f>21.06+2</f>
        <v>23.06</v>
      </c>
      <c r="E75" s="62">
        <f>D75+D76-10</f>
        <v>13.939999999999998</v>
      </c>
      <c r="F75" s="31">
        <v>13.94</v>
      </c>
      <c r="G75" s="31">
        <v>13.94</v>
      </c>
      <c r="H75" s="31">
        <f t="shared" si="36"/>
        <v>100.00000000000003</v>
      </c>
      <c r="I75" s="31"/>
      <c r="J75" s="137"/>
      <c r="K75" s="137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3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41">SUM(D77:D80)</f>
        <v>0.88</v>
      </c>
      <c r="E76" s="244">
        <f t="shared" si="41"/>
        <v>0.5</v>
      </c>
      <c r="F76" s="244">
        <f t="shared" si="41"/>
        <v>0</v>
      </c>
      <c r="G76" s="244">
        <f t="shared" si="41"/>
        <v>0</v>
      </c>
      <c r="H76" s="17">
        <f t="shared" si="36"/>
        <v>0</v>
      </c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3" customHeight="1" x14ac:dyDescent="0.25">
      <c r="A77" s="48" t="s">
        <v>47</v>
      </c>
      <c r="B77" s="101" t="s">
        <v>80</v>
      </c>
      <c r="C77" s="48" t="s">
        <v>18</v>
      </c>
      <c r="D77" s="31"/>
      <c r="E77" s="31">
        <v>0.5</v>
      </c>
      <c r="F77" s="31">
        <v>0</v>
      </c>
      <c r="G77" s="31">
        <v>0</v>
      </c>
      <c r="H77" s="17">
        <f t="shared" si="36"/>
        <v>0</v>
      </c>
      <c r="I77" s="31"/>
      <c r="J77" s="241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3" customHeight="1" x14ac:dyDescent="0.25">
      <c r="A78" s="48" t="s">
        <v>47</v>
      </c>
      <c r="B78" s="101" t="s">
        <v>81</v>
      </c>
      <c r="C78" s="48" t="s">
        <v>18</v>
      </c>
      <c r="D78" s="31">
        <v>0.88</v>
      </c>
      <c r="E78" s="31">
        <v>0</v>
      </c>
      <c r="F78" s="31"/>
      <c r="G78" s="31"/>
      <c r="H78" s="17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3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17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3" customHeight="1" x14ac:dyDescent="0.25">
      <c r="A80" s="48" t="s">
        <v>47</v>
      </c>
      <c r="B80" s="247" t="s">
        <v>83</v>
      </c>
      <c r="C80" s="48" t="s">
        <v>18</v>
      </c>
      <c r="D80" s="31"/>
      <c r="E80" s="31"/>
      <c r="F80" s="31"/>
      <c r="G80" s="31"/>
      <c r="H80" s="17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3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2">D82+D83</f>
        <v>8.11</v>
      </c>
      <c r="E81" s="96">
        <f t="shared" si="42"/>
        <v>0.86</v>
      </c>
      <c r="F81" s="96">
        <f t="shared" si="42"/>
        <v>0.5</v>
      </c>
      <c r="G81" s="96">
        <f t="shared" si="42"/>
        <v>0.5</v>
      </c>
      <c r="H81" s="104">
        <f t="shared" ref="H81:H83" si="43">F81/E81*100</f>
        <v>58.139534883720934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3" customHeight="1" x14ac:dyDescent="0.25">
      <c r="A82" s="117" t="s">
        <v>47</v>
      </c>
      <c r="B82" s="101" t="s">
        <v>85</v>
      </c>
      <c r="C82" s="48" t="s">
        <v>18</v>
      </c>
      <c r="D82" s="76">
        <v>7.61</v>
      </c>
      <c r="E82" s="76">
        <v>0.5</v>
      </c>
      <c r="F82" s="76">
        <v>0.5</v>
      </c>
      <c r="G82" s="76">
        <v>0.5</v>
      </c>
      <c r="H82" s="31">
        <f t="shared" si="43"/>
        <v>100</v>
      </c>
      <c r="I82" s="76"/>
      <c r="J82" s="241"/>
      <c r="K82" s="241"/>
      <c r="L82" s="24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3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4">SUM(D84:D87)</f>
        <v>0.5</v>
      </c>
      <c r="E83" s="62">
        <f t="shared" si="44"/>
        <v>0.36</v>
      </c>
      <c r="F83" s="62">
        <f t="shared" si="44"/>
        <v>0</v>
      </c>
      <c r="G83" s="62">
        <f t="shared" si="44"/>
        <v>0</v>
      </c>
      <c r="H83" s="17">
        <f t="shared" si="43"/>
        <v>0</v>
      </c>
      <c r="I83" s="62"/>
      <c r="J83" s="241"/>
      <c r="K83" s="241"/>
      <c r="L83" s="241"/>
      <c r="M83" s="241"/>
      <c r="N83" s="24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3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17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3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17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3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17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3" customHeight="1" x14ac:dyDescent="0.25">
      <c r="A87" s="117" t="s">
        <v>47</v>
      </c>
      <c r="B87" s="101" t="s">
        <v>89</v>
      </c>
      <c r="C87" s="48" t="s">
        <v>18</v>
      </c>
      <c r="D87" s="31">
        <v>0.5</v>
      </c>
      <c r="E87" s="31">
        <v>0.36</v>
      </c>
      <c r="F87" s="31">
        <v>0</v>
      </c>
      <c r="G87" s="31">
        <v>0</v>
      </c>
      <c r="H87" s="17">
        <f t="shared" ref="H87:H91" si="45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47"/>
      <c r="S87" s="47"/>
      <c r="T87" s="1"/>
      <c r="U87" s="1"/>
      <c r="V87" s="1"/>
      <c r="W87" s="1"/>
      <c r="X87" s="1"/>
      <c r="Y87" s="1"/>
      <c r="Z87" s="1"/>
    </row>
    <row r="88" spans="1:26" ht="33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881</v>
      </c>
      <c r="E88" s="17">
        <f t="shared" si="46"/>
        <v>823</v>
      </c>
      <c r="F88" s="17">
        <f t="shared" si="46"/>
        <v>761</v>
      </c>
      <c r="G88" s="17">
        <f t="shared" si="46"/>
        <v>761</v>
      </c>
      <c r="H88" s="17">
        <f t="shared" si="45"/>
        <v>92.466585662211415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" customHeight="1" x14ac:dyDescent="0.25">
      <c r="A89" s="30">
        <v>1</v>
      </c>
      <c r="B89" s="27" t="s">
        <v>92</v>
      </c>
      <c r="C89" s="30" t="s">
        <v>93</v>
      </c>
      <c r="D89" s="31">
        <v>79</v>
      </c>
      <c r="E89" s="31">
        <f>50+27</f>
        <v>77</v>
      </c>
      <c r="F89" s="31">
        <v>76</v>
      </c>
      <c r="G89" s="31">
        <f t="shared" ref="G89:G91" si="47">F89</f>
        <v>76</v>
      </c>
      <c r="H89" s="31">
        <f t="shared" si="45"/>
        <v>98.701298701298697</v>
      </c>
      <c r="I89" s="31"/>
      <c r="J89" s="57"/>
      <c r="K89" s="279"/>
      <c r="L89" s="274"/>
      <c r="M89" s="275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3" customHeight="1" x14ac:dyDescent="0.25">
      <c r="A90" s="30">
        <v>2</v>
      </c>
      <c r="B90" s="27" t="s">
        <v>94</v>
      </c>
      <c r="C90" s="30" t="s">
        <v>93</v>
      </c>
      <c r="D90" s="31">
        <v>132</v>
      </c>
      <c r="E90" s="31">
        <f>130+21</f>
        <v>151</v>
      </c>
      <c r="F90" s="31">
        <v>148</v>
      </c>
      <c r="G90" s="31">
        <f t="shared" si="47"/>
        <v>148</v>
      </c>
      <c r="H90" s="31">
        <f t="shared" si="45"/>
        <v>98.013245033112582</v>
      </c>
      <c r="I90" s="31"/>
      <c r="J90" s="84"/>
      <c r="K90" s="84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3" customHeight="1" x14ac:dyDescent="0.25">
      <c r="A91" s="30">
        <v>3</v>
      </c>
      <c r="B91" s="27" t="s">
        <v>97</v>
      </c>
      <c r="C91" s="30" t="s">
        <v>93</v>
      </c>
      <c r="D91" s="31">
        <v>75</v>
      </c>
      <c r="E91" s="31">
        <f>76+24</f>
        <v>100</v>
      </c>
      <c r="F91" s="31">
        <v>85</v>
      </c>
      <c r="G91" s="31">
        <f t="shared" si="47"/>
        <v>85</v>
      </c>
      <c r="H91" s="31">
        <f t="shared" si="45"/>
        <v>85</v>
      </c>
      <c r="I91" s="31"/>
      <c r="J91" s="84"/>
      <c r="K91" s="84"/>
      <c r="L91" s="274"/>
      <c r="M91" s="275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3" customHeight="1" x14ac:dyDescent="0.25">
      <c r="A92" s="30">
        <v>4</v>
      </c>
      <c r="B92" s="27" t="s">
        <v>99</v>
      </c>
      <c r="C92" s="30" t="s">
        <v>93</v>
      </c>
      <c r="D92" s="31">
        <v>15</v>
      </c>
      <c r="E92" s="31">
        <f>17-17</f>
        <v>0</v>
      </c>
      <c r="F92" s="31"/>
      <c r="G92" s="31"/>
      <c r="H92" s="17"/>
      <c r="I92" s="31"/>
      <c r="J92" s="28"/>
      <c r="K92" s="55"/>
      <c r="L92" s="277"/>
      <c r="M92" s="275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3" customHeight="1" x14ac:dyDescent="0.25">
      <c r="A93" s="30">
        <v>5</v>
      </c>
      <c r="B93" s="27" t="s">
        <v>100</v>
      </c>
      <c r="C93" s="30" t="s">
        <v>93</v>
      </c>
      <c r="D93" s="31">
        <v>580</v>
      </c>
      <c r="E93" s="31">
        <f>548-53</f>
        <v>495</v>
      </c>
      <c r="F93" s="31">
        <v>452</v>
      </c>
      <c r="G93" s="31">
        <f>F93</f>
        <v>452</v>
      </c>
      <c r="H93" s="31">
        <f t="shared" ref="H93:H95" si="48">F93/E93*100</f>
        <v>91.313131313131308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3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9">D95</f>
        <v>1.1000000000000001</v>
      </c>
      <c r="E94" s="17">
        <f t="shared" si="49"/>
        <v>1.1000000000000001</v>
      </c>
      <c r="F94" s="17">
        <f t="shared" si="49"/>
        <v>1.1000000000000001</v>
      </c>
      <c r="G94" s="17">
        <f t="shared" si="49"/>
        <v>1.1000000000000001</v>
      </c>
      <c r="H94" s="17">
        <f t="shared" si="48"/>
        <v>100</v>
      </c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3" customHeight="1" x14ac:dyDescent="0.25">
      <c r="A95" s="48" t="s">
        <v>47</v>
      </c>
      <c r="B95" s="81" t="s">
        <v>103</v>
      </c>
      <c r="C95" s="48" t="s">
        <v>18</v>
      </c>
      <c r="D95" s="31">
        <v>1.1000000000000001</v>
      </c>
      <c r="E95" s="31">
        <v>1.1000000000000001</v>
      </c>
      <c r="F95" s="31">
        <v>1.1000000000000001</v>
      </c>
      <c r="G95" s="31">
        <v>1.1000000000000001</v>
      </c>
      <c r="H95" s="31">
        <f t="shared" si="48"/>
        <v>100</v>
      </c>
      <c r="I95" s="31"/>
      <c r="J95" s="35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3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50">D97+D98</f>
        <v>0</v>
      </c>
      <c r="E96" s="17">
        <f t="shared" si="50"/>
        <v>0</v>
      </c>
      <c r="F96" s="17">
        <f t="shared" si="50"/>
        <v>0</v>
      </c>
      <c r="G96" s="17">
        <f t="shared" si="50"/>
        <v>0</v>
      </c>
      <c r="H96" s="17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3" customHeight="1" x14ac:dyDescent="0.25">
      <c r="A97" s="30" t="s">
        <v>47</v>
      </c>
      <c r="B97" s="98" t="s">
        <v>270</v>
      </c>
      <c r="C97" s="48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3" customHeight="1" x14ac:dyDescent="0.25">
      <c r="A98" s="133" t="s">
        <v>47</v>
      </c>
      <c r="B98" s="98" t="s">
        <v>110</v>
      </c>
      <c r="C98" s="48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3307086614173229" right="0.35433070866141736" top="0.43307086614173229" bottom="0.27559055118110237" header="0" footer="0"/>
  <pageSetup scale="8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88671875" customWidth="1"/>
    <col min="2" max="2" width="29.88671875" customWidth="1"/>
    <col min="3" max="3" width="9.44140625" customWidth="1"/>
    <col min="4" max="5" width="17.21875" customWidth="1"/>
    <col min="6" max="8" width="12.6640625" customWidth="1"/>
    <col min="9" max="9" width="9" customWidth="1"/>
    <col min="10" max="10" width="8.88671875" customWidth="1"/>
    <col min="11" max="11" width="19.109375" customWidth="1"/>
    <col min="12" max="14" width="8.88671875" customWidth="1"/>
    <col min="15" max="25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282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'NGỌC LEANG(9)'!A5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45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195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51.7</v>
      </c>
      <c r="E9" s="17">
        <f t="shared" si="0"/>
        <v>59.07</v>
      </c>
      <c r="F9" s="17">
        <f t="shared" si="0"/>
        <v>48.150000000000006</v>
      </c>
      <c r="G9" s="17">
        <f t="shared" si="0"/>
        <v>48.150000000000006</v>
      </c>
      <c r="H9" s="17">
        <f t="shared" ref="H9:H11" si="1">F9/E9*100</f>
        <v>81.513458608430682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0.7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</v>
      </c>
      <c r="F10" s="17">
        <f t="shared" si="2"/>
        <v>1</v>
      </c>
      <c r="G10" s="17">
        <f t="shared" si="2"/>
        <v>1</v>
      </c>
      <c r="H10" s="17">
        <f t="shared" si="1"/>
        <v>100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0.7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3.69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236"/>
      <c r="K11" s="236"/>
      <c r="L11" s="283"/>
      <c r="M11" s="283"/>
      <c r="N11" s="283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</row>
    <row r="12" spans="1:26" ht="30.7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0</v>
      </c>
      <c r="F12" s="17">
        <f t="shared" si="4"/>
        <v>0</v>
      </c>
      <c r="G12" s="17">
        <f t="shared" si="4"/>
        <v>0</v>
      </c>
      <c r="H12" s="17"/>
      <c r="I12" s="17"/>
      <c r="J12" s="236"/>
      <c r="K12" s="236"/>
      <c r="L12" s="283"/>
      <c r="M12" s="283"/>
      <c r="N12" s="283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</row>
    <row r="13" spans="1:26" ht="30.7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0</v>
      </c>
      <c r="F13" s="17">
        <f t="shared" si="5"/>
        <v>0</v>
      </c>
      <c r="G13" s="17">
        <f t="shared" si="5"/>
        <v>0</v>
      </c>
      <c r="H13" s="17"/>
      <c r="I13" s="17"/>
      <c r="J13" s="137"/>
      <c r="K13" s="137"/>
      <c r="L13" s="137"/>
      <c r="M13" s="137"/>
      <c r="N13" s="1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>F14/E14*100</f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 x14ac:dyDescent="0.25">
      <c r="A15" s="15"/>
      <c r="B15" s="27" t="s">
        <v>27</v>
      </c>
      <c r="C15" s="30" t="s">
        <v>21</v>
      </c>
      <c r="D15" s="17">
        <f t="shared" ref="D15:G15" si="7">D13*D14/10</f>
        <v>0</v>
      </c>
      <c r="E15" s="17">
        <f t="shared" si="7"/>
        <v>0</v>
      </c>
      <c r="F15" s="17">
        <f t="shared" si="7"/>
        <v>0</v>
      </c>
      <c r="G15" s="17">
        <f t="shared" si="7"/>
        <v>0</v>
      </c>
      <c r="H15" s="17"/>
      <c r="I15" s="17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0</v>
      </c>
      <c r="F16" s="31">
        <v>0</v>
      </c>
      <c r="G16" s="31">
        <v>0</v>
      </c>
      <c r="H16" s="17"/>
      <c r="I16" s="31"/>
      <c r="J16" s="137"/>
      <c r="K16" s="137"/>
      <c r="L16" s="137"/>
      <c r="M16" s="137"/>
      <c r="N16" s="13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.7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/>
      <c r="H17" s="17">
        <f>F17/E17*100</f>
        <v>0</v>
      </c>
      <c r="I17" s="31"/>
      <c r="J17" s="137"/>
      <c r="K17" s="137"/>
      <c r="L17" s="137"/>
      <c r="M17" s="137"/>
      <c r="N17" s="13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.75" customHeight="1" x14ac:dyDescent="0.25">
      <c r="A18" s="15"/>
      <c r="B18" s="27" t="s">
        <v>27</v>
      </c>
      <c r="C18" s="30" t="s">
        <v>21</v>
      </c>
      <c r="D18" s="17">
        <f t="shared" ref="D18:G18" si="8">D16*D17/10</f>
        <v>0</v>
      </c>
      <c r="E18" s="17">
        <f t="shared" si="8"/>
        <v>0</v>
      </c>
      <c r="F18" s="17">
        <f t="shared" si="8"/>
        <v>0</v>
      </c>
      <c r="G18" s="17">
        <f t="shared" si="8"/>
        <v>0</v>
      </c>
      <c r="H18" s="17"/>
      <c r="I18" s="17"/>
      <c r="J18" s="137"/>
      <c r="K18" s="137"/>
      <c r="L18" s="137"/>
      <c r="M18" s="137"/>
      <c r="N18" s="13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.7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0</v>
      </c>
      <c r="F19" s="17">
        <f t="shared" si="9"/>
        <v>0</v>
      </c>
      <c r="G19" s="17">
        <f t="shared" si="9"/>
        <v>0</v>
      </c>
      <c r="H19" s="17"/>
      <c r="I19" s="17"/>
      <c r="J19" s="137"/>
      <c r="K19" s="137"/>
      <c r="L19" s="137"/>
      <c r="M19" s="137"/>
      <c r="N19" s="13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.7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26.770000000000003</v>
      </c>
      <c r="F20" s="31">
        <f t="shared" si="10"/>
        <v>0</v>
      </c>
      <c r="G20" s="31">
        <f t="shared" si="10"/>
        <v>0</v>
      </c>
      <c r="H20" s="17">
        <f>F20/E20*100</f>
        <v>0</v>
      </c>
      <c r="I20" s="31"/>
      <c r="J20" s="137"/>
      <c r="K20" s="137"/>
      <c r="L20" s="137"/>
      <c r="M20" s="137"/>
      <c r="N20" s="13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 x14ac:dyDescent="0.25">
      <c r="A21" s="40"/>
      <c r="B21" s="27" t="s">
        <v>27</v>
      </c>
      <c r="C21" s="30" t="s">
        <v>21</v>
      </c>
      <c r="D21" s="17">
        <f t="shared" ref="D21:G21" si="11">D19*D20/10</f>
        <v>0</v>
      </c>
      <c r="E21" s="17">
        <f t="shared" si="11"/>
        <v>0</v>
      </c>
      <c r="F21" s="17">
        <f t="shared" si="11"/>
        <v>0</v>
      </c>
      <c r="G21" s="17">
        <f t="shared" si="11"/>
        <v>0</v>
      </c>
      <c r="H21" s="17"/>
      <c r="I21" s="17"/>
      <c r="J21" s="137"/>
      <c r="K21" s="137"/>
      <c r="L21" s="137"/>
      <c r="M21" s="137"/>
      <c r="N21" s="137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.75" customHeight="1" x14ac:dyDescent="0.25">
      <c r="A22" s="40" t="s">
        <v>32</v>
      </c>
      <c r="B22" s="42" t="s">
        <v>33</v>
      </c>
      <c r="C22" s="40" t="s">
        <v>18</v>
      </c>
      <c r="D22" s="17"/>
      <c r="E22" s="17">
        <v>0</v>
      </c>
      <c r="F22" s="17"/>
      <c r="G22" s="17"/>
      <c r="H22" s="17"/>
      <c r="I22" s="17"/>
      <c r="J22" s="137"/>
      <c r="K22" s="137"/>
      <c r="L22" s="137"/>
      <c r="M22" s="137"/>
      <c r="N22" s="13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.7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>F23/E23*100</f>
        <v>0</v>
      </c>
      <c r="I23" s="31"/>
      <c r="J23" s="137"/>
      <c r="K23" s="137"/>
      <c r="L23" s="137"/>
      <c r="M23" s="137"/>
      <c r="N23" s="13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customHeight="1" x14ac:dyDescent="0.25">
      <c r="A24" s="40"/>
      <c r="B24" s="27" t="s">
        <v>27</v>
      </c>
      <c r="C24" s="30" t="s">
        <v>21</v>
      </c>
      <c r="D24" s="17"/>
      <c r="E24" s="17"/>
      <c r="F24" s="17"/>
      <c r="G24" s="17"/>
      <c r="H24" s="17"/>
      <c r="I24" s="17"/>
      <c r="J24" s="137"/>
      <c r="K24" s="137"/>
      <c r="L24" s="137"/>
      <c r="M24" s="137"/>
      <c r="N24" s="13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.75" customHeight="1" x14ac:dyDescent="0.25">
      <c r="A25" s="40" t="s">
        <v>32</v>
      </c>
      <c r="B25" s="42" t="s">
        <v>34</v>
      </c>
      <c r="C25" s="40" t="s">
        <v>18</v>
      </c>
      <c r="D25" s="17"/>
      <c r="E25" s="17"/>
      <c r="F25" s="17"/>
      <c r="G25" s="17"/>
      <c r="H25" s="17"/>
      <c r="I25" s="17"/>
      <c r="J25" s="137"/>
      <c r="K25" s="137"/>
      <c r="L25" s="137"/>
      <c r="M25" s="137"/>
      <c r="N25" s="137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.7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>F26/E26*100</f>
        <v>0</v>
      </c>
      <c r="I26" s="31"/>
      <c r="J26" s="137"/>
      <c r="K26" s="137"/>
      <c r="L26" s="137"/>
      <c r="M26" s="137"/>
      <c r="N26" s="137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.75" customHeight="1" x14ac:dyDescent="0.25">
      <c r="A27" s="40"/>
      <c r="B27" s="27" t="s">
        <v>27</v>
      </c>
      <c r="C27" s="30" t="s">
        <v>21</v>
      </c>
      <c r="D27" s="17"/>
      <c r="E27" s="17"/>
      <c r="F27" s="17"/>
      <c r="G27" s="17"/>
      <c r="H27" s="17"/>
      <c r="I27" s="17"/>
      <c r="J27" s="137"/>
      <c r="K27" s="137"/>
      <c r="L27" s="137"/>
      <c r="M27" s="137"/>
      <c r="N27" s="137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.7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2">D31+D34</f>
        <v>1</v>
      </c>
      <c r="E28" s="17">
        <f t="shared" si="12"/>
        <v>1</v>
      </c>
      <c r="F28" s="17">
        <f t="shared" si="12"/>
        <v>1</v>
      </c>
      <c r="G28" s="17">
        <f t="shared" si="12"/>
        <v>1</v>
      </c>
      <c r="H28" s="17">
        <f t="shared" ref="H28:H30" si="13">F28/E28*100</f>
        <v>100</v>
      </c>
      <c r="I28" s="17"/>
      <c r="J28" s="137"/>
      <c r="K28" s="137"/>
      <c r="L28" s="137"/>
      <c r="M28" s="137"/>
      <c r="N28" s="13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.75" customHeight="1" x14ac:dyDescent="0.25">
      <c r="A29" s="15"/>
      <c r="B29" s="27" t="s">
        <v>25</v>
      </c>
      <c r="C29" s="30" t="s">
        <v>26</v>
      </c>
      <c r="D29" s="31">
        <f t="shared" ref="D29:G29" si="14">D35</f>
        <v>36.85</v>
      </c>
      <c r="E29" s="31">
        <f t="shared" si="14"/>
        <v>36.9</v>
      </c>
      <c r="F29" s="31">
        <f t="shared" si="14"/>
        <v>0</v>
      </c>
      <c r="G29" s="31">
        <f t="shared" si="14"/>
        <v>0</v>
      </c>
      <c r="H29" s="17">
        <f t="shared" si="13"/>
        <v>0</v>
      </c>
      <c r="I29" s="31"/>
      <c r="J29" s="137"/>
      <c r="K29" s="137"/>
      <c r="L29" s="137"/>
      <c r="M29" s="137"/>
      <c r="N29" s="137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.75" customHeight="1" x14ac:dyDescent="0.25">
      <c r="A30" s="15"/>
      <c r="B30" s="27" t="s">
        <v>27</v>
      </c>
      <c r="C30" s="30" t="s">
        <v>21</v>
      </c>
      <c r="D30" s="31">
        <f t="shared" ref="D30:G30" si="15">D28*D29/10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17">
        <f t="shared" si="13"/>
        <v>0</v>
      </c>
      <c r="I30" s="31"/>
      <c r="J30" s="137"/>
      <c r="K30" s="137"/>
      <c r="L30" s="137"/>
      <c r="M30" s="137"/>
      <c r="N30" s="137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.7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17"/>
      <c r="I31" s="17"/>
      <c r="J31" s="137"/>
      <c r="K31" s="240"/>
      <c r="L31" s="258"/>
      <c r="M31" s="258"/>
      <c r="N31" s="258"/>
      <c r="O31" s="258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.7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137"/>
      <c r="K32" s="240"/>
      <c r="L32" s="258"/>
      <c r="M32" s="258"/>
      <c r="N32" s="258"/>
      <c r="O32" s="258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.7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137"/>
      <c r="K33" s="240"/>
      <c r="L33" s="258"/>
      <c r="M33" s="258"/>
      <c r="N33" s="258"/>
      <c r="O33" s="258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.7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17">
        <f t="shared" ref="H34:H50" si="16">F34/E34*100</f>
        <v>100</v>
      </c>
      <c r="I34" s="17"/>
      <c r="J34" s="137"/>
      <c r="K34" s="46"/>
      <c r="L34" s="46"/>
      <c r="M34" s="46"/>
      <c r="N34" s="46"/>
      <c r="O34" s="4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.7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6"/>
        <v>0</v>
      </c>
      <c r="I35" s="31"/>
      <c r="J35" s="137"/>
      <c r="K35" s="46"/>
      <c r="L35" s="46"/>
      <c r="M35" s="46"/>
      <c r="N35" s="46"/>
      <c r="O35" s="4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.7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17">
        <f t="shared" si="16"/>
        <v>0</v>
      </c>
      <c r="I36" s="31"/>
      <c r="J36" s="137"/>
      <c r="K36" s="46"/>
      <c r="L36" s="46"/>
      <c r="M36" s="46"/>
      <c r="N36" s="46"/>
      <c r="O36" s="46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.75" customHeight="1" x14ac:dyDescent="0.25">
      <c r="A37" s="15">
        <v>2</v>
      </c>
      <c r="B37" s="16" t="s">
        <v>39</v>
      </c>
      <c r="C37" s="15" t="s">
        <v>18</v>
      </c>
      <c r="D37" s="17">
        <v>10.199999999999999</v>
      </c>
      <c r="E37" s="17">
        <v>9.51</v>
      </c>
      <c r="F37" s="17">
        <v>9.51</v>
      </c>
      <c r="G37" s="17">
        <v>9.51</v>
      </c>
      <c r="H37" s="17">
        <f t="shared" si="16"/>
        <v>100</v>
      </c>
      <c r="I37" s="17"/>
      <c r="J37" s="55"/>
      <c r="K37" s="55"/>
      <c r="L37" s="55"/>
      <c r="M37" s="55"/>
      <c r="N37" s="55"/>
      <c r="O37" s="55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"/>
    </row>
    <row r="38" spans="1:26" ht="30.7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6"/>
        <v>0</v>
      </c>
      <c r="I38" s="31"/>
      <c r="J38" s="55"/>
      <c r="K38" s="55"/>
      <c r="L38" s="55"/>
      <c r="M38" s="55"/>
      <c r="N38" s="55"/>
      <c r="O38" s="55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1"/>
    </row>
    <row r="39" spans="1:26" ht="30.75" customHeight="1" x14ac:dyDescent="0.25">
      <c r="A39" s="15"/>
      <c r="B39" s="27" t="s">
        <v>27</v>
      </c>
      <c r="C39" s="30" t="s">
        <v>21</v>
      </c>
      <c r="D39" s="31">
        <f t="shared" ref="D39:G39" si="18">D37*D38/10</f>
        <v>140.25</v>
      </c>
      <c r="E39" s="31">
        <f t="shared" si="18"/>
        <v>133.13999999999999</v>
      </c>
      <c r="F39" s="31">
        <f t="shared" si="18"/>
        <v>0</v>
      </c>
      <c r="G39" s="31">
        <f t="shared" si="18"/>
        <v>0</v>
      </c>
      <c r="H39" s="17">
        <f t="shared" si="16"/>
        <v>0</v>
      </c>
      <c r="I39" s="31"/>
      <c r="J39" s="55"/>
      <c r="K39" s="55"/>
      <c r="L39" s="55"/>
      <c r="M39" s="55"/>
      <c r="N39" s="55"/>
      <c r="O39" s="55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1"/>
    </row>
    <row r="40" spans="1:26" ht="30.7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6"/>
        <v>0</v>
      </c>
      <c r="I40" s="31"/>
      <c r="J40" s="55"/>
      <c r="K40" s="55"/>
      <c r="L40" s="55"/>
      <c r="M40" s="55"/>
      <c r="N40" s="55"/>
      <c r="O40" s="55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1"/>
    </row>
    <row r="41" spans="1:26" ht="30.7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6"/>
        <v>0</v>
      </c>
      <c r="I41" s="31"/>
      <c r="J41" s="55"/>
      <c r="K41" s="55"/>
      <c r="L41" s="55"/>
      <c r="M41" s="55"/>
      <c r="N41" s="55"/>
      <c r="O41" s="55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1"/>
    </row>
    <row r="42" spans="1:26" ht="30.75" customHeight="1" x14ac:dyDescent="0.25">
      <c r="A42" s="15"/>
      <c r="B42" s="27" t="s">
        <v>27</v>
      </c>
      <c r="C42" s="30" t="s">
        <v>21</v>
      </c>
      <c r="D42" s="31">
        <f t="shared" ref="D42:G42" si="19">D40*D41/10</f>
        <v>1.25</v>
      </c>
      <c r="E42" s="31">
        <f t="shared" si="19"/>
        <v>1.2050000000000001</v>
      </c>
      <c r="F42" s="31">
        <f t="shared" si="19"/>
        <v>0</v>
      </c>
      <c r="G42" s="31">
        <f t="shared" si="19"/>
        <v>0</v>
      </c>
      <c r="H42" s="17">
        <f t="shared" si="16"/>
        <v>0</v>
      </c>
      <c r="I42" s="31"/>
      <c r="J42" s="55"/>
      <c r="K42" s="55"/>
      <c r="L42" s="55"/>
      <c r="M42" s="55"/>
      <c r="N42" s="55"/>
      <c r="O42" s="55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1"/>
    </row>
    <row r="43" spans="1:26" ht="30.7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6"/>
        <v>54</v>
      </c>
      <c r="I43" s="17"/>
      <c r="J43" s="137"/>
      <c r="K43" s="35"/>
      <c r="L43" s="84"/>
      <c r="M43" s="84"/>
      <c r="N43" s="84"/>
      <c r="O43" s="84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6"/>
        <v>0</v>
      </c>
      <c r="I44" s="31"/>
      <c r="J44" s="137"/>
      <c r="K44" s="238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.75" customHeight="1" x14ac:dyDescent="0.25">
      <c r="A45" s="30"/>
      <c r="B45" s="49" t="s">
        <v>27</v>
      </c>
      <c r="C45" s="50" t="s">
        <v>21</v>
      </c>
      <c r="D45" s="31">
        <f t="shared" ref="D45:G45" si="20">D43*D44/10</f>
        <v>5</v>
      </c>
      <c r="E45" s="31">
        <f t="shared" si="20"/>
        <v>4.9249999999999998</v>
      </c>
      <c r="F45" s="31">
        <f t="shared" si="20"/>
        <v>0</v>
      </c>
      <c r="G45" s="31">
        <f t="shared" si="20"/>
        <v>0</v>
      </c>
      <c r="H45" s="17">
        <f t="shared" si="16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.7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1">D47+D55+D64</f>
        <v>26.55</v>
      </c>
      <c r="E46" s="17">
        <f t="shared" si="21"/>
        <v>35.450000000000003</v>
      </c>
      <c r="F46" s="17">
        <f t="shared" si="21"/>
        <v>26.85</v>
      </c>
      <c r="G46" s="17">
        <f t="shared" si="21"/>
        <v>26.85</v>
      </c>
      <c r="H46" s="17">
        <f t="shared" si="16"/>
        <v>75.740479548660076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.7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2">D48+D49</f>
        <v>22.05</v>
      </c>
      <c r="E47" s="17">
        <f t="shared" si="22"/>
        <v>30.05</v>
      </c>
      <c r="F47" s="17">
        <f t="shared" si="22"/>
        <v>22.05</v>
      </c>
      <c r="G47" s="17">
        <f t="shared" si="22"/>
        <v>22.05</v>
      </c>
      <c r="H47" s="17">
        <f t="shared" si="16"/>
        <v>73.37770382695507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customHeight="1" x14ac:dyDescent="0.25">
      <c r="A48" s="59" t="s">
        <v>32</v>
      </c>
      <c r="B48" s="60" t="s">
        <v>45</v>
      </c>
      <c r="C48" s="61" t="s">
        <v>18</v>
      </c>
      <c r="D48" s="31">
        <v>22.05</v>
      </c>
      <c r="E48" s="31">
        <f>D48+D49</f>
        <v>22.05</v>
      </c>
      <c r="F48" s="31">
        <v>22.05</v>
      </c>
      <c r="G48" s="31">
        <v>22.05</v>
      </c>
      <c r="H48" s="31">
        <f t="shared" si="16"/>
        <v>100</v>
      </c>
      <c r="I48" s="31"/>
      <c r="J48" s="55"/>
      <c r="K48" s="55"/>
      <c r="L48" s="55"/>
      <c r="M48" s="55"/>
      <c r="N48" s="55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.7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3">D50+D51</f>
        <v>0</v>
      </c>
      <c r="E49" s="17">
        <f t="shared" si="23"/>
        <v>8</v>
      </c>
      <c r="F49" s="17">
        <f t="shared" si="23"/>
        <v>0</v>
      </c>
      <c r="G49" s="17">
        <f t="shared" si="23"/>
        <v>0</v>
      </c>
      <c r="H49" s="17">
        <f t="shared" si="16"/>
        <v>0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0.75" customHeight="1" x14ac:dyDescent="0.25">
      <c r="A50" s="61" t="s">
        <v>47</v>
      </c>
      <c r="B50" s="66" t="s">
        <v>269</v>
      </c>
      <c r="C50" s="61" t="s">
        <v>18</v>
      </c>
      <c r="D50" s="31"/>
      <c r="E50" s="31">
        <v>8</v>
      </c>
      <c r="F50" s="31">
        <v>0</v>
      </c>
      <c r="G50" s="31">
        <v>0</v>
      </c>
      <c r="H50" s="17">
        <f t="shared" si="16"/>
        <v>0</v>
      </c>
      <c r="I50" s="31"/>
      <c r="J50" s="35"/>
      <c r="K50" s="137"/>
      <c r="L50" s="137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.75" customHeight="1" x14ac:dyDescent="0.25">
      <c r="A51" s="61" t="s">
        <v>47</v>
      </c>
      <c r="B51" s="66" t="s">
        <v>49</v>
      </c>
      <c r="C51" s="30" t="s">
        <v>18</v>
      </c>
      <c r="D51" s="31"/>
      <c r="E51" s="31"/>
      <c r="F51" s="31"/>
      <c r="G51" s="31"/>
      <c r="H51" s="17"/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4">D53+D54</f>
        <v>13.33</v>
      </c>
      <c r="E52" s="17">
        <f t="shared" si="24"/>
        <v>18.7425</v>
      </c>
      <c r="F52" s="17">
        <f t="shared" si="24"/>
        <v>18.739999999999998</v>
      </c>
      <c r="G52" s="17">
        <f t="shared" si="24"/>
        <v>18.739999999999998</v>
      </c>
      <c r="H52" s="17">
        <f t="shared" ref="H52:H53" si="25">F52/E52*100</f>
        <v>99.986661331199144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0.75" customHeight="1" x14ac:dyDescent="0.25">
      <c r="A53" s="71" t="s">
        <v>47</v>
      </c>
      <c r="B53" s="66" t="s">
        <v>51</v>
      </c>
      <c r="C53" s="30" t="s">
        <v>18</v>
      </c>
      <c r="D53" s="31">
        <f>14.33-4</f>
        <v>10.33</v>
      </c>
      <c r="E53" s="31">
        <f>D48*85%</f>
        <v>18.7425</v>
      </c>
      <c r="F53" s="31">
        <v>18.739999999999998</v>
      </c>
      <c r="G53" s="31">
        <v>18.739999999999998</v>
      </c>
      <c r="H53" s="31">
        <f t="shared" si="25"/>
        <v>99.986661331199144</v>
      </c>
      <c r="I53" s="31"/>
      <c r="J53" s="137"/>
      <c r="K53" s="137"/>
      <c r="L53" s="238"/>
      <c r="M53" s="137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.75" customHeight="1" x14ac:dyDescent="0.25">
      <c r="A54" s="30"/>
      <c r="B54" s="66" t="s">
        <v>52</v>
      </c>
      <c r="C54" s="30" t="s">
        <v>18</v>
      </c>
      <c r="D54" s="31">
        <v>3</v>
      </c>
      <c r="E54" s="31"/>
      <c r="F54" s="31"/>
      <c r="G54" s="31"/>
      <c r="H54" s="17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6">D56+D57</f>
        <v>4.5</v>
      </c>
      <c r="E55" s="17">
        <f t="shared" si="26"/>
        <v>5.4</v>
      </c>
      <c r="F55" s="17">
        <f t="shared" si="26"/>
        <v>4.8</v>
      </c>
      <c r="G55" s="17">
        <f t="shared" si="26"/>
        <v>4.8</v>
      </c>
      <c r="H55" s="17">
        <f t="shared" ref="H55:H63" si="27">F55/E55*100</f>
        <v>88.888888888888886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customHeight="1" x14ac:dyDescent="0.25">
      <c r="A56" s="30" t="s">
        <v>32</v>
      </c>
      <c r="B56" s="60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31">
        <f t="shared" si="27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.7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8">D58+D61</f>
        <v>0</v>
      </c>
      <c r="E57" s="31">
        <f t="shared" si="28"/>
        <v>0.60000000000000009</v>
      </c>
      <c r="F57" s="31">
        <f t="shared" si="28"/>
        <v>0</v>
      </c>
      <c r="G57" s="31">
        <f t="shared" si="28"/>
        <v>0</v>
      </c>
      <c r="H57" s="17">
        <f t="shared" si="27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.7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29">D59+D60</f>
        <v>0</v>
      </c>
      <c r="E58" s="76">
        <f t="shared" si="29"/>
        <v>0.30000000000000004</v>
      </c>
      <c r="F58" s="76">
        <f t="shared" si="29"/>
        <v>0</v>
      </c>
      <c r="G58" s="76">
        <f t="shared" si="29"/>
        <v>0</v>
      </c>
      <c r="H58" s="17">
        <f t="shared" si="27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0.7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27"/>
        <v>0</v>
      </c>
      <c r="I59" s="31"/>
      <c r="J59" s="35"/>
      <c r="K59" s="240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.7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7">
        <f t="shared" si="27"/>
        <v>0</v>
      </c>
      <c r="I60" s="31"/>
      <c r="J60" s="35"/>
      <c r="K60" s="240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0">D62+D63</f>
        <v>0</v>
      </c>
      <c r="E61" s="76">
        <f t="shared" si="30"/>
        <v>0.30000000000000004</v>
      </c>
      <c r="F61" s="76">
        <f t="shared" si="30"/>
        <v>0</v>
      </c>
      <c r="G61" s="76">
        <f t="shared" si="30"/>
        <v>0</v>
      </c>
      <c r="H61" s="17">
        <f t="shared" si="27"/>
        <v>0</v>
      </c>
      <c r="I61" s="76"/>
      <c r="J61" s="35"/>
      <c r="K61" s="106"/>
      <c r="L61" s="241"/>
      <c r="M61" s="241"/>
      <c r="N61" s="24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0.7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0.2</v>
      </c>
      <c r="F62" s="31">
        <v>0</v>
      </c>
      <c r="G62" s="31">
        <v>0</v>
      </c>
      <c r="H62" s="17">
        <f t="shared" si="27"/>
        <v>0</v>
      </c>
      <c r="I62" s="31"/>
      <c r="J62" s="35"/>
      <c r="K62" s="240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7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7"/>
        <v>0</v>
      </c>
      <c r="I63" s="31"/>
      <c r="J63" s="35"/>
      <c r="K63" s="240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.7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1">D65+D66</f>
        <v>0</v>
      </c>
      <c r="E64" s="17">
        <f t="shared" si="31"/>
        <v>0</v>
      </c>
      <c r="F64" s="17">
        <f t="shared" si="31"/>
        <v>0</v>
      </c>
      <c r="G64" s="17">
        <f t="shared" si="31"/>
        <v>0</v>
      </c>
      <c r="H64" s="17"/>
      <c r="I64" s="17"/>
      <c r="J64" s="35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.75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17"/>
      <c r="I65" s="31"/>
      <c r="J65" s="137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.7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2">D68+D71</f>
        <v>13.45</v>
      </c>
      <c r="E67" s="17">
        <f t="shared" si="32"/>
        <v>12.61</v>
      </c>
      <c r="F67" s="17">
        <f t="shared" si="32"/>
        <v>10.52</v>
      </c>
      <c r="G67" s="17">
        <f t="shared" si="32"/>
        <v>10.52</v>
      </c>
      <c r="H67" s="17">
        <f t="shared" ref="H67:H75" si="33">F67/E67*100</f>
        <v>83.425852498017449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.7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4">D69+D70</f>
        <v>0.92</v>
      </c>
      <c r="E68" s="17">
        <f t="shared" si="34"/>
        <v>2.87</v>
      </c>
      <c r="F68" s="17">
        <f t="shared" si="34"/>
        <v>0.92</v>
      </c>
      <c r="G68" s="17">
        <f t="shared" si="34"/>
        <v>0.92</v>
      </c>
      <c r="H68" s="17">
        <f t="shared" si="33"/>
        <v>32.055749128919857</v>
      </c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.75" customHeight="1" x14ac:dyDescent="0.25">
      <c r="A69" s="30" t="s">
        <v>47</v>
      </c>
      <c r="B69" s="60" t="s">
        <v>69</v>
      </c>
      <c r="C69" s="30" t="s">
        <v>18</v>
      </c>
      <c r="D69" s="31">
        <v>0.77</v>
      </c>
      <c r="E69" s="31">
        <f>D69+D70</f>
        <v>0.92</v>
      </c>
      <c r="F69" s="31">
        <v>0.92</v>
      </c>
      <c r="G69" s="31">
        <v>0.92</v>
      </c>
      <c r="H69" s="31">
        <f t="shared" si="33"/>
        <v>100</v>
      </c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.75" customHeight="1" x14ac:dyDescent="0.25">
      <c r="A70" s="30" t="s">
        <v>47</v>
      </c>
      <c r="B70" s="60" t="s">
        <v>70</v>
      </c>
      <c r="C70" s="30" t="s">
        <v>18</v>
      </c>
      <c r="D70" s="31">
        <v>0.15</v>
      </c>
      <c r="E70" s="31">
        <v>1.95</v>
      </c>
      <c r="F70" s="31"/>
      <c r="G70" s="31"/>
      <c r="H70" s="17">
        <f t="shared" si="33"/>
        <v>0</v>
      </c>
      <c r="I70" s="31"/>
      <c r="J70" s="137"/>
      <c r="K70" s="28"/>
      <c r="L70" s="35"/>
      <c r="M70" s="28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.7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5">D72+D73</f>
        <v>12.53</v>
      </c>
      <c r="E71" s="17">
        <f t="shared" si="35"/>
        <v>9.74</v>
      </c>
      <c r="F71" s="17">
        <f t="shared" si="35"/>
        <v>9.6</v>
      </c>
      <c r="G71" s="17">
        <f t="shared" si="35"/>
        <v>9.6</v>
      </c>
      <c r="H71" s="17">
        <f t="shared" si="33"/>
        <v>98.562628336755637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.7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6">D75+D82</f>
        <v>12.03</v>
      </c>
      <c r="E72" s="91">
        <f t="shared" si="36"/>
        <v>9.6</v>
      </c>
      <c r="F72" s="91">
        <f t="shared" si="36"/>
        <v>9.6</v>
      </c>
      <c r="G72" s="91">
        <f t="shared" si="36"/>
        <v>9.6</v>
      </c>
      <c r="H72" s="17">
        <f t="shared" si="33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7">D76+D83</f>
        <v>0.5</v>
      </c>
      <c r="E73" s="17">
        <f t="shared" si="37"/>
        <v>0.14000000000000001</v>
      </c>
      <c r="F73" s="17">
        <f t="shared" si="37"/>
        <v>0</v>
      </c>
      <c r="G73" s="17">
        <f t="shared" si="37"/>
        <v>0</v>
      </c>
      <c r="H73" s="17">
        <f t="shared" si="33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38">D75+D76</f>
        <v>9.1</v>
      </c>
      <c r="E74" s="96">
        <f t="shared" si="38"/>
        <v>9.1</v>
      </c>
      <c r="F74" s="96">
        <f t="shared" si="38"/>
        <v>9.1</v>
      </c>
      <c r="G74" s="96">
        <f t="shared" si="38"/>
        <v>9.1</v>
      </c>
      <c r="H74" s="17">
        <f t="shared" si="33"/>
        <v>100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 x14ac:dyDescent="0.25">
      <c r="A75" s="59" t="s">
        <v>32</v>
      </c>
      <c r="B75" s="98" t="s">
        <v>45</v>
      </c>
      <c r="C75" s="30" t="s">
        <v>18</v>
      </c>
      <c r="D75" s="62">
        <f>8.1+1</f>
        <v>9.1</v>
      </c>
      <c r="E75" s="62">
        <f>D75+D76</f>
        <v>9.1</v>
      </c>
      <c r="F75" s="62">
        <v>9.1</v>
      </c>
      <c r="G75" s="62">
        <v>9.1</v>
      </c>
      <c r="H75" s="31">
        <f t="shared" si="33"/>
        <v>100</v>
      </c>
      <c r="I75" s="31"/>
      <c r="J75" s="137"/>
      <c r="K75" s="137"/>
      <c r="L75" s="125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39">SUM(D77:D80)</f>
        <v>0</v>
      </c>
      <c r="E76" s="244">
        <f t="shared" si="39"/>
        <v>0</v>
      </c>
      <c r="F76" s="244">
        <f t="shared" si="39"/>
        <v>0</v>
      </c>
      <c r="G76" s="244">
        <f t="shared" si="39"/>
        <v>0</v>
      </c>
      <c r="H76" s="17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0.75" customHeight="1" x14ac:dyDescent="0.25">
      <c r="A77" s="48" t="s">
        <v>47</v>
      </c>
      <c r="B77" s="101" t="s">
        <v>80</v>
      </c>
      <c r="C77" s="48" t="s">
        <v>18</v>
      </c>
      <c r="D77" s="31"/>
      <c r="E77" s="31"/>
      <c r="F77" s="31"/>
      <c r="G77" s="31"/>
      <c r="H77" s="17"/>
      <c r="I77" s="31"/>
      <c r="J77" s="241"/>
      <c r="K77" s="241"/>
      <c r="L77" s="106"/>
      <c r="M77" s="106"/>
      <c r="N77" s="246"/>
      <c r="O77" s="2"/>
      <c r="P77" s="38"/>
      <c r="Q77" s="2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31"/>
      <c r="H78" s="17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0.7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17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 x14ac:dyDescent="0.25">
      <c r="A80" s="48" t="s">
        <v>47</v>
      </c>
      <c r="B80" s="247" t="s">
        <v>83</v>
      </c>
      <c r="C80" s="48" t="s">
        <v>18</v>
      </c>
      <c r="D80" s="31"/>
      <c r="E80" s="31"/>
      <c r="F80" s="31"/>
      <c r="G80" s="31"/>
      <c r="H80" s="17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0">D82+D83</f>
        <v>3.43</v>
      </c>
      <c r="E81" s="96">
        <f t="shared" si="40"/>
        <v>0.64</v>
      </c>
      <c r="F81" s="96">
        <f t="shared" si="40"/>
        <v>0.5</v>
      </c>
      <c r="G81" s="96">
        <f t="shared" si="40"/>
        <v>0.5</v>
      </c>
      <c r="H81" s="104">
        <f t="shared" ref="H81:H83" si="41">F81/E81*100</f>
        <v>78.125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0.75" customHeight="1" x14ac:dyDescent="0.25">
      <c r="A82" s="117" t="s">
        <v>47</v>
      </c>
      <c r="B82" s="101" t="s">
        <v>85</v>
      </c>
      <c r="C82" s="48" t="s">
        <v>18</v>
      </c>
      <c r="D82" s="76">
        <v>2.93</v>
      </c>
      <c r="E82" s="76">
        <v>0.5</v>
      </c>
      <c r="F82" s="76">
        <v>0.5</v>
      </c>
      <c r="G82" s="76">
        <v>0.5</v>
      </c>
      <c r="H82" s="31">
        <f t="shared" si="41"/>
        <v>100</v>
      </c>
      <c r="I82" s="76"/>
      <c r="J82" s="241"/>
      <c r="K82" s="241"/>
      <c r="L82" s="24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0.7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2">SUM(D84:D87)</f>
        <v>0.5</v>
      </c>
      <c r="E83" s="62">
        <f t="shared" si="42"/>
        <v>0.14000000000000001</v>
      </c>
      <c r="F83" s="62">
        <f t="shared" si="42"/>
        <v>0</v>
      </c>
      <c r="G83" s="62">
        <f t="shared" si="42"/>
        <v>0</v>
      </c>
      <c r="H83" s="17">
        <f t="shared" si="41"/>
        <v>0</v>
      </c>
      <c r="I83" s="62"/>
      <c r="J83" s="241"/>
      <c r="K83" s="241"/>
      <c r="L83" s="241"/>
      <c r="M83" s="241"/>
      <c r="N83" s="24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.7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17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.7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17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.7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17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0.75" customHeight="1" x14ac:dyDescent="0.25">
      <c r="A87" s="117" t="s">
        <v>47</v>
      </c>
      <c r="B87" s="101" t="s">
        <v>89</v>
      </c>
      <c r="C87" s="48" t="s">
        <v>18</v>
      </c>
      <c r="D87" s="31">
        <v>0.5</v>
      </c>
      <c r="E87" s="31">
        <v>0.14000000000000001</v>
      </c>
      <c r="F87" s="31">
        <v>0</v>
      </c>
      <c r="G87" s="31">
        <v>0</v>
      </c>
      <c r="H87" s="17">
        <f t="shared" ref="H87:H91" si="43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47"/>
      <c r="S87" s="1"/>
      <c r="T87" s="1"/>
      <c r="U87" s="1"/>
      <c r="V87" s="1"/>
      <c r="W87" s="1"/>
      <c r="X87" s="1"/>
      <c r="Y87" s="1"/>
      <c r="Z87" s="1"/>
    </row>
    <row r="88" spans="1:26" ht="30.75" customHeight="1" x14ac:dyDescent="0.25">
      <c r="A88" s="15" t="s">
        <v>90</v>
      </c>
      <c r="B88" s="24" t="s">
        <v>91</v>
      </c>
      <c r="C88" s="15"/>
      <c r="D88" s="17">
        <f t="shared" ref="D88:G88" si="44">SUM(D89:D93)</f>
        <v>363</v>
      </c>
      <c r="E88" s="17">
        <f t="shared" si="44"/>
        <v>322</v>
      </c>
      <c r="F88" s="17">
        <f t="shared" si="44"/>
        <v>266</v>
      </c>
      <c r="G88" s="17">
        <f t="shared" si="44"/>
        <v>266</v>
      </c>
      <c r="H88" s="17">
        <f t="shared" si="43"/>
        <v>82.608695652173907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.75" customHeight="1" x14ac:dyDescent="0.25">
      <c r="A89" s="30">
        <v>1</v>
      </c>
      <c r="B89" s="27" t="s">
        <v>92</v>
      </c>
      <c r="C89" s="30" t="s">
        <v>93</v>
      </c>
      <c r="D89" s="31">
        <v>30</v>
      </c>
      <c r="E89" s="31">
        <f>31+16</f>
        <v>47</v>
      </c>
      <c r="F89" s="31">
        <v>45</v>
      </c>
      <c r="G89" s="31">
        <f t="shared" ref="G89:G91" si="45">F89</f>
        <v>45</v>
      </c>
      <c r="H89" s="31">
        <f t="shared" si="43"/>
        <v>95.744680851063833</v>
      </c>
      <c r="I89" s="31"/>
      <c r="J89" s="57"/>
      <c r="K89" s="84"/>
      <c r="L89" s="274"/>
      <c r="M89" s="275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0.75" customHeight="1" x14ac:dyDescent="0.25">
      <c r="A90" s="30">
        <v>2</v>
      </c>
      <c r="B90" s="27" t="s">
        <v>94</v>
      </c>
      <c r="C90" s="30" t="s">
        <v>93</v>
      </c>
      <c r="D90" s="31">
        <f>51+5</f>
        <v>56</v>
      </c>
      <c r="E90" s="31">
        <f>50+8</f>
        <v>58</v>
      </c>
      <c r="F90" s="31">
        <v>56</v>
      </c>
      <c r="G90" s="31">
        <f t="shared" si="45"/>
        <v>56</v>
      </c>
      <c r="H90" s="31">
        <f t="shared" si="43"/>
        <v>96.551724137931032</v>
      </c>
      <c r="I90" s="31"/>
      <c r="J90" s="57"/>
      <c r="K90" s="276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0.75" customHeight="1" x14ac:dyDescent="0.25">
      <c r="A91" s="30">
        <v>3</v>
      </c>
      <c r="B91" s="27" t="s">
        <v>97</v>
      </c>
      <c r="C91" s="30" t="s">
        <v>93</v>
      </c>
      <c r="D91" s="31">
        <f>29+10</f>
        <v>39</v>
      </c>
      <c r="E91" s="31">
        <f>20+6</f>
        <v>26</v>
      </c>
      <c r="F91" s="31">
        <v>20</v>
      </c>
      <c r="G91" s="31">
        <f t="shared" si="45"/>
        <v>20</v>
      </c>
      <c r="H91" s="31">
        <f t="shared" si="43"/>
        <v>76.923076923076934</v>
      </c>
      <c r="I91" s="31"/>
      <c r="J91" s="57"/>
      <c r="K91" s="276"/>
      <c r="L91" s="274"/>
      <c r="M91" s="275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0.75" customHeight="1" x14ac:dyDescent="0.25">
      <c r="A92" s="30">
        <v>4</v>
      </c>
      <c r="B92" s="27" t="s">
        <v>99</v>
      </c>
      <c r="C92" s="30" t="s">
        <v>93</v>
      </c>
      <c r="D92" s="31"/>
      <c r="E92" s="31"/>
      <c r="F92" s="31"/>
      <c r="G92" s="31"/>
      <c r="H92" s="17"/>
      <c r="I92" s="31"/>
      <c r="J92" s="28"/>
      <c r="K92" s="28"/>
      <c r="L92" s="277"/>
      <c r="M92" s="275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.75" customHeight="1" x14ac:dyDescent="0.25">
      <c r="A93" s="30">
        <v>5</v>
      </c>
      <c r="B93" s="27" t="s">
        <v>100</v>
      </c>
      <c r="C93" s="30" t="s">
        <v>93</v>
      </c>
      <c r="D93" s="31">
        <f>223+15</f>
        <v>238</v>
      </c>
      <c r="E93" s="31">
        <f>211-20</f>
        <v>191</v>
      </c>
      <c r="F93" s="31">
        <v>145</v>
      </c>
      <c r="G93" s="31">
        <f>F93</f>
        <v>145</v>
      </c>
      <c r="H93" s="31">
        <f>F93/E93*100</f>
        <v>75.916230366492144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0.7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6">D95</f>
        <v>0</v>
      </c>
      <c r="E94" s="17">
        <f t="shared" si="46"/>
        <v>0</v>
      </c>
      <c r="F94" s="17">
        <f t="shared" si="46"/>
        <v>0</v>
      </c>
      <c r="G94" s="17">
        <f t="shared" si="46"/>
        <v>0</v>
      </c>
      <c r="H94" s="17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0.75" customHeight="1" x14ac:dyDescent="0.25">
      <c r="A95" s="48" t="s">
        <v>47</v>
      </c>
      <c r="B95" s="81" t="s">
        <v>103</v>
      </c>
      <c r="C95" s="48" t="s">
        <v>18</v>
      </c>
      <c r="D95" s="31"/>
      <c r="E95" s="31"/>
      <c r="F95" s="31"/>
      <c r="G95" s="31"/>
      <c r="H95" s="17"/>
      <c r="I95" s="31"/>
      <c r="J95" s="35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.7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7">D97+D98</f>
        <v>0</v>
      </c>
      <c r="E96" s="17">
        <f t="shared" si="47"/>
        <v>0</v>
      </c>
      <c r="F96" s="17">
        <f t="shared" si="47"/>
        <v>0</v>
      </c>
      <c r="G96" s="17">
        <f t="shared" si="47"/>
        <v>0</v>
      </c>
      <c r="H96" s="17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.75" customHeight="1" x14ac:dyDescent="0.25">
      <c r="A97" s="30" t="s">
        <v>47</v>
      </c>
      <c r="B97" s="98" t="s">
        <v>270</v>
      </c>
      <c r="C97" s="48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.75" customHeight="1" x14ac:dyDescent="0.25">
      <c r="A98" s="133" t="s">
        <v>47</v>
      </c>
      <c r="B98" s="98" t="s">
        <v>110</v>
      </c>
      <c r="C98" s="48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9055118110236227" bottom="0.55118110236220474" header="0" footer="0"/>
  <pageSetup scale="8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21875" customWidth="1"/>
    <col min="2" max="2" width="31" customWidth="1"/>
    <col min="3" max="3" width="9.6640625" customWidth="1"/>
    <col min="4" max="4" width="17.77734375" customWidth="1"/>
    <col min="5" max="5" width="17.88671875" customWidth="1"/>
    <col min="6" max="9" width="12.6640625" customWidth="1"/>
    <col min="10" max="10" width="8.88671875" customWidth="1"/>
    <col min="11" max="11" width="20.77734375" customWidth="1"/>
    <col min="12" max="12" width="11.5546875" customWidth="1"/>
    <col min="13" max="14" width="8.88671875" customWidth="1"/>
    <col min="15" max="21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283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'ĐĂK SIÊNG(10)'!A5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113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416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88.3</v>
      </c>
      <c r="E9" s="17">
        <f t="shared" si="0"/>
        <v>96.78</v>
      </c>
      <c r="F9" s="17">
        <f t="shared" si="0"/>
        <v>78.7</v>
      </c>
      <c r="G9" s="17">
        <f t="shared" si="0"/>
        <v>78.7</v>
      </c>
      <c r="H9" s="17">
        <f t="shared" ref="H9:H11" si="1">F9/E9*100</f>
        <v>81.31845422607978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2.2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</v>
      </c>
      <c r="F10" s="17">
        <f t="shared" si="2"/>
        <v>1</v>
      </c>
      <c r="G10" s="17">
        <f t="shared" si="2"/>
        <v>1</v>
      </c>
      <c r="H10" s="17">
        <f t="shared" si="1"/>
        <v>100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2.2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3.69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2.2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0</v>
      </c>
      <c r="F12" s="17">
        <f t="shared" si="4"/>
        <v>0</v>
      </c>
      <c r="G12" s="17">
        <f t="shared" si="4"/>
        <v>0</v>
      </c>
      <c r="H12" s="17"/>
      <c r="I12" s="17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2.2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0</v>
      </c>
      <c r="F13" s="17">
        <f t="shared" si="5"/>
        <v>0</v>
      </c>
      <c r="G13" s="17">
        <f t="shared" si="5"/>
        <v>0</v>
      </c>
      <c r="H13" s="17"/>
      <c r="I13" s="17"/>
      <c r="J13" s="137"/>
      <c r="K13" s="137"/>
      <c r="L13" s="137"/>
      <c r="M13" s="137"/>
      <c r="N13" s="1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>F14/E14*100</f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0</v>
      </c>
      <c r="F15" s="31">
        <f t="shared" si="7"/>
        <v>0</v>
      </c>
      <c r="G15" s="31">
        <f t="shared" si="7"/>
        <v>0</v>
      </c>
      <c r="H15" s="17"/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 x14ac:dyDescent="0.25">
      <c r="A16" s="15" t="s">
        <v>28</v>
      </c>
      <c r="B16" s="16" t="s">
        <v>29</v>
      </c>
      <c r="C16" s="15" t="s">
        <v>18</v>
      </c>
      <c r="D16" s="17"/>
      <c r="E16" s="17"/>
      <c r="F16" s="31"/>
      <c r="G16" s="31"/>
      <c r="H16" s="17"/>
      <c r="I16" s="31"/>
      <c r="J16" s="137"/>
      <c r="K16" s="137"/>
      <c r="L16" s="137"/>
      <c r="M16" s="137"/>
      <c r="N16" s="13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/>
      <c r="H17" s="17">
        <f>F17/E17*100</f>
        <v>0</v>
      </c>
      <c r="I17" s="31"/>
      <c r="J17" s="137"/>
      <c r="K17" s="137"/>
      <c r="L17" s="137"/>
      <c r="M17" s="137"/>
      <c r="N17" s="13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5">
      <c r="A18" s="15"/>
      <c r="B18" s="27" t="s">
        <v>27</v>
      </c>
      <c r="C18" s="30" t="s">
        <v>21</v>
      </c>
      <c r="D18" s="17"/>
      <c r="E18" s="17"/>
      <c r="F18" s="31"/>
      <c r="G18" s="31"/>
      <c r="H18" s="17"/>
      <c r="I18" s="31"/>
      <c r="J18" s="137"/>
      <c r="K18" s="137"/>
      <c r="L18" s="137"/>
      <c r="M18" s="137"/>
      <c r="N18" s="13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8">D22+D25</f>
        <v>0</v>
      </c>
      <c r="E19" s="17">
        <f t="shared" si="8"/>
        <v>0</v>
      </c>
      <c r="F19" s="17">
        <f t="shared" si="8"/>
        <v>0</v>
      </c>
      <c r="G19" s="17">
        <f t="shared" si="8"/>
        <v>0</v>
      </c>
      <c r="H19" s="17"/>
      <c r="I19" s="17"/>
      <c r="J19" s="137"/>
      <c r="K19" s="137"/>
      <c r="L19" s="137"/>
      <c r="M19" s="137"/>
      <c r="N19" s="13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2.25" customHeight="1" x14ac:dyDescent="0.25">
      <c r="A20" s="40"/>
      <c r="B20" s="27" t="s">
        <v>25</v>
      </c>
      <c r="C20" s="30" t="s">
        <v>26</v>
      </c>
      <c r="D20" s="31">
        <f t="shared" ref="D20:G20" si="9">(D23+D26)/2</f>
        <v>26.75</v>
      </c>
      <c r="E20" s="31">
        <f t="shared" si="9"/>
        <v>26.770000000000003</v>
      </c>
      <c r="F20" s="31">
        <f t="shared" si="9"/>
        <v>0</v>
      </c>
      <c r="G20" s="31">
        <f t="shared" si="9"/>
        <v>0</v>
      </c>
      <c r="H20" s="17">
        <f>F20/E20*100</f>
        <v>0</v>
      </c>
      <c r="I20" s="31"/>
      <c r="J20" s="137"/>
      <c r="K20" s="137"/>
      <c r="L20" s="137"/>
      <c r="M20" s="137"/>
      <c r="N20" s="13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2.25" customHeight="1" x14ac:dyDescent="0.25">
      <c r="A21" s="40"/>
      <c r="B21" s="27" t="s">
        <v>27</v>
      </c>
      <c r="C21" s="30" t="s">
        <v>21</v>
      </c>
      <c r="D21" s="31">
        <f t="shared" ref="D21:G21" si="10">D19*D20/10</f>
        <v>0</v>
      </c>
      <c r="E21" s="31">
        <f t="shared" si="10"/>
        <v>0</v>
      </c>
      <c r="F21" s="31">
        <f t="shared" si="10"/>
        <v>0</v>
      </c>
      <c r="G21" s="31">
        <f t="shared" si="10"/>
        <v>0</v>
      </c>
      <c r="H21" s="17"/>
      <c r="I21" s="31"/>
      <c r="J21" s="137"/>
      <c r="K21" s="137"/>
      <c r="L21" s="137"/>
      <c r="M21" s="137"/>
      <c r="N21" s="137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 x14ac:dyDescent="0.25">
      <c r="A22" s="40" t="s">
        <v>32</v>
      </c>
      <c r="B22" s="42" t="s">
        <v>33</v>
      </c>
      <c r="C22" s="40" t="s">
        <v>18</v>
      </c>
      <c r="D22" s="17"/>
      <c r="E22" s="31">
        <v>0</v>
      </c>
      <c r="F22" s="31"/>
      <c r="G22" s="31"/>
      <c r="H22" s="17"/>
      <c r="I22" s="31"/>
      <c r="J22" s="137"/>
      <c r="K22" s="137"/>
      <c r="L22" s="137"/>
      <c r="M22" s="137"/>
      <c r="N22" s="13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>F23/E23*100</f>
        <v>0</v>
      </c>
      <c r="I23" s="31"/>
      <c r="J23" s="137"/>
      <c r="K23" s="137"/>
      <c r="L23" s="137"/>
      <c r="M23" s="137"/>
      <c r="N23" s="13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 x14ac:dyDescent="0.25">
      <c r="A24" s="40"/>
      <c r="B24" s="27" t="s">
        <v>27</v>
      </c>
      <c r="C24" s="30" t="s">
        <v>21</v>
      </c>
      <c r="D24" s="17">
        <f t="shared" ref="D24:G24" si="11">D22*D23/10</f>
        <v>0</v>
      </c>
      <c r="E24" s="17">
        <f t="shared" si="11"/>
        <v>0</v>
      </c>
      <c r="F24" s="17">
        <f t="shared" si="11"/>
        <v>0</v>
      </c>
      <c r="G24" s="17">
        <f t="shared" si="11"/>
        <v>0</v>
      </c>
      <c r="H24" s="17"/>
      <c r="I24" s="17"/>
      <c r="J24" s="137"/>
      <c r="K24" s="137"/>
      <c r="L24" s="137"/>
      <c r="M24" s="137"/>
      <c r="N24" s="13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x14ac:dyDescent="0.25">
      <c r="A25" s="40" t="s">
        <v>32</v>
      </c>
      <c r="B25" s="42" t="s">
        <v>34</v>
      </c>
      <c r="C25" s="40" t="s">
        <v>18</v>
      </c>
      <c r="D25" s="17"/>
      <c r="E25" s="17">
        <v>0</v>
      </c>
      <c r="F25" s="31"/>
      <c r="G25" s="31"/>
      <c r="H25" s="17"/>
      <c r="I25" s="31"/>
      <c r="J25" s="55"/>
      <c r="K25" s="55"/>
      <c r="L25" s="55"/>
      <c r="M25" s="55"/>
      <c r="N25" s="55"/>
      <c r="O25" s="33"/>
      <c r="P25" s="33"/>
      <c r="Q25" s="33"/>
      <c r="R25" s="33"/>
      <c r="S25" s="2"/>
      <c r="T25" s="1"/>
      <c r="U25" s="1"/>
      <c r="V25" s="1"/>
      <c r="W25" s="1"/>
      <c r="X25" s="1"/>
      <c r="Y25" s="1"/>
      <c r="Z25" s="1"/>
    </row>
    <row r="26" spans="1:26" ht="32.2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/>
      <c r="I26" s="31"/>
      <c r="J26" s="55"/>
      <c r="K26" s="55"/>
      <c r="L26" s="55"/>
      <c r="M26" s="55"/>
      <c r="N26" s="55"/>
      <c r="O26" s="33"/>
      <c r="P26" s="33"/>
      <c r="Q26" s="33"/>
      <c r="R26" s="33"/>
      <c r="S26" s="2"/>
      <c r="T26" s="1"/>
      <c r="U26" s="1"/>
      <c r="V26" s="1"/>
      <c r="W26" s="1"/>
      <c r="X26" s="1"/>
      <c r="Y26" s="1"/>
      <c r="Z26" s="1"/>
    </row>
    <row r="27" spans="1:26" ht="32.25" customHeight="1" x14ac:dyDescent="0.25">
      <c r="A27" s="40"/>
      <c r="B27" s="27" t="s">
        <v>27</v>
      </c>
      <c r="C27" s="30" t="s">
        <v>21</v>
      </c>
      <c r="D27" s="31">
        <f t="shared" ref="D27:G27" si="12">D25*D26/10</f>
        <v>0</v>
      </c>
      <c r="E27" s="31">
        <f t="shared" si="12"/>
        <v>0</v>
      </c>
      <c r="F27" s="31">
        <f t="shared" si="12"/>
        <v>0</v>
      </c>
      <c r="G27" s="31">
        <f t="shared" si="12"/>
        <v>0</v>
      </c>
      <c r="H27" s="17"/>
      <c r="I27" s="31"/>
      <c r="J27" s="55"/>
      <c r="K27" s="55"/>
      <c r="L27" s="55"/>
      <c r="M27" s="55"/>
      <c r="N27" s="55"/>
      <c r="O27" s="33"/>
      <c r="P27" s="33"/>
      <c r="Q27" s="33"/>
      <c r="R27" s="33"/>
      <c r="S27" s="2"/>
      <c r="T27" s="1"/>
      <c r="U27" s="1"/>
      <c r="V27" s="1"/>
      <c r="W27" s="1"/>
      <c r="X27" s="1"/>
      <c r="Y27" s="1"/>
      <c r="Z27" s="1"/>
    </row>
    <row r="28" spans="1:26" ht="32.2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17">
        <f t="shared" ref="H28:H30" si="14">F28/E28*100</f>
        <v>100</v>
      </c>
      <c r="I28" s="17"/>
      <c r="J28" s="137"/>
      <c r="K28" s="137"/>
      <c r="L28" s="137"/>
      <c r="M28" s="137"/>
      <c r="N28" s="13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25">
      <c r="A29" s="15"/>
      <c r="B29" s="27" t="s">
        <v>25</v>
      </c>
      <c r="C29" s="30" t="s">
        <v>26</v>
      </c>
      <c r="D29" s="31">
        <f t="shared" ref="D29:G29" si="15">D35</f>
        <v>36.85</v>
      </c>
      <c r="E29" s="31">
        <f t="shared" si="15"/>
        <v>36.9</v>
      </c>
      <c r="F29" s="31">
        <f t="shared" si="15"/>
        <v>0</v>
      </c>
      <c r="G29" s="31">
        <f t="shared" si="15"/>
        <v>0</v>
      </c>
      <c r="H29" s="17">
        <f t="shared" si="14"/>
        <v>0</v>
      </c>
      <c r="I29" s="31"/>
      <c r="J29" s="137"/>
      <c r="K29" s="137"/>
      <c r="L29" s="285"/>
      <c r="M29" s="285"/>
      <c r="N29" s="285"/>
      <c r="O29" s="286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</row>
    <row r="30" spans="1:26" ht="32.25" customHeight="1" x14ac:dyDescent="0.25">
      <c r="A30" s="15"/>
      <c r="B30" s="27" t="s">
        <v>27</v>
      </c>
      <c r="C30" s="30" t="s">
        <v>21</v>
      </c>
      <c r="D30" s="31">
        <f t="shared" ref="D30:G30" si="16">D28*D29/10</f>
        <v>3.6850000000000001</v>
      </c>
      <c r="E30" s="31">
        <f t="shared" si="16"/>
        <v>3.69</v>
      </c>
      <c r="F30" s="31">
        <f t="shared" si="16"/>
        <v>0</v>
      </c>
      <c r="G30" s="31">
        <f t="shared" si="16"/>
        <v>0</v>
      </c>
      <c r="H30" s="17">
        <f t="shared" si="14"/>
        <v>0</v>
      </c>
      <c r="I30" s="31"/>
      <c r="J30" s="137"/>
      <c r="K30" s="137"/>
      <c r="L30" s="285"/>
      <c r="M30" s="285"/>
      <c r="N30" s="285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</row>
    <row r="31" spans="1:26" ht="32.2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17"/>
      <c r="I31" s="17"/>
      <c r="J31" s="137"/>
      <c r="K31" s="240"/>
      <c r="L31" s="258"/>
      <c r="M31" s="258"/>
      <c r="N31" s="258"/>
      <c r="O31" s="258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137"/>
      <c r="K32" s="240"/>
      <c r="L32" s="258"/>
      <c r="M32" s="258"/>
      <c r="N32" s="258"/>
      <c r="O32" s="258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137"/>
      <c r="K33" s="240"/>
      <c r="L33" s="258"/>
      <c r="M33" s="258"/>
      <c r="N33" s="258"/>
      <c r="O33" s="258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17">
        <f t="shared" ref="H34:H53" si="17">F34/E34*100</f>
        <v>100</v>
      </c>
      <c r="I34" s="31"/>
      <c r="J34" s="137"/>
      <c r="K34" s="46"/>
      <c r="L34" s="46"/>
      <c r="M34" s="46"/>
      <c r="N34" s="46"/>
      <c r="O34" s="4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137"/>
      <c r="K35" s="46"/>
      <c r="L35" s="289"/>
      <c r="M35" s="289"/>
      <c r="N35" s="289"/>
      <c r="O35" s="289"/>
      <c r="P35" s="286"/>
      <c r="Q35" s="286"/>
      <c r="R35" s="286"/>
      <c r="S35" s="286"/>
      <c r="T35" s="286"/>
      <c r="U35" s="286"/>
      <c r="V35" s="286"/>
      <c r="W35" s="286"/>
      <c r="X35" s="286"/>
      <c r="Y35" s="286"/>
      <c r="Z35" s="286"/>
    </row>
    <row r="36" spans="1:26" ht="32.25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3.6850000000000001</v>
      </c>
      <c r="E36" s="31">
        <f t="shared" si="18"/>
        <v>3.69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137"/>
      <c r="K36" s="46"/>
      <c r="L36" s="289"/>
      <c r="M36" s="289"/>
      <c r="N36" s="289"/>
      <c r="O36" s="289"/>
      <c r="P36" s="286"/>
      <c r="Q36" s="286"/>
      <c r="R36" s="286"/>
      <c r="S36" s="286"/>
      <c r="T36" s="286"/>
      <c r="U36" s="286"/>
      <c r="V36" s="286"/>
      <c r="W36" s="286"/>
      <c r="X36" s="286"/>
      <c r="Y36" s="286"/>
      <c r="Z36" s="286"/>
    </row>
    <row r="37" spans="1:26" ht="32.25" customHeight="1" x14ac:dyDescent="0.25">
      <c r="A37" s="15">
        <v>2</v>
      </c>
      <c r="B37" s="16" t="s">
        <v>39</v>
      </c>
      <c r="C37" s="15" t="s">
        <v>18</v>
      </c>
      <c r="D37" s="17">
        <v>27</v>
      </c>
      <c r="E37" s="17">
        <v>24.31</v>
      </c>
      <c r="F37" s="17">
        <v>24.31</v>
      </c>
      <c r="G37" s="17">
        <v>24.31</v>
      </c>
      <c r="H37" s="17">
        <f t="shared" si="17"/>
        <v>100</v>
      </c>
      <c r="I37" s="17"/>
      <c r="J37" s="55"/>
      <c r="K37" s="55"/>
      <c r="L37" s="55"/>
      <c r="M37" s="55"/>
      <c r="N37" s="55"/>
      <c r="O37" s="55"/>
      <c r="P37" s="33"/>
      <c r="Q37" s="33"/>
      <c r="R37" s="33"/>
      <c r="S37" s="33"/>
      <c r="T37" s="33"/>
      <c r="U37" s="33"/>
      <c r="V37" s="1"/>
      <c r="W37" s="1"/>
      <c r="X37" s="1"/>
      <c r="Y37" s="1"/>
      <c r="Z37" s="1"/>
    </row>
    <row r="38" spans="1:26" ht="32.2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7"/>
        <v>0</v>
      </c>
      <c r="I38" s="31"/>
      <c r="J38" s="55"/>
      <c r="K38" s="55"/>
      <c r="L38" s="292"/>
      <c r="M38" s="292"/>
      <c r="N38" s="292"/>
      <c r="O38" s="292"/>
      <c r="P38" s="298"/>
      <c r="Q38" s="298"/>
      <c r="R38" s="298"/>
      <c r="S38" s="298"/>
      <c r="T38" s="298"/>
      <c r="U38" s="298"/>
      <c r="V38" s="286"/>
      <c r="W38" s="286"/>
      <c r="X38" s="286"/>
      <c r="Y38" s="286"/>
      <c r="Z38" s="286"/>
    </row>
    <row r="39" spans="1:26" ht="32.25" customHeight="1" x14ac:dyDescent="0.25">
      <c r="A39" s="15"/>
      <c r="B39" s="27" t="s">
        <v>27</v>
      </c>
      <c r="C39" s="30" t="s">
        <v>21</v>
      </c>
      <c r="D39" s="31">
        <f t="shared" ref="D39:G39" si="19">D37*D38/10</f>
        <v>371.25</v>
      </c>
      <c r="E39" s="31">
        <f t="shared" si="19"/>
        <v>340.34</v>
      </c>
      <c r="F39" s="31">
        <f t="shared" si="19"/>
        <v>0</v>
      </c>
      <c r="G39" s="31">
        <f t="shared" si="19"/>
        <v>0</v>
      </c>
      <c r="H39" s="17">
        <f t="shared" si="17"/>
        <v>0</v>
      </c>
      <c r="I39" s="31"/>
      <c r="J39" s="55"/>
      <c r="K39" s="55"/>
      <c r="L39" s="292"/>
      <c r="M39" s="292"/>
      <c r="N39" s="292"/>
      <c r="O39" s="292"/>
      <c r="P39" s="298"/>
      <c r="Q39" s="298"/>
      <c r="R39" s="298"/>
      <c r="S39" s="298"/>
      <c r="T39" s="298"/>
      <c r="U39" s="298"/>
      <c r="V39" s="286"/>
      <c r="W39" s="286"/>
      <c r="X39" s="286"/>
      <c r="Y39" s="286"/>
      <c r="Z39" s="286"/>
    </row>
    <row r="40" spans="1:26" ht="32.2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7"/>
        <v>0</v>
      </c>
      <c r="I40" s="31"/>
      <c r="J40" s="55"/>
      <c r="K40" s="55"/>
      <c r="L40" s="292"/>
      <c r="M40" s="292"/>
      <c r="N40" s="292"/>
      <c r="O40" s="292"/>
      <c r="P40" s="298"/>
      <c r="Q40" s="298"/>
      <c r="R40" s="298"/>
      <c r="S40" s="298"/>
      <c r="T40" s="298"/>
      <c r="U40" s="298"/>
      <c r="V40" s="286"/>
      <c r="W40" s="286"/>
      <c r="X40" s="286"/>
      <c r="Y40" s="286"/>
      <c r="Z40" s="286"/>
    </row>
    <row r="41" spans="1:26" ht="32.2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7"/>
        <v>0</v>
      </c>
      <c r="I41" s="31"/>
      <c r="J41" s="55"/>
      <c r="K41" s="55"/>
      <c r="L41" s="292"/>
      <c r="M41" s="292"/>
      <c r="N41" s="292"/>
      <c r="O41" s="292"/>
      <c r="P41" s="298"/>
      <c r="Q41" s="298"/>
      <c r="R41" s="298"/>
      <c r="S41" s="298"/>
      <c r="T41" s="298"/>
      <c r="U41" s="298"/>
      <c r="V41" s="286"/>
      <c r="W41" s="286"/>
      <c r="X41" s="286"/>
      <c r="Y41" s="286"/>
      <c r="Z41" s="286"/>
    </row>
    <row r="42" spans="1:26" ht="32.25" customHeight="1" x14ac:dyDescent="0.25">
      <c r="A42" s="15"/>
      <c r="B42" s="27" t="s">
        <v>27</v>
      </c>
      <c r="C42" s="30" t="s">
        <v>21</v>
      </c>
      <c r="D42" s="31">
        <f t="shared" ref="D42:G42" si="20">D40*D41/10</f>
        <v>1.25</v>
      </c>
      <c r="E42" s="31">
        <f t="shared" si="20"/>
        <v>1.2050000000000001</v>
      </c>
      <c r="F42" s="31">
        <f t="shared" si="20"/>
        <v>0</v>
      </c>
      <c r="G42" s="31">
        <f t="shared" si="20"/>
        <v>0</v>
      </c>
      <c r="H42" s="17">
        <f t="shared" si="17"/>
        <v>0</v>
      </c>
      <c r="I42" s="31"/>
      <c r="J42" s="55"/>
      <c r="K42" s="55"/>
      <c r="L42" s="292"/>
      <c r="M42" s="292"/>
      <c r="N42" s="292"/>
      <c r="O42" s="292"/>
      <c r="P42" s="298"/>
      <c r="Q42" s="298"/>
      <c r="R42" s="298"/>
      <c r="S42" s="298"/>
      <c r="T42" s="298"/>
      <c r="U42" s="298"/>
      <c r="V42" s="286"/>
      <c r="W42" s="286"/>
      <c r="X42" s="286"/>
      <c r="Y42" s="286"/>
      <c r="Z42" s="286"/>
    </row>
    <row r="43" spans="1:26" ht="32.2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7"/>
        <v>54</v>
      </c>
      <c r="I43" s="17"/>
      <c r="J43" s="137"/>
      <c r="K43" s="35"/>
      <c r="L43" s="84"/>
      <c r="M43" s="84"/>
      <c r="N43" s="84"/>
      <c r="O43" s="84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7"/>
        <v>0</v>
      </c>
      <c r="I44" s="31"/>
      <c r="J44" s="137"/>
      <c r="K44" s="238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 x14ac:dyDescent="0.25">
      <c r="A45" s="30"/>
      <c r="B45" s="49" t="s">
        <v>27</v>
      </c>
      <c r="C45" s="50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17">
        <f t="shared" si="17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28.86</v>
      </c>
      <c r="E46" s="17">
        <f t="shared" si="22"/>
        <v>41.46</v>
      </c>
      <c r="F46" s="17">
        <f t="shared" si="22"/>
        <v>29.46</v>
      </c>
      <c r="G46" s="17">
        <f t="shared" si="22"/>
        <v>29.46</v>
      </c>
      <c r="H46" s="17">
        <f t="shared" si="17"/>
        <v>71.056439942112888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3">D48+D49</f>
        <v>20.36</v>
      </c>
      <c r="E47" s="17">
        <f t="shared" si="23"/>
        <v>31.36</v>
      </c>
      <c r="F47" s="17">
        <f t="shared" si="23"/>
        <v>20.36</v>
      </c>
      <c r="G47" s="17">
        <f t="shared" si="23"/>
        <v>20.36</v>
      </c>
      <c r="H47" s="17">
        <f t="shared" si="17"/>
        <v>64.923469387755105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 x14ac:dyDescent="0.25">
      <c r="A48" s="59" t="s">
        <v>32</v>
      </c>
      <c r="B48" s="60" t="s">
        <v>45</v>
      </c>
      <c r="C48" s="61" t="s">
        <v>18</v>
      </c>
      <c r="D48" s="31">
        <v>19.5</v>
      </c>
      <c r="E48" s="31">
        <f>D48+D49</f>
        <v>20.36</v>
      </c>
      <c r="F48" s="31">
        <v>20.36</v>
      </c>
      <c r="G48" s="31">
        <v>20.36</v>
      </c>
      <c r="H48" s="31">
        <f t="shared" si="17"/>
        <v>100</v>
      </c>
      <c r="I48" s="31"/>
      <c r="J48" s="55"/>
      <c r="K48" s="55"/>
      <c r="L48" s="55"/>
      <c r="M48" s="55"/>
      <c r="N48" s="55"/>
      <c r="O48" s="33"/>
      <c r="P48" s="33"/>
      <c r="Q48" s="33"/>
      <c r="R48" s="33"/>
      <c r="S48" s="1"/>
      <c r="T48" s="1"/>
      <c r="U48" s="1"/>
      <c r="V48" s="1"/>
      <c r="W48" s="1"/>
      <c r="X48" s="1"/>
      <c r="Y48" s="1"/>
      <c r="Z48" s="1"/>
    </row>
    <row r="49" spans="1:26" ht="32.2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4">D50+D51</f>
        <v>0.86</v>
      </c>
      <c r="E49" s="17">
        <f t="shared" si="24"/>
        <v>11</v>
      </c>
      <c r="F49" s="17">
        <f t="shared" si="24"/>
        <v>0</v>
      </c>
      <c r="G49" s="17">
        <f t="shared" si="24"/>
        <v>0</v>
      </c>
      <c r="H49" s="17">
        <f t="shared" si="17"/>
        <v>0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2.25" customHeight="1" x14ac:dyDescent="0.25">
      <c r="A50" s="61" t="s">
        <v>47</v>
      </c>
      <c r="B50" s="66" t="s">
        <v>269</v>
      </c>
      <c r="C50" s="61" t="s">
        <v>18</v>
      </c>
      <c r="D50" s="31"/>
      <c r="E50" s="31">
        <v>10</v>
      </c>
      <c r="F50" s="31">
        <v>0</v>
      </c>
      <c r="G50" s="31">
        <v>0</v>
      </c>
      <c r="H50" s="17">
        <f t="shared" si="17"/>
        <v>0</v>
      </c>
      <c r="I50" s="31"/>
      <c r="J50" s="137"/>
      <c r="K50" s="125"/>
      <c r="L50" s="125"/>
      <c r="M50" s="125"/>
      <c r="N50" s="12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 x14ac:dyDescent="0.25">
      <c r="A51" s="61" t="s">
        <v>47</v>
      </c>
      <c r="B51" s="66" t="s">
        <v>49</v>
      </c>
      <c r="C51" s="30" t="s">
        <v>18</v>
      </c>
      <c r="D51" s="31">
        <v>0.86</v>
      </c>
      <c r="E51" s="31">
        <v>1</v>
      </c>
      <c r="F51" s="31">
        <v>0</v>
      </c>
      <c r="G51" s="31">
        <v>0</v>
      </c>
      <c r="H51" s="17">
        <f t="shared" si="17"/>
        <v>0</v>
      </c>
      <c r="I51" s="31"/>
      <c r="J51" s="137"/>
      <c r="K51" s="125"/>
      <c r="L51" s="125"/>
      <c r="M51" s="125"/>
      <c r="N51" s="12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16.18</v>
      </c>
      <c r="E52" s="17">
        <f t="shared" si="25"/>
        <v>16.574999999999999</v>
      </c>
      <c r="F52" s="17">
        <f t="shared" si="25"/>
        <v>16.579999999999998</v>
      </c>
      <c r="G52" s="17">
        <f t="shared" si="25"/>
        <v>16.579999999999998</v>
      </c>
      <c r="H52" s="17">
        <f t="shared" si="17"/>
        <v>100.03016591251885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2.25" customHeight="1" x14ac:dyDescent="0.25">
      <c r="A53" s="71" t="s">
        <v>47</v>
      </c>
      <c r="B53" s="66" t="s">
        <v>51</v>
      </c>
      <c r="C53" s="30" t="s">
        <v>18</v>
      </c>
      <c r="D53" s="31">
        <f>12.68-1</f>
        <v>11.68</v>
      </c>
      <c r="E53" s="31">
        <f>D48*85%</f>
        <v>16.574999999999999</v>
      </c>
      <c r="F53" s="31">
        <v>16.579999999999998</v>
      </c>
      <c r="G53" s="31">
        <v>16.579999999999998</v>
      </c>
      <c r="H53" s="31">
        <f t="shared" si="17"/>
        <v>100.03016591251885</v>
      </c>
      <c r="I53" s="31"/>
      <c r="J53" s="137"/>
      <c r="K53" s="137"/>
      <c r="L53" s="238"/>
      <c r="M53" s="137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 x14ac:dyDescent="0.25">
      <c r="A54" s="30"/>
      <c r="B54" s="66" t="s">
        <v>52</v>
      </c>
      <c r="C54" s="30" t="s">
        <v>18</v>
      </c>
      <c r="D54" s="31">
        <v>4.5</v>
      </c>
      <c r="E54" s="31"/>
      <c r="F54" s="31"/>
      <c r="G54" s="31"/>
      <c r="H54" s="17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6">D56+D57</f>
        <v>8.5</v>
      </c>
      <c r="E55" s="17">
        <f t="shared" si="26"/>
        <v>10.1</v>
      </c>
      <c r="F55" s="17">
        <f t="shared" si="26"/>
        <v>9.1</v>
      </c>
      <c r="G55" s="17">
        <f t="shared" si="26"/>
        <v>9.1</v>
      </c>
      <c r="H55" s="17">
        <f t="shared" ref="H55:H63" si="27">F55/E55*100</f>
        <v>90.099009900990097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 x14ac:dyDescent="0.25">
      <c r="A56" s="30" t="s">
        <v>32</v>
      </c>
      <c r="B56" s="60" t="s">
        <v>50</v>
      </c>
      <c r="C56" s="30" t="s">
        <v>18</v>
      </c>
      <c r="D56" s="31">
        <v>8.5</v>
      </c>
      <c r="E56" s="31">
        <f>D56+E58</f>
        <v>9.1</v>
      </c>
      <c r="F56" s="31">
        <v>9.1</v>
      </c>
      <c r="G56" s="31">
        <v>9.1</v>
      </c>
      <c r="H56" s="31">
        <f t="shared" si="27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8">D58+D61</f>
        <v>0</v>
      </c>
      <c r="E57" s="31">
        <f t="shared" si="28"/>
        <v>1</v>
      </c>
      <c r="F57" s="31">
        <f t="shared" si="28"/>
        <v>0</v>
      </c>
      <c r="G57" s="31">
        <f t="shared" si="28"/>
        <v>0</v>
      </c>
      <c r="H57" s="17">
        <f t="shared" si="27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29">D59+D60</f>
        <v>0</v>
      </c>
      <c r="E58" s="76">
        <f t="shared" si="29"/>
        <v>0.6</v>
      </c>
      <c r="F58" s="76">
        <f t="shared" si="29"/>
        <v>0</v>
      </c>
      <c r="G58" s="76">
        <f t="shared" si="29"/>
        <v>0</v>
      </c>
      <c r="H58" s="17">
        <f t="shared" si="27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2.2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0.3</v>
      </c>
      <c r="F59" s="31">
        <v>0</v>
      </c>
      <c r="G59" s="31">
        <v>0</v>
      </c>
      <c r="H59" s="17">
        <f t="shared" si="27"/>
        <v>0</v>
      </c>
      <c r="I59" s="31"/>
      <c r="J59" s="35"/>
      <c r="K59" s="28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0.3</v>
      </c>
      <c r="F60" s="31">
        <v>0</v>
      </c>
      <c r="G60" s="31">
        <v>0</v>
      </c>
      <c r="H60" s="17">
        <f t="shared" si="27"/>
        <v>0</v>
      </c>
      <c r="I60" s="31"/>
      <c r="J60" s="35"/>
      <c r="K60" s="28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0">D62+D63</f>
        <v>0</v>
      </c>
      <c r="E61" s="76">
        <f t="shared" si="30"/>
        <v>0.4</v>
      </c>
      <c r="F61" s="76">
        <f t="shared" si="30"/>
        <v>0</v>
      </c>
      <c r="G61" s="76">
        <f t="shared" si="30"/>
        <v>0</v>
      </c>
      <c r="H61" s="17">
        <f t="shared" si="27"/>
        <v>0</v>
      </c>
      <c r="I61" s="76"/>
      <c r="J61" s="35"/>
      <c r="K61" s="106"/>
      <c r="L61" s="106"/>
      <c r="M61" s="106"/>
      <c r="N61" s="106"/>
      <c r="O61" s="79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2.2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0.3</v>
      </c>
      <c r="F62" s="31">
        <v>0</v>
      </c>
      <c r="G62" s="31">
        <v>0</v>
      </c>
      <c r="H62" s="17">
        <f t="shared" si="27"/>
        <v>0</v>
      </c>
      <c r="I62" s="31"/>
      <c r="J62" s="35"/>
      <c r="K62" s="28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7"/>
        <v>0</v>
      </c>
      <c r="I63" s="31"/>
      <c r="J63" s="35"/>
      <c r="K63" s="28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1">D65+D66</f>
        <v>0</v>
      </c>
      <c r="E64" s="17">
        <f t="shared" si="31"/>
        <v>0</v>
      </c>
      <c r="F64" s="17">
        <f t="shared" si="31"/>
        <v>0</v>
      </c>
      <c r="G64" s="17">
        <f t="shared" si="31"/>
        <v>0</v>
      </c>
      <c r="H64" s="17"/>
      <c r="I64" s="17"/>
      <c r="J64" s="137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17"/>
      <c r="I65" s="31"/>
      <c r="J65" s="137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2">D68+D71</f>
        <v>30.94</v>
      </c>
      <c r="E67" s="17">
        <f t="shared" si="32"/>
        <v>29.51</v>
      </c>
      <c r="F67" s="17">
        <f t="shared" si="32"/>
        <v>23.66</v>
      </c>
      <c r="G67" s="17">
        <f t="shared" si="32"/>
        <v>23.66</v>
      </c>
      <c r="H67" s="17">
        <f t="shared" ref="H67:H68" si="33">F67/E67*100</f>
        <v>80.1762114537445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4">D69+D70</f>
        <v>0</v>
      </c>
      <c r="E68" s="17">
        <f t="shared" si="34"/>
        <v>5</v>
      </c>
      <c r="F68" s="17">
        <f t="shared" si="34"/>
        <v>0</v>
      </c>
      <c r="G68" s="17">
        <f t="shared" si="34"/>
        <v>0</v>
      </c>
      <c r="H68" s="17">
        <f t="shared" si="33"/>
        <v>0</v>
      </c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17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25">
      <c r="A70" s="30" t="s">
        <v>47</v>
      </c>
      <c r="B70" s="60" t="s">
        <v>70</v>
      </c>
      <c r="C70" s="30" t="s">
        <v>18</v>
      </c>
      <c r="D70" s="31"/>
      <c r="E70" s="31">
        <v>5</v>
      </c>
      <c r="F70" s="31"/>
      <c r="G70" s="31"/>
      <c r="H70" s="17">
        <f t="shared" ref="H70:H77" si="35">F70/E70*100</f>
        <v>0</v>
      </c>
      <c r="I70" s="31"/>
      <c r="J70" s="137"/>
      <c r="K70" s="55"/>
      <c r="L70" s="55"/>
      <c r="M70" s="55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6">D72+D73</f>
        <v>30.94</v>
      </c>
      <c r="E71" s="17">
        <f t="shared" si="36"/>
        <v>24.51</v>
      </c>
      <c r="F71" s="17">
        <f t="shared" si="36"/>
        <v>23.66</v>
      </c>
      <c r="G71" s="17">
        <f t="shared" si="36"/>
        <v>23.66</v>
      </c>
      <c r="H71" s="17">
        <f t="shared" si="35"/>
        <v>96.532027743778045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7">D75+D82</f>
        <v>30.44</v>
      </c>
      <c r="E72" s="91">
        <f t="shared" si="37"/>
        <v>23.66</v>
      </c>
      <c r="F72" s="91">
        <f t="shared" si="37"/>
        <v>23.66</v>
      </c>
      <c r="G72" s="91">
        <f t="shared" si="37"/>
        <v>23.66</v>
      </c>
      <c r="H72" s="17">
        <f t="shared" si="35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8">D76+D83</f>
        <v>0.5</v>
      </c>
      <c r="E73" s="17">
        <f t="shared" si="38"/>
        <v>0.85</v>
      </c>
      <c r="F73" s="17">
        <f t="shared" si="38"/>
        <v>0</v>
      </c>
      <c r="G73" s="17">
        <f t="shared" si="38"/>
        <v>0</v>
      </c>
      <c r="H73" s="17">
        <f t="shared" si="35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39">D75+D76</f>
        <v>23.16</v>
      </c>
      <c r="E74" s="96">
        <f t="shared" si="39"/>
        <v>23.66</v>
      </c>
      <c r="F74" s="96">
        <f t="shared" si="39"/>
        <v>23.16</v>
      </c>
      <c r="G74" s="96">
        <f t="shared" si="39"/>
        <v>23.16</v>
      </c>
      <c r="H74" s="104">
        <f t="shared" si="35"/>
        <v>97.886728655959416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 x14ac:dyDescent="0.25">
      <c r="A75" s="59" t="s">
        <v>32</v>
      </c>
      <c r="B75" s="98" t="s">
        <v>45</v>
      </c>
      <c r="C75" s="30" t="s">
        <v>18</v>
      </c>
      <c r="D75" s="62">
        <f>20.16+3</f>
        <v>23.16</v>
      </c>
      <c r="E75" s="62">
        <f>D75+D76</f>
        <v>23.16</v>
      </c>
      <c r="F75" s="62">
        <v>23.16</v>
      </c>
      <c r="G75" s="62">
        <v>23.16</v>
      </c>
      <c r="H75" s="31">
        <f t="shared" si="35"/>
        <v>100</v>
      </c>
      <c r="I75" s="31"/>
      <c r="J75" s="137"/>
      <c r="K75" s="137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40">SUM(D77:D80)</f>
        <v>0</v>
      </c>
      <c r="E76" s="244">
        <f t="shared" si="40"/>
        <v>0.5</v>
      </c>
      <c r="F76" s="244">
        <f t="shared" si="40"/>
        <v>0</v>
      </c>
      <c r="G76" s="244">
        <f t="shared" si="40"/>
        <v>0</v>
      </c>
      <c r="H76" s="17">
        <f t="shared" si="35"/>
        <v>0</v>
      </c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 x14ac:dyDescent="0.25">
      <c r="A77" s="48" t="s">
        <v>47</v>
      </c>
      <c r="B77" s="101" t="s">
        <v>80</v>
      </c>
      <c r="C77" s="48" t="s">
        <v>18</v>
      </c>
      <c r="D77" s="31"/>
      <c r="E77" s="31">
        <v>0.5</v>
      </c>
      <c r="F77" s="31">
        <v>0</v>
      </c>
      <c r="G77" s="31">
        <v>0</v>
      </c>
      <c r="H77" s="17">
        <f t="shared" si="35"/>
        <v>0</v>
      </c>
      <c r="I77" s="31"/>
      <c r="J77" s="241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31"/>
      <c r="H78" s="17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17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 x14ac:dyDescent="0.25">
      <c r="A80" s="48" t="s">
        <v>47</v>
      </c>
      <c r="B80" s="247" t="s">
        <v>83</v>
      </c>
      <c r="C80" s="48" t="s">
        <v>18</v>
      </c>
      <c r="D80" s="31"/>
      <c r="E80" s="31"/>
      <c r="F80" s="31"/>
      <c r="G80" s="31"/>
      <c r="H80" s="17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1">D82+D83</f>
        <v>7.78</v>
      </c>
      <c r="E81" s="96">
        <f t="shared" si="41"/>
        <v>0.85</v>
      </c>
      <c r="F81" s="96">
        <f t="shared" si="41"/>
        <v>0.5</v>
      </c>
      <c r="G81" s="96">
        <f t="shared" si="41"/>
        <v>0.5</v>
      </c>
      <c r="H81" s="104">
        <f t="shared" ref="H81:H83" si="42">F81/E81*100</f>
        <v>58.82352941176471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2.25" customHeight="1" x14ac:dyDescent="0.25">
      <c r="A82" s="117" t="s">
        <v>47</v>
      </c>
      <c r="B82" s="101" t="s">
        <v>85</v>
      </c>
      <c r="C82" s="48" t="s">
        <v>18</v>
      </c>
      <c r="D82" s="76">
        <v>7.28</v>
      </c>
      <c r="E82" s="76">
        <v>0.5</v>
      </c>
      <c r="F82" s="76">
        <v>0.5</v>
      </c>
      <c r="G82" s="76">
        <v>0.5</v>
      </c>
      <c r="H82" s="76">
        <f t="shared" si="42"/>
        <v>100</v>
      </c>
      <c r="I82" s="76"/>
      <c r="J82" s="241"/>
      <c r="K82" s="241"/>
      <c r="L82" s="10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2.2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3">SUM(D84:D87)</f>
        <v>0.5</v>
      </c>
      <c r="E83" s="62">
        <f t="shared" si="43"/>
        <v>0.35</v>
      </c>
      <c r="F83" s="62">
        <f t="shared" si="43"/>
        <v>0</v>
      </c>
      <c r="G83" s="62">
        <f t="shared" si="43"/>
        <v>0</v>
      </c>
      <c r="H83" s="17">
        <f t="shared" si="42"/>
        <v>0</v>
      </c>
      <c r="I83" s="62"/>
      <c r="J83" s="241"/>
      <c r="K83" s="241"/>
      <c r="L83" s="106"/>
      <c r="M83" s="106"/>
      <c r="N83" s="106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17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17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17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25">
      <c r="A87" s="117" t="s">
        <v>47</v>
      </c>
      <c r="B87" s="101" t="s">
        <v>89</v>
      </c>
      <c r="C87" s="48" t="s">
        <v>18</v>
      </c>
      <c r="D87" s="31">
        <v>0.5</v>
      </c>
      <c r="E87" s="31">
        <v>0.35</v>
      </c>
      <c r="F87" s="31"/>
      <c r="G87" s="31">
        <v>0</v>
      </c>
      <c r="H87" s="17">
        <f t="shared" ref="H87:H98" si="44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47"/>
      <c r="S87" s="47"/>
      <c r="T87" s="1"/>
      <c r="U87" s="1"/>
      <c r="V87" s="1"/>
      <c r="W87" s="1"/>
      <c r="X87" s="1"/>
      <c r="Y87" s="1"/>
      <c r="Z87" s="1"/>
    </row>
    <row r="88" spans="1:26" ht="32.25" customHeight="1" x14ac:dyDescent="0.25">
      <c r="A88" s="15" t="s">
        <v>90</v>
      </c>
      <c r="B88" s="24" t="s">
        <v>91</v>
      </c>
      <c r="C88" s="15"/>
      <c r="D88" s="17">
        <f t="shared" ref="D88:G88" si="45">SUM(D89:D93)</f>
        <v>840</v>
      </c>
      <c r="E88" s="17">
        <f t="shared" si="45"/>
        <v>1383</v>
      </c>
      <c r="F88" s="17">
        <f t="shared" si="45"/>
        <v>1095</v>
      </c>
      <c r="G88" s="17">
        <f t="shared" si="45"/>
        <v>1095</v>
      </c>
      <c r="H88" s="17">
        <f t="shared" si="44"/>
        <v>79.175704989154013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 x14ac:dyDescent="0.25">
      <c r="A89" s="30">
        <v>1</v>
      </c>
      <c r="B89" s="27" t="s">
        <v>92</v>
      </c>
      <c r="C89" s="30" t="s">
        <v>93</v>
      </c>
      <c r="D89" s="31">
        <v>76</v>
      </c>
      <c r="E89" s="31">
        <f>50+27</f>
        <v>77</v>
      </c>
      <c r="F89" s="31">
        <v>75</v>
      </c>
      <c r="G89" s="31">
        <f t="shared" ref="G89:G93" si="46">F89</f>
        <v>75</v>
      </c>
      <c r="H89" s="31">
        <f t="shared" si="44"/>
        <v>97.402597402597408</v>
      </c>
      <c r="I89" s="31"/>
      <c r="J89" s="57"/>
      <c r="K89" s="279"/>
      <c r="L89" s="274"/>
      <c r="M89" s="275"/>
      <c r="N89" s="279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2.25" customHeight="1" x14ac:dyDescent="0.25">
      <c r="A90" s="30">
        <v>2</v>
      </c>
      <c r="B90" s="27" t="s">
        <v>94</v>
      </c>
      <c r="C90" s="30" t="s">
        <v>93</v>
      </c>
      <c r="D90" s="31">
        <v>127</v>
      </c>
      <c r="E90" s="31">
        <f>125+20</f>
        <v>145</v>
      </c>
      <c r="F90" s="31">
        <v>141</v>
      </c>
      <c r="G90" s="31">
        <f t="shared" si="46"/>
        <v>141</v>
      </c>
      <c r="H90" s="31">
        <f t="shared" si="44"/>
        <v>97.241379310344826</v>
      </c>
      <c r="I90" s="31"/>
      <c r="J90" s="57"/>
      <c r="K90" s="84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2.25" customHeight="1" x14ac:dyDescent="0.25">
      <c r="A91" s="30">
        <v>3</v>
      </c>
      <c r="B91" s="27" t="s">
        <v>97</v>
      </c>
      <c r="C91" s="30" t="s">
        <v>93</v>
      </c>
      <c r="D91" s="31">
        <v>72</v>
      </c>
      <c r="E91" s="31">
        <f>73+23</f>
        <v>96</v>
      </c>
      <c r="F91" s="31">
        <v>80</v>
      </c>
      <c r="G91" s="31">
        <f t="shared" si="46"/>
        <v>80</v>
      </c>
      <c r="H91" s="31">
        <f t="shared" si="44"/>
        <v>83.333333333333343</v>
      </c>
      <c r="I91" s="31"/>
      <c r="J91" s="57"/>
      <c r="K91" s="84"/>
      <c r="L91" s="274"/>
      <c r="M91" s="275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2.25" customHeight="1" x14ac:dyDescent="0.25">
      <c r="A92" s="30">
        <v>4</v>
      </c>
      <c r="B92" s="27" t="s">
        <v>99</v>
      </c>
      <c r="C92" s="30" t="s">
        <v>93</v>
      </c>
      <c r="D92" s="31">
        <v>10</v>
      </c>
      <c r="E92" s="31">
        <f>12+3</f>
        <v>15</v>
      </c>
      <c r="F92" s="31">
        <v>14</v>
      </c>
      <c r="G92" s="31">
        <f t="shared" si="46"/>
        <v>14</v>
      </c>
      <c r="H92" s="31">
        <f t="shared" si="44"/>
        <v>93.333333333333329</v>
      </c>
      <c r="I92" s="31"/>
      <c r="J92" s="57"/>
      <c r="K92" s="84"/>
      <c r="L92" s="277"/>
      <c r="M92" s="275"/>
      <c r="N92" s="57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32.25" customHeight="1" x14ac:dyDescent="0.25">
      <c r="A93" s="30">
        <v>5</v>
      </c>
      <c r="B93" s="27" t="s">
        <v>100</v>
      </c>
      <c r="C93" s="30" t="s">
        <v>93</v>
      </c>
      <c r="D93" s="31">
        <v>555</v>
      </c>
      <c r="E93" s="31">
        <f>1000+50</f>
        <v>1050</v>
      </c>
      <c r="F93" s="31">
        <v>785</v>
      </c>
      <c r="G93" s="31">
        <f t="shared" si="46"/>
        <v>785</v>
      </c>
      <c r="H93" s="31">
        <f t="shared" si="44"/>
        <v>74.761904761904759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2.2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7">D95</f>
        <v>1.1000000000000001</v>
      </c>
      <c r="E94" s="17">
        <f t="shared" si="47"/>
        <v>1.1000000000000001</v>
      </c>
      <c r="F94" s="17">
        <f t="shared" si="47"/>
        <v>1.1000000000000001</v>
      </c>
      <c r="G94" s="17">
        <f t="shared" si="47"/>
        <v>1.1000000000000001</v>
      </c>
      <c r="H94" s="17">
        <f t="shared" si="44"/>
        <v>100</v>
      </c>
      <c r="I94" s="17"/>
      <c r="J94" s="70"/>
      <c r="K94" s="70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2.25" customHeight="1" x14ac:dyDescent="0.25">
      <c r="A95" s="48" t="s">
        <v>47</v>
      </c>
      <c r="B95" s="81" t="s">
        <v>103</v>
      </c>
      <c r="C95" s="48" t="s">
        <v>18</v>
      </c>
      <c r="D95" s="31">
        <v>1.1000000000000001</v>
      </c>
      <c r="E95" s="31">
        <v>1.1000000000000001</v>
      </c>
      <c r="F95" s="31">
        <v>1.1000000000000001</v>
      </c>
      <c r="G95" s="31">
        <v>1.1000000000000001</v>
      </c>
      <c r="H95" s="31">
        <f t="shared" si="44"/>
        <v>100</v>
      </c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8">D97+D98</f>
        <v>2.8</v>
      </c>
      <c r="E96" s="17">
        <f t="shared" si="48"/>
        <v>0.85000000000000009</v>
      </c>
      <c r="F96" s="17">
        <f t="shared" si="48"/>
        <v>0</v>
      </c>
      <c r="G96" s="17">
        <f t="shared" si="48"/>
        <v>0</v>
      </c>
      <c r="H96" s="17">
        <f t="shared" si="44"/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x14ac:dyDescent="0.25">
      <c r="A97" s="30" t="s">
        <v>47</v>
      </c>
      <c r="B97" s="98" t="s">
        <v>270</v>
      </c>
      <c r="C97" s="48" t="s">
        <v>18</v>
      </c>
      <c r="D97" s="31"/>
      <c r="E97" s="31">
        <v>0.2</v>
      </c>
      <c r="F97" s="31"/>
      <c r="G97" s="31"/>
      <c r="H97" s="17">
        <f t="shared" si="44"/>
        <v>0</v>
      </c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x14ac:dyDescent="0.25">
      <c r="A98" s="133" t="s">
        <v>47</v>
      </c>
      <c r="B98" s="98" t="s">
        <v>110</v>
      </c>
      <c r="C98" s="48" t="s">
        <v>18</v>
      </c>
      <c r="D98" s="31">
        <v>2.8</v>
      </c>
      <c r="E98" s="31">
        <v>0.65</v>
      </c>
      <c r="F98" s="31"/>
      <c r="G98" s="31"/>
      <c r="H98" s="17">
        <f t="shared" si="44"/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39370078740157483" right="0.35433070866141736" top="0.51181102362204722" bottom="0.31496062992125984" header="0" footer="0"/>
  <pageSetup scale="85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44140625" customWidth="1"/>
    <col min="2" max="2" width="28.5546875" customWidth="1"/>
    <col min="3" max="3" width="9" customWidth="1"/>
    <col min="4" max="4" width="16.109375" customWidth="1"/>
    <col min="5" max="5" width="19.44140625" customWidth="1"/>
    <col min="6" max="9" width="12.6640625" customWidth="1"/>
    <col min="10" max="10" width="8.88671875" customWidth="1"/>
    <col min="11" max="11" width="20.77734375" customWidth="1"/>
    <col min="12" max="14" width="8.88671875" customWidth="1"/>
    <col min="15" max="21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284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'KON TUN(11)'!A5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2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27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206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30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748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268" t="s">
        <v>18</v>
      </c>
      <c r="D9" s="234">
        <f t="shared" ref="D9:G9" si="0">D13+D28+D37+D43+D46+D67</f>
        <v>126.44</v>
      </c>
      <c r="E9" s="234">
        <f t="shared" si="0"/>
        <v>140.79999999999998</v>
      </c>
      <c r="F9" s="234">
        <f t="shared" si="0"/>
        <v>122.8</v>
      </c>
      <c r="G9" s="234">
        <f t="shared" si="0"/>
        <v>122.8</v>
      </c>
      <c r="H9" s="234">
        <f t="shared" ref="H9:H24" si="1">F9/E9*100</f>
        <v>87.215909090909093</v>
      </c>
      <c r="I9" s="234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8.3000000000000007</v>
      </c>
      <c r="F10" s="17">
        <f t="shared" si="2"/>
        <v>2.2999999999999998</v>
      </c>
      <c r="G10" s="17">
        <f t="shared" si="2"/>
        <v>2.2999999999999998</v>
      </c>
      <c r="H10" s="234">
        <f t="shared" si="1"/>
        <v>27.710843373493972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22.914550000000002</v>
      </c>
      <c r="F11" s="17">
        <f t="shared" si="3"/>
        <v>0</v>
      </c>
      <c r="G11" s="17">
        <f t="shared" si="3"/>
        <v>0</v>
      </c>
      <c r="H11" s="234">
        <f t="shared" si="1"/>
        <v>0</v>
      </c>
      <c r="I11" s="17"/>
      <c r="J11" s="236"/>
      <c r="K11" s="236"/>
      <c r="L11" s="283"/>
      <c r="M11" s="283"/>
      <c r="N11" s="283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19.224550000000001</v>
      </c>
      <c r="F12" s="17">
        <f t="shared" si="4"/>
        <v>0</v>
      </c>
      <c r="G12" s="17">
        <f t="shared" si="4"/>
        <v>0</v>
      </c>
      <c r="H12" s="234">
        <f t="shared" si="1"/>
        <v>0</v>
      </c>
      <c r="I12" s="17"/>
      <c r="J12" s="236"/>
      <c r="K12" s="236"/>
      <c r="L12" s="283"/>
      <c r="M12" s="283"/>
      <c r="N12" s="283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7.3</v>
      </c>
      <c r="F13" s="17">
        <f t="shared" si="5"/>
        <v>1.3</v>
      </c>
      <c r="G13" s="17">
        <f t="shared" si="5"/>
        <v>1.3</v>
      </c>
      <c r="H13" s="234">
        <f t="shared" si="1"/>
        <v>17.808219178082194</v>
      </c>
      <c r="I13" s="17"/>
      <c r="J13" s="137"/>
      <c r="K13" s="259"/>
      <c r="L13" s="259"/>
      <c r="M13" s="259"/>
      <c r="N13" s="1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26.335000000000001</v>
      </c>
      <c r="F14" s="31">
        <f t="shared" si="6"/>
        <v>0</v>
      </c>
      <c r="G14" s="31">
        <f t="shared" si="6"/>
        <v>0</v>
      </c>
      <c r="H14" s="234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19.224550000000001</v>
      </c>
      <c r="F15" s="31">
        <f t="shared" si="7"/>
        <v>0</v>
      </c>
      <c r="G15" s="31">
        <f t="shared" si="7"/>
        <v>0</v>
      </c>
      <c r="H15" s="234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1.3</v>
      </c>
      <c r="F16" s="17">
        <v>1.3</v>
      </c>
      <c r="G16" s="17">
        <v>1.3</v>
      </c>
      <c r="H16" s="234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234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4.3550000000000004</v>
      </c>
      <c r="F18" s="31">
        <f t="shared" si="8"/>
        <v>0</v>
      </c>
      <c r="G18" s="31">
        <f t="shared" si="8"/>
        <v>0</v>
      </c>
      <c r="H18" s="234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6</v>
      </c>
      <c r="F19" s="17">
        <f t="shared" si="9"/>
        <v>0</v>
      </c>
      <c r="G19" s="17">
        <f t="shared" si="9"/>
        <v>0</v>
      </c>
      <c r="H19" s="234">
        <f t="shared" si="1"/>
        <v>0</v>
      </c>
      <c r="I19" s="17"/>
      <c r="J19" s="28"/>
      <c r="K19" s="28"/>
      <c r="L19" s="28"/>
      <c r="M19" s="28"/>
      <c r="N19" s="46"/>
      <c r="O19" s="90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19.170000000000002</v>
      </c>
      <c r="F20" s="31">
        <f t="shared" si="10"/>
        <v>0</v>
      </c>
      <c r="G20" s="31">
        <f t="shared" si="10"/>
        <v>0</v>
      </c>
      <c r="H20" s="234">
        <f t="shared" si="1"/>
        <v>0</v>
      </c>
      <c r="I20" s="31"/>
      <c r="J20" s="28"/>
      <c r="K20" s="28"/>
      <c r="L20" s="28"/>
      <c r="M20" s="28"/>
      <c r="N20" s="46"/>
      <c r="O20" s="90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11.502000000000001</v>
      </c>
      <c r="F21" s="31">
        <f t="shared" si="11"/>
        <v>0</v>
      </c>
      <c r="G21" s="31">
        <f t="shared" si="11"/>
        <v>0</v>
      </c>
      <c r="H21" s="234">
        <f t="shared" si="1"/>
        <v>0</v>
      </c>
      <c r="I21" s="31"/>
      <c r="J21" s="28"/>
      <c r="K21" s="28"/>
      <c r="L21" s="28"/>
      <c r="M21" s="28"/>
      <c r="N21" s="46"/>
      <c r="O21" s="90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2" t="s">
        <v>33</v>
      </c>
      <c r="C22" s="40" t="s">
        <v>18</v>
      </c>
      <c r="D22" s="104"/>
      <c r="E22" s="104">
        <v>6</v>
      </c>
      <c r="F22" s="104">
        <v>0</v>
      </c>
      <c r="G22" s="104">
        <v>0</v>
      </c>
      <c r="H22" s="234">
        <f t="shared" si="1"/>
        <v>0</v>
      </c>
      <c r="I22" s="17"/>
      <c r="J22" s="55"/>
      <c r="K22" s="55"/>
      <c r="L22" s="55"/>
      <c r="M22" s="55"/>
      <c r="N22" s="63"/>
      <c r="O22" s="255"/>
      <c r="P22" s="255"/>
      <c r="Q22" s="255"/>
      <c r="R22" s="255"/>
      <c r="S22" s="255"/>
      <c r="T22" s="255"/>
      <c r="U22" s="90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234">
        <f t="shared" si="1"/>
        <v>0</v>
      </c>
      <c r="I23" s="31"/>
      <c r="J23" s="55"/>
      <c r="K23" s="55"/>
      <c r="L23" s="55"/>
      <c r="M23" s="55"/>
      <c r="N23" s="63"/>
      <c r="O23" s="255"/>
      <c r="P23" s="255"/>
      <c r="Q23" s="255"/>
      <c r="R23" s="255"/>
      <c r="S23" s="255"/>
      <c r="T23" s="255"/>
      <c r="U23" s="90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2">D22*D23/10</f>
        <v>0</v>
      </c>
      <c r="E24" s="31">
        <f t="shared" si="12"/>
        <v>23.004000000000001</v>
      </c>
      <c r="F24" s="31">
        <f t="shared" si="12"/>
        <v>0</v>
      </c>
      <c r="G24" s="31">
        <f t="shared" si="12"/>
        <v>0</v>
      </c>
      <c r="H24" s="234">
        <f t="shared" si="1"/>
        <v>0</v>
      </c>
      <c r="I24" s="31"/>
      <c r="J24" s="55"/>
      <c r="K24" s="55"/>
      <c r="L24" s="55"/>
      <c r="M24" s="55"/>
      <c r="N24" s="63"/>
      <c r="O24" s="255"/>
      <c r="P24" s="255"/>
      <c r="Q24" s="255"/>
      <c r="R24" s="255"/>
      <c r="S24" s="255"/>
      <c r="T24" s="255"/>
      <c r="U24" s="90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2" t="s">
        <v>34</v>
      </c>
      <c r="C25" s="40" t="s">
        <v>18</v>
      </c>
      <c r="D25" s="17"/>
      <c r="E25" s="31"/>
      <c r="F25" s="31">
        <v>0</v>
      </c>
      <c r="G25" s="31">
        <v>0</v>
      </c>
      <c r="H25" s="234"/>
      <c r="I25" s="31"/>
      <c r="J25" s="55"/>
      <c r="K25" s="55"/>
      <c r="L25" s="55"/>
      <c r="M25" s="55"/>
      <c r="N25" s="55"/>
      <c r="O25" s="33"/>
      <c r="P25" s="33"/>
      <c r="Q25" s="256"/>
      <c r="R25" s="256"/>
      <c r="S25" s="256"/>
      <c r="T25" s="256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234"/>
      <c r="I26" s="31"/>
      <c r="J26" s="55"/>
      <c r="K26" s="55"/>
      <c r="L26" s="55"/>
      <c r="M26" s="55"/>
      <c r="N26" s="55"/>
      <c r="O26" s="33"/>
      <c r="P26" s="33"/>
      <c r="Q26" s="256"/>
      <c r="R26" s="256"/>
      <c r="S26" s="256"/>
      <c r="T26" s="256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G27" si="13">D25*D26/10</f>
        <v>0</v>
      </c>
      <c r="E27" s="31">
        <f t="shared" si="13"/>
        <v>0</v>
      </c>
      <c r="F27" s="31">
        <f t="shared" si="13"/>
        <v>0</v>
      </c>
      <c r="G27" s="31">
        <f t="shared" si="13"/>
        <v>0</v>
      </c>
      <c r="H27" s="234"/>
      <c r="I27" s="31"/>
      <c r="J27" s="55"/>
      <c r="K27" s="55"/>
      <c r="L27" s="55"/>
      <c r="M27" s="55"/>
      <c r="N27" s="55"/>
      <c r="O27" s="33"/>
      <c r="P27" s="33"/>
      <c r="Q27" s="256"/>
      <c r="R27" s="256"/>
      <c r="S27" s="256"/>
      <c r="T27" s="256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</v>
      </c>
      <c r="E28" s="17">
        <f t="shared" si="14"/>
        <v>1</v>
      </c>
      <c r="F28" s="17">
        <f t="shared" si="14"/>
        <v>1</v>
      </c>
      <c r="G28" s="17">
        <f t="shared" si="14"/>
        <v>1</v>
      </c>
      <c r="H28" s="234">
        <f t="shared" ref="H28:H30" si="15">F28/E28*100</f>
        <v>100</v>
      </c>
      <c r="I28" s="17"/>
      <c r="J28" s="55"/>
      <c r="K28" s="55"/>
      <c r="L28" s="55"/>
      <c r="M28" s="55"/>
      <c r="N28" s="55"/>
      <c r="O28" s="33"/>
      <c r="P28" s="33"/>
      <c r="Q28" s="256"/>
      <c r="R28" s="256"/>
      <c r="S28" s="256"/>
      <c r="T28" s="256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G29" si="16">D35</f>
        <v>36.85</v>
      </c>
      <c r="E29" s="31">
        <f t="shared" si="16"/>
        <v>36.9</v>
      </c>
      <c r="F29" s="31">
        <f t="shared" si="16"/>
        <v>0</v>
      </c>
      <c r="G29" s="31">
        <f t="shared" si="16"/>
        <v>0</v>
      </c>
      <c r="H29" s="234">
        <f t="shared" si="15"/>
        <v>0</v>
      </c>
      <c r="I29" s="31"/>
      <c r="J29" s="55"/>
      <c r="K29" s="55"/>
      <c r="L29" s="55"/>
      <c r="M29" s="55"/>
      <c r="N29" s="55"/>
      <c r="O29" s="33"/>
      <c r="P29" s="33"/>
      <c r="Q29" s="256"/>
      <c r="R29" s="256"/>
      <c r="S29" s="256"/>
      <c r="T29" s="256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7">D28*D29/10</f>
        <v>3.6850000000000001</v>
      </c>
      <c r="E30" s="31">
        <f t="shared" si="17"/>
        <v>3.69</v>
      </c>
      <c r="F30" s="31">
        <f t="shared" si="17"/>
        <v>0</v>
      </c>
      <c r="G30" s="31">
        <f t="shared" si="17"/>
        <v>0</v>
      </c>
      <c r="H30" s="234">
        <f t="shared" si="15"/>
        <v>0</v>
      </c>
      <c r="I30" s="31"/>
      <c r="J30" s="55"/>
      <c r="K30" s="55"/>
      <c r="L30" s="55"/>
      <c r="M30" s="55"/>
      <c r="N30" s="55"/>
      <c r="O30" s="33"/>
      <c r="P30" s="33"/>
      <c r="Q30" s="256"/>
      <c r="R30" s="256"/>
      <c r="S30" s="256"/>
      <c r="T30" s="256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234"/>
      <c r="I31" s="17"/>
      <c r="J31" s="55"/>
      <c r="K31" s="240"/>
      <c r="L31" s="258"/>
      <c r="M31" s="258"/>
      <c r="N31" s="258"/>
      <c r="O31" s="258"/>
      <c r="P31" s="33"/>
      <c r="Q31" s="256"/>
      <c r="R31" s="256"/>
      <c r="S31" s="256"/>
      <c r="T31" s="256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234"/>
      <c r="I32" s="17"/>
      <c r="J32" s="55"/>
      <c r="K32" s="240"/>
      <c r="L32" s="258"/>
      <c r="M32" s="258"/>
      <c r="N32" s="258"/>
      <c r="O32" s="258"/>
      <c r="P32" s="33"/>
      <c r="Q32" s="256"/>
      <c r="R32" s="256"/>
      <c r="S32" s="256"/>
      <c r="T32" s="256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234"/>
      <c r="I33" s="17"/>
      <c r="J33" s="55"/>
      <c r="K33" s="240"/>
      <c r="L33" s="258"/>
      <c r="M33" s="258"/>
      <c r="N33" s="258"/>
      <c r="O33" s="258"/>
      <c r="P33" s="33"/>
      <c r="Q33" s="256"/>
      <c r="R33" s="256"/>
      <c r="S33" s="256"/>
      <c r="T33" s="256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234">
        <f t="shared" ref="H34:H53" si="18">F34/E34*100</f>
        <v>100</v>
      </c>
      <c r="I34" s="17"/>
      <c r="J34" s="55"/>
      <c r="K34" s="46"/>
      <c r="L34" s="46"/>
      <c r="M34" s="46"/>
      <c r="N34" s="46"/>
      <c r="O34" s="46"/>
      <c r="P34" s="33"/>
      <c r="Q34" s="256"/>
      <c r="R34" s="256"/>
      <c r="S34" s="256"/>
      <c r="T34" s="256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234">
        <f t="shared" si="18"/>
        <v>0</v>
      </c>
      <c r="I35" s="31"/>
      <c r="J35" s="55"/>
      <c r="K35" s="46"/>
      <c r="L35" s="46"/>
      <c r="M35" s="46"/>
      <c r="N35" s="46"/>
      <c r="O35" s="46"/>
      <c r="P35" s="33"/>
      <c r="Q35" s="256"/>
      <c r="R35" s="256"/>
      <c r="S35" s="256"/>
      <c r="T35" s="256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9">D34*D35/10</f>
        <v>3.6850000000000001</v>
      </c>
      <c r="E36" s="31">
        <f t="shared" si="19"/>
        <v>3.69</v>
      </c>
      <c r="F36" s="31">
        <f t="shared" si="19"/>
        <v>0</v>
      </c>
      <c r="G36" s="31">
        <f t="shared" si="19"/>
        <v>0</v>
      </c>
      <c r="H36" s="234">
        <f t="shared" si="18"/>
        <v>0</v>
      </c>
      <c r="I36" s="31"/>
      <c r="J36" s="55"/>
      <c r="K36" s="46"/>
      <c r="L36" s="46"/>
      <c r="M36" s="46"/>
      <c r="N36" s="46"/>
      <c r="O36" s="46"/>
      <c r="P36" s="33"/>
      <c r="Q36" s="256"/>
      <c r="R36" s="256"/>
      <c r="S36" s="256"/>
      <c r="T36" s="256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39</v>
      </c>
      <c r="E37" s="17">
        <v>33.83</v>
      </c>
      <c r="F37" s="17">
        <v>33.83</v>
      </c>
      <c r="G37" s="17">
        <v>33.83</v>
      </c>
      <c r="H37" s="234">
        <f t="shared" si="18"/>
        <v>100</v>
      </c>
      <c r="I37" s="17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1"/>
      <c r="V37" s="1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234">
        <f t="shared" si="18"/>
        <v>0</v>
      </c>
      <c r="I38" s="31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1"/>
      <c r="V38" s="1"/>
      <c r="W38" s="1"/>
      <c r="X38" s="1"/>
      <c r="Y38" s="1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20">D37*D38/10</f>
        <v>536.25</v>
      </c>
      <c r="E39" s="31">
        <f t="shared" si="20"/>
        <v>473.62</v>
      </c>
      <c r="F39" s="31">
        <f t="shared" si="20"/>
        <v>0</v>
      </c>
      <c r="G39" s="31">
        <f t="shared" si="20"/>
        <v>0</v>
      </c>
      <c r="H39" s="234">
        <f t="shared" si="18"/>
        <v>0</v>
      </c>
      <c r="I39" s="31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1"/>
      <c r="V39" s="1"/>
      <c r="W39" s="1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234">
        <f t="shared" si="18"/>
        <v>0</v>
      </c>
      <c r="I40" s="31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1"/>
      <c r="V40" s="1"/>
      <c r="W40" s="1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234">
        <f t="shared" si="18"/>
        <v>0</v>
      </c>
      <c r="I41" s="31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1"/>
      <c r="V41" s="1"/>
      <c r="W41" s="1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>
        <f t="shared" ref="D42:G42" si="21">D40*D41/10</f>
        <v>1.25</v>
      </c>
      <c r="E42" s="31">
        <f t="shared" si="21"/>
        <v>1.2050000000000001</v>
      </c>
      <c r="F42" s="31">
        <f t="shared" si="21"/>
        <v>0</v>
      </c>
      <c r="G42" s="31">
        <f t="shared" si="21"/>
        <v>0</v>
      </c>
      <c r="H42" s="234">
        <f t="shared" si="18"/>
        <v>0</v>
      </c>
      <c r="I42" s="31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1"/>
      <c r="V42" s="1"/>
      <c r="W42" s="1"/>
      <c r="X42" s="1"/>
      <c r="Y42" s="1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234">
        <f t="shared" si="18"/>
        <v>54</v>
      </c>
      <c r="I43" s="17"/>
      <c r="J43" s="137"/>
      <c r="K43" s="35"/>
      <c r="L43" s="84"/>
      <c r="M43" s="84"/>
      <c r="N43" s="84"/>
      <c r="O43" s="84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234">
        <f t="shared" si="18"/>
        <v>0</v>
      </c>
      <c r="I44" s="31"/>
      <c r="J44" s="137"/>
      <c r="K44" s="238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9" t="s">
        <v>27</v>
      </c>
      <c r="C45" s="50" t="s">
        <v>21</v>
      </c>
      <c r="D45" s="31">
        <f t="shared" ref="D45:G45" si="22">D43*D44/10</f>
        <v>5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234">
        <f t="shared" si="18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39.11</v>
      </c>
      <c r="E46" s="17">
        <f t="shared" si="23"/>
        <v>51.11</v>
      </c>
      <c r="F46" s="17">
        <f t="shared" si="23"/>
        <v>39.909999999999997</v>
      </c>
      <c r="G46" s="17">
        <f t="shared" si="23"/>
        <v>39.909999999999997</v>
      </c>
      <c r="H46" s="234">
        <f t="shared" si="18"/>
        <v>78.086480140872624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4">D48+D49</f>
        <v>21.86</v>
      </c>
      <c r="E47" s="17">
        <f t="shared" si="24"/>
        <v>31.86</v>
      </c>
      <c r="F47" s="17">
        <f t="shared" si="24"/>
        <v>21.86</v>
      </c>
      <c r="G47" s="17">
        <f t="shared" si="24"/>
        <v>21.86</v>
      </c>
      <c r="H47" s="234">
        <f t="shared" si="18"/>
        <v>68.612680477087252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9" t="s">
        <v>32</v>
      </c>
      <c r="B48" s="60" t="s">
        <v>45</v>
      </c>
      <c r="C48" s="61" t="s">
        <v>18</v>
      </c>
      <c r="D48" s="31">
        <v>21</v>
      </c>
      <c r="E48" s="31">
        <f>D48+D49</f>
        <v>21.86</v>
      </c>
      <c r="F48" s="31">
        <v>21.86</v>
      </c>
      <c r="G48" s="31">
        <v>21.86</v>
      </c>
      <c r="H48" s="271">
        <f t="shared" si="18"/>
        <v>100</v>
      </c>
      <c r="I48" s="31"/>
      <c r="J48" s="55"/>
      <c r="K48" s="55"/>
      <c r="L48" s="55"/>
      <c r="M48" s="55"/>
      <c r="N48" s="55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5">D50+D51</f>
        <v>0.86</v>
      </c>
      <c r="E49" s="17">
        <f t="shared" si="25"/>
        <v>10</v>
      </c>
      <c r="F49" s="17">
        <f t="shared" si="25"/>
        <v>0</v>
      </c>
      <c r="G49" s="17">
        <f t="shared" si="25"/>
        <v>0</v>
      </c>
      <c r="H49" s="234">
        <f t="shared" si="18"/>
        <v>0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61" t="s">
        <v>47</v>
      </c>
      <c r="B50" s="66" t="s">
        <v>269</v>
      </c>
      <c r="C50" s="61" t="s">
        <v>18</v>
      </c>
      <c r="D50" s="31"/>
      <c r="E50" s="31">
        <v>8</v>
      </c>
      <c r="F50" s="31">
        <v>0</v>
      </c>
      <c r="G50" s="31">
        <v>0</v>
      </c>
      <c r="H50" s="234">
        <f t="shared" si="18"/>
        <v>0</v>
      </c>
      <c r="I50" s="31"/>
      <c r="J50" s="137"/>
      <c r="K50" s="137"/>
      <c r="L50" s="137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61" t="s">
        <v>47</v>
      </c>
      <c r="B51" s="66" t="s">
        <v>49</v>
      </c>
      <c r="C51" s="30" t="s">
        <v>18</v>
      </c>
      <c r="D51" s="31">
        <v>0.86</v>
      </c>
      <c r="E51" s="31">
        <v>2</v>
      </c>
      <c r="F51" s="31">
        <v>0</v>
      </c>
      <c r="G51" s="31">
        <v>0</v>
      </c>
      <c r="H51" s="234">
        <f t="shared" si="18"/>
        <v>0</v>
      </c>
      <c r="I51" s="31"/>
      <c r="J51" s="137"/>
      <c r="K51" s="125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11.15</v>
      </c>
      <c r="E52" s="17">
        <f t="shared" si="26"/>
        <v>17.849999999999998</v>
      </c>
      <c r="F52" s="17">
        <f t="shared" si="26"/>
        <v>17.850000000000001</v>
      </c>
      <c r="G52" s="17">
        <f t="shared" si="26"/>
        <v>17.850000000000001</v>
      </c>
      <c r="H52" s="234">
        <f t="shared" si="18"/>
        <v>100.00000000000003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71" t="s">
        <v>47</v>
      </c>
      <c r="B53" s="66" t="s">
        <v>51</v>
      </c>
      <c r="C53" s="30" t="s">
        <v>18</v>
      </c>
      <c r="D53" s="31">
        <f>13.65-6</f>
        <v>7.65</v>
      </c>
      <c r="E53" s="31">
        <f>D48*85%</f>
        <v>17.849999999999998</v>
      </c>
      <c r="F53" s="31">
        <v>17.850000000000001</v>
      </c>
      <c r="G53" s="31">
        <v>17.850000000000001</v>
      </c>
      <c r="H53" s="271">
        <f t="shared" si="18"/>
        <v>100.00000000000003</v>
      </c>
      <c r="I53" s="31"/>
      <c r="J53" s="137"/>
      <c r="K53" s="137"/>
      <c r="L53" s="238"/>
      <c r="M53" s="137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6" t="s">
        <v>52</v>
      </c>
      <c r="C54" s="30" t="s">
        <v>18</v>
      </c>
      <c r="D54" s="31">
        <v>3.5</v>
      </c>
      <c r="E54" s="31"/>
      <c r="F54" s="31"/>
      <c r="G54" s="31"/>
      <c r="H54" s="234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11.5</v>
      </c>
      <c r="E55" s="17">
        <f t="shared" si="27"/>
        <v>13.5</v>
      </c>
      <c r="F55" s="17">
        <f t="shared" si="27"/>
        <v>12.3</v>
      </c>
      <c r="G55" s="17">
        <f t="shared" si="27"/>
        <v>12.3</v>
      </c>
      <c r="H55" s="234">
        <f t="shared" ref="H55:H65" si="28">F55/E55*100</f>
        <v>91.111111111111114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60" t="s">
        <v>50</v>
      </c>
      <c r="C56" s="30" t="s">
        <v>18</v>
      </c>
      <c r="D56" s="31">
        <v>11.5</v>
      </c>
      <c r="E56" s="31">
        <f>D56+E58</f>
        <v>12.3</v>
      </c>
      <c r="F56" s="31">
        <v>12.3</v>
      </c>
      <c r="G56" s="31">
        <v>12.3</v>
      </c>
      <c r="H56" s="271">
        <f t="shared" si="28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9">D58+D61</f>
        <v>0</v>
      </c>
      <c r="E57" s="31">
        <f t="shared" si="29"/>
        <v>1.2000000000000002</v>
      </c>
      <c r="F57" s="31">
        <f t="shared" si="29"/>
        <v>0</v>
      </c>
      <c r="G57" s="31">
        <f t="shared" si="29"/>
        <v>0</v>
      </c>
      <c r="H57" s="234">
        <f t="shared" si="28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30">D59+D60</f>
        <v>0</v>
      </c>
      <c r="E58" s="76">
        <f t="shared" si="30"/>
        <v>0.8</v>
      </c>
      <c r="F58" s="76">
        <f t="shared" si="30"/>
        <v>0</v>
      </c>
      <c r="G58" s="76">
        <f t="shared" si="30"/>
        <v>0</v>
      </c>
      <c r="H58" s="234">
        <f t="shared" si="28"/>
        <v>0</v>
      </c>
      <c r="I58" s="76"/>
      <c r="J58" s="241"/>
      <c r="K58" s="106"/>
      <c r="L58" s="106"/>
      <c r="M58" s="106"/>
      <c r="N58" s="106"/>
      <c r="O58" s="106"/>
      <c r="P58" s="79"/>
      <c r="Q58" s="79"/>
      <c r="R58" s="79"/>
      <c r="S58" s="79"/>
      <c r="T58" s="80"/>
      <c r="U58" s="80"/>
      <c r="V58" s="80"/>
      <c r="W58" s="80"/>
      <c r="X58" s="80"/>
      <c r="Y58" s="80"/>
      <c r="Z58" s="80"/>
    </row>
    <row r="59" spans="1:26" ht="31.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0.3</v>
      </c>
      <c r="F59" s="31">
        <v>0</v>
      </c>
      <c r="G59" s="31">
        <v>0</v>
      </c>
      <c r="H59" s="234">
        <f t="shared" si="28"/>
        <v>0</v>
      </c>
      <c r="I59" s="31"/>
      <c r="J59" s="35"/>
      <c r="K59" s="240"/>
      <c r="L59" s="240"/>
      <c r="M59" s="240"/>
      <c r="N59" s="240"/>
      <c r="O59" s="240"/>
      <c r="P59" s="2"/>
      <c r="Q59" s="2"/>
      <c r="R59" s="2"/>
      <c r="S59" s="2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0.5</v>
      </c>
      <c r="F60" s="31">
        <v>0</v>
      </c>
      <c r="G60" s="31">
        <v>0</v>
      </c>
      <c r="H60" s="234">
        <f t="shared" si="28"/>
        <v>0</v>
      </c>
      <c r="I60" s="31"/>
      <c r="J60" s="35"/>
      <c r="K60" s="240"/>
      <c r="L60" s="240"/>
      <c r="M60" s="240"/>
      <c r="N60" s="240"/>
      <c r="O60" s="240"/>
      <c r="P60" s="2"/>
      <c r="Q60" s="2"/>
      <c r="R60" s="2"/>
      <c r="S60" s="2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1">D62+D63</f>
        <v>0</v>
      </c>
      <c r="E61" s="76">
        <f t="shared" si="31"/>
        <v>0.4</v>
      </c>
      <c r="F61" s="76">
        <f t="shared" si="31"/>
        <v>0</v>
      </c>
      <c r="G61" s="76">
        <f t="shared" si="31"/>
        <v>0</v>
      </c>
      <c r="H61" s="234">
        <f t="shared" si="28"/>
        <v>0</v>
      </c>
      <c r="I61" s="76"/>
      <c r="J61" s="35"/>
      <c r="K61" s="106"/>
      <c r="L61" s="106"/>
      <c r="M61" s="106"/>
      <c r="N61" s="106"/>
      <c r="O61" s="79"/>
      <c r="P61" s="79"/>
      <c r="Q61" s="79"/>
      <c r="R61" s="79"/>
      <c r="S61" s="79"/>
      <c r="T61" s="80"/>
      <c r="U61" s="80"/>
      <c r="V61" s="80"/>
      <c r="W61" s="80"/>
      <c r="X61" s="80"/>
      <c r="Y61" s="80"/>
      <c r="Z61" s="80"/>
    </row>
    <row r="62" spans="1:26" ht="31.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0.3</v>
      </c>
      <c r="F62" s="31">
        <v>0</v>
      </c>
      <c r="G62" s="31">
        <v>0</v>
      </c>
      <c r="H62" s="234">
        <f t="shared" si="28"/>
        <v>0</v>
      </c>
      <c r="I62" s="31"/>
      <c r="J62" s="35"/>
      <c r="K62" s="240"/>
      <c r="L62" s="240"/>
      <c r="M62" s="240"/>
      <c r="N62" s="240"/>
      <c r="O62" s="240"/>
      <c r="P62" s="2"/>
      <c r="Q62" s="2"/>
      <c r="R62" s="2"/>
      <c r="S62" s="2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234">
        <f t="shared" si="28"/>
        <v>0</v>
      </c>
      <c r="I63" s="31"/>
      <c r="J63" s="35"/>
      <c r="K63" s="240"/>
      <c r="L63" s="240"/>
      <c r="M63" s="240"/>
      <c r="N63" s="240"/>
      <c r="O63" s="240"/>
      <c r="P63" s="2"/>
      <c r="Q63" s="2"/>
      <c r="R63" s="2"/>
      <c r="S63" s="2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2">D65+D66</f>
        <v>5.75</v>
      </c>
      <c r="E64" s="17">
        <f t="shared" si="32"/>
        <v>5.75</v>
      </c>
      <c r="F64" s="17">
        <f t="shared" si="32"/>
        <v>5.75</v>
      </c>
      <c r="G64" s="17">
        <f t="shared" si="32"/>
        <v>5.75</v>
      </c>
      <c r="H64" s="234">
        <f t="shared" si="28"/>
        <v>100</v>
      </c>
      <c r="I64" s="17"/>
      <c r="J64" s="137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60" t="s">
        <v>45</v>
      </c>
      <c r="C65" s="30" t="s">
        <v>18</v>
      </c>
      <c r="D65" s="31">
        <v>5.75</v>
      </c>
      <c r="E65" s="31">
        <v>5.75</v>
      </c>
      <c r="F65" s="31">
        <v>5.75</v>
      </c>
      <c r="G65" s="31">
        <v>5.75</v>
      </c>
      <c r="H65" s="271">
        <f t="shared" si="28"/>
        <v>100</v>
      </c>
      <c r="I65" s="31"/>
      <c r="J65" s="137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234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3">D68+D71</f>
        <v>46.83</v>
      </c>
      <c r="E67" s="17">
        <f t="shared" si="33"/>
        <v>47.059999999999995</v>
      </c>
      <c r="F67" s="17">
        <f t="shared" si="33"/>
        <v>46.489999999999995</v>
      </c>
      <c r="G67" s="17">
        <f t="shared" si="33"/>
        <v>46.489999999999995</v>
      </c>
      <c r="H67" s="234">
        <f>F67/E67*100</f>
        <v>98.788780280492986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4">D69+D70</f>
        <v>0</v>
      </c>
      <c r="E68" s="17">
        <f t="shared" si="34"/>
        <v>0</v>
      </c>
      <c r="F68" s="17">
        <f t="shared" si="34"/>
        <v>0</v>
      </c>
      <c r="G68" s="17">
        <f t="shared" si="34"/>
        <v>0</v>
      </c>
      <c r="H68" s="234"/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234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60" t="s">
        <v>70</v>
      </c>
      <c r="C70" s="30" t="s">
        <v>18</v>
      </c>
      <c r="D70" s="31"/>
      <c r="E70" s="31"/>
      <c r="F70" s="31"/>
      <c r="G70" s="31"/>
      <c r="H70" s="234"/>
      <c r="I70" s="31"/>
      <c r="J70" s="137"/>
      <c r="K70" s="137"/>
      <c r="L70" s="137"/>
      <c r="M70" s="137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5">D72+D73</f>
        <v>46.83</v>
      </c>
      <c r="E71" s="17">
        <f t="shared" si="35"/>
        <v>47.059999999999995</v>
      </c>
      <c r="F71" s="17">
        <f t="shared" si="35"/>
        <v>46.489999999999995</v>
      </c>
      <c r="G71" s="17">
        <f t="shared" si="35"/>
        <v>46.489999999999995</v>
      </c>
      <c r="H71" s="234">
        <f t="shared" ref="H71:H75" si="36">F71/E71*100</f>
        <v>98.788780280492986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7">D75+D82</f>
        <v>46.33</v>
      </c>
      <c r="E72" s="91">
        <f t="shared" si="37"/>
        <v>46.489999999999995</v>
      </c>
      <c r="F72" s="91">
        <f t="shared" si="37"/>
        <v>46.489999999999995</v>
      </c>
      <c r="G72" s="91">
        <f t="shared" si="37"/>
        <v>46.489999999999995</v>
      </c>
      <c r="H72" s="234">
        <f t="shared" si="36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8">D76+D83</f>
        <v>0.5</v>
      </c>
      <c r="E73" s="17">
        <f t="shared" si="38"/>
        <v>0.56999999999999995</v>
      </c>
      <c r="F73" s="17">
        <f t="shared" si="38"/>
        <v>0</v>
      </c>
      <c r="G73" s="17">
        <f t="shared" si="38"/>
        <v>0</v>
      </c>
      <c r="H73" s="234">
        <f t="shared" si="36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39">D75+D76</f>
        <v>34.299999999999997</v>
      </c>
      <c r="E74" s="96">
        <f t="shared" si="39"/>
        <v>34.299999999999997</v>
      </c>
      <c r="F74" s="96">
        <f t="shared" si="39"/>
        <v>34.299999999999997</v>
      </c>
      <c r="G74" s="96">
        <f t="shared" si="39"/>
        <v>34.299999999999997</v>
      </c>
      <c r="H74" s="273">
        <f t="shared" si="36"/>
        <v>100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9" t="s">
        <v>32</v>
      </c>
      <c r="B75" s="98" t="s">
        <v>45</v>
      </c>
      <c r="C75" s="30" t="s">
        <v>18</v>
      </c>
      <c r="D75" s="62">
        <f>33.3+1</f>
        <v>34.299999999999997</v>
      </c>
      <c r="E75" s="62">
        <f>D75+D76</f>
        <v>34.299999999999997</v>
      </c>
      <c r="F75" s="62">
        <v>34.299999999999997</v>
      </c>
      <c r="G75" s="62">
        <v>34.299999999999997</v>
      </c>
      <c r="H75" s="271">
        <f t="shared" si="36"/>
        <v>100</v>
      </c>
      <c r="I75" s="31"/>
      <c r="J75" s="137"/>
      <c r="K75" s="137"/>
      <c r="L75" s="125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40">SUM(D77:D80)</f>
        <v>0</v>
      </c>
      <c r="E76" s="244">
        <f t="shared" si="40"/>
        <v>0</v>
      </c>
      <c r="F76" s="244">
        <f t="shared" si="40"/>
        <v>0</v>
      </c>
      <c r="G76" s="244">
        <f t="shared" si="40"/>
        <v>0</v>
      </c>
      <c r="H76" s="234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8" t="s">
        <v>47</v>
      </c>
      <c r="B77" s="101" t="s">
        <v>80</v>
      </c>
      <c r="C77" s="48" t="s">
        <v>18</v>
      </c>
      <c r="D77" s="31"/>
      <c r="E77" s="31">
        <v>0</v>
      </c>
      <c r="F77" s="31"/>
      <c r="G77" s="31"/>
      <c r="H77" s="234"/>
      <c r="I77" s="31"/>
      <c r="J77" s="241"/>
      <c r="K77" s="241"/>
      <c r="L77" s="106"/>
      <c r="M77" s="106"/>
      <c r="N77" s="246"/>
      <c r="O77" s="2"/>
      <c r="P77" s="38"/>
      <c r="Q77" s="2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31"/>
      <c r="H78" s="234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234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8" t="s">
        <v>47</v>
      </c>
      <c r="B80" s="247" t="s">
        <v>83</v>
      </c>
      <c r="C80" s="48" t="s">
        <v>18</v>
      </c>
      <c r="D80" s="31"/>
      <c r="E80" s="31"/>
      <c r="F80" s="31"/>
      <c r="G80" s="31"/>
      <c r="H80" s="234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1">D82+D83</f>
        <v>12.53</v>
      </c>
      <c r="E81" s="96">
        <f t="shared" si="41"/>
        <v>12.76</v>
      </c>
      <c r="F81" s="96">
        <f t="shared" si="41"/>
        <v>12.19</v>
      </c>
      <c r="G81" s="96">
        <f t="shared" si="41"/>
        <v>12.19</v>
      </c>
      <c r="H81" s="273">
        <f t="shared" ref="H81:H83" si="42">F81/E81*100</f>
        <v>95.532915360501562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1.5" customHeight="1" x14ac:dyDescent="0.25">
      <c r="A82" s="117" t="s">
        <v>47</v>
      </c>
      <c r="B82" s="101" t="s">
        <v>85</v>
      </c>
      <c r="C82" s="48" t="s">
        <v>18</v>
      </c>
      <c r="D82" s="76">
        <v>12.03</v>
      </c>
      <c r="E82" s="76">
        <v>12.19</v>
      </c>
      <c r="F82" s="76">
        <v>12.19</v>
      </c>
      <c r="G82" s="76">
        <v>12.19</v>
      </c>
      <c r="H82" s="271">
        <f t="shared" si="42"/>
        <v>100</v>
      </c>
      <c r="I82" s="76"/>
      <c r="J82" s="241"/>
      <c r="K82" s="241"/>
      <c r="L82" s="24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1.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3">SUM(D84:D87)</f>
        <v>0.5</v>
      </c>
      <c r="E83" s="62">
        <f t="shared" si="43"/>
        <v>0.56999999999999995</v>
      </c>
      <c r="F83" s="62">
        <f t="shared" si="43"/>
        <v>0</v>
      </c>
      <c r="G83" s="62">
        <f t="shared" si="43"/>
        <v>0</v>
      </c>
      <c r="H83" s="234">
        <f t="shared" si="42"/>
        <v>0</v>
      </c>
      <c r="I83" s="62"/>
      <c r="J83" s="241"/>
      <c r="K83" s="241"/>
      <c r="L83" s="106"/>
      <c r="M83" s="106"/>
      <c r="N83" s="106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234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234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234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17" t="s">
        <v>47</v>
      </c>
      <c r="B87" s="101" t="s">
        <v>89</v>
      </c>
      <c r="C87" s="48" t="s">
        <v>18</v>
      </c>
      <c r="D87" s="31">
        <v>0.5</v>
      </c>
      <c r="E87" s="31">
        <v>0.56999999999999995</v>
      </c>
      <c r="F87" s="31">
        <v>0</v>
      </c>
      <c r="G87" s="31">
        <v>0</v>
      </c>
      <c r="H87" s="234">
        <f t="shared" ref="H87:H95" si="44">F87/E87*100</f>
        <v>0</v>
      </c>
      <c r="I87" s="31"/>
      <c r="J87" s="106"/>
      <c r="K87" s="106"/>
      <c r="L87" s="246"/>
      <c r="M87" s="246"/>
      <c r="N87" s="246"/>
      <c r="O87" s="38"/>
      <c r="P87" s="38"/>
      <c r="Q87" s="38"/>
      <c r="R87" s="47"/>
      <c r="S87" s="47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5">SUM(D89:D93)</f>
        <v>1028</v>
      </c>
      <c r="E88" s="17">
        <f t="shared" si="45"/>
        <v>1308</v>
      </c>
      <c r="F88" s="17">
        <f t="shared" si="45"/>
        <v>1175</v>
      </c>
      <c r="G88" s="17">
        <f t="shared" si="45"/>
        <v>1175</v>
      </c>
      <c r="H88" s="234">
        <f t="shared" si="44"/>
        <v>89.831804281345569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104</v>
      </c>
      <c r="E89" s="31">
        <f>55+29</f>
        <v>84</v>
      </c>
      <c r="F89" s="31">
        <v>83</v>
      </c>
      <c r="G89" s="31">
        <f t="shared" ref="G89:G93" si="46">F89</f>
        <v>83</v>
      </c>
      <c r="H89" s="271">
        <f t="shared" si="44"/>
        <v>98.80952380952381</v>
      </c>
      <c r="I89" s="31"/>
      <c r="J89" s="57"/>
      <c r="K89" s="84"/>
      <c r="L89" s="274"/>
      <c r="M89" s="275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159</v>
      </c>
      <c r="E90" s="31">
        <f>150+24</f>
        <v>174</v>
      </c>
      <c r="F90" s="31">
        <v>171</v>
      </c>
      <c r="G90" s="31">
        <f t="shared" si="46"/>
        <v>171</v>
      </c>
      <c r="H90" s="271">
        <f t="shared" si="44"/>
        <v>98.275862068965509</v>
      </c>
      <c r="I90" s="31"/>
      <c r="J90" s="57"/>
      <c r="K90" s="279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93</v>
      </c>
      <c r="E91" s="31">
        <f>134+42</f>
        <v>176</v>
      </c>
      <c r="F91" s="31">
        <v>169</v>
      </c>
      <c r="G91" s="31">
        <f t="shared" si="46"/>
        <v>169</v>
      </c>
      <c r="H91" s="271">
        <f t="shared" si="44"/>
        <v>96.022727272727266</v>
      </c>
      <c r="I91" s="31"/>
      <c r="J91" s="57"/>
      <c r="K91" s="84"/>
      <c r="L91" s="274"/>
      <c r="M91" s="275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1.5" customHeight="1" x14ac:dyDescent="0.25">
      <c r="A92" s="30">
        <v>4</v>
      </c>
      <c r="B92" s="27" t="s">
        <v>99</v>
      </c>
      <c r="C92" s="30" t="s">
        <v>93</v>
      </c>
      <c r="D92" s="31"/>
      <c r="E92" s="31">
        <f>2+1</f>
        <v>3</v>
      </c>
      <c r="F92" s="31">
        <v>2</v>
      </c>
      <c r="G92" s="31">
        <f t="shared" si="46"/>
        <v>2</v>
      </c>
      <c r="H92" s="271">
        <f t="shared" si="44"/>
        <v>66.666666666666657</v>
      </c>
      <c r="I92" s="31"/>
      <c r="J92" s="28"/>
      <c r="K92" s="35"/>
      <c r="L92" s="277"/>
      <c r="M92" s="275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100</v>
      </c>
      <c r="C93" s="30" t="s">
        <v>93</v>
      </c>
      <c r="D93" s="31">
        <v>672</v>
      </c>
      <c r="E93" s="31">
        <f>964-93</f>
        <v>871</v>
      </c>
      <c r="F93" s="31">
        <v>750</v>
      </c>
      <c r="G93" s="31">
        <f t="shared" si="46"/>
        <v>750</v>
      </c>
      <c r="H93" s="271">
        <f t="shared" si="44"/>
        <v>86.107921928817461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1.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7">D95</f>
        <v>1.1000000000000001</v>
      </c>
      <c r="E94" s="17">
        <f t="shared" si="47"/>
        <v>1.1000000000000001</v>
      </c>
      <c r="F94" s="17">
        <f t="shared" si="47"/>
        <v>1.1000000000000001</v>
      </c>
      <c r="G94" s="17">
        <f t="shared" si="47"/>
        <v>1.1000000000000001</v>
      </c>
      <c r="H94" s="234">
        <f t="shared" si="44"/>
        <v>100</v>
      </c>
      <c r="I94" s="17"/>
      <c r="J94" s="70"/>
      <c r="K94" s="70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8" t="s">
        <v>47</v>
      </c>
      <c r="B95" s="81" t="s">
        <v>103</v>
      </c>
      <c r="C95" s="48" t="s">
        <v>18</v>
      </c>
      <c r="D95" s="31">
        <v>1.1000000000000001</v>
      </c>
      <c r="E95" s="31">
        <v>1.1000000000000001</v>
      </c>
      <c r="F95" s="31">
        <v>1.1000000000000001</v>
      </c>
      <c r="G95" s="31">
        <v>1.1000000000000001</v>
      </c>
      <c r="H95" s="271">
        <f t="shared" si="44"/>
        <v>100</v>
      </c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8">D97+D98</f>
        <v>0</v>
      </c>
      <c r="E96" s="17">
        <f t="shared" si="48"/>
        <v>0</v>
      </c>
      <c r="F96" s="17">
        <f t="shared" si="48"/>
        <v>0</v>
      </c>
      <c r="G96" s="17">
        <f t="shared" si="48"/>
        <v>0</v>
      </c>
      <c r="H96" s="234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8" t="s">
        <v>270</v>
      </c>
      <c r="C97" s="48" t="s">
        <v>18</v>
      </c>
      <c r="D97" s="31"/>
      <c r="E97" s="31">
        <v>0</v>
      </c>
      <c r="F97" s="31"/>
      <c r="G97" s="31"/>
      <c r="H97" s="234"/>
      <c r="I97" s="31"/>
      <c r="J97" s="28"/>
      <c r="K97" s="28"/>
      <c r="L97" s="35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33" t="s">
        <v>47</v>
      </c>
      <c r="B98" s="98" t="s">
        <v>110</v>
      </c>
      <c r="C98" s="48" t="s">
        <v>18</v>
      </c>
      <c r="D98" s="31"/>
      <c r="E98" s="31"/>
      <c r="F98" s="31"/>
      <c r="G98" s="31"/>
      <c r="H98" s="234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9055118110236227" bottom="0.55118110236220474" header="0" footer="0"/>
  <pageSetup scale="85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6640625" customWidth="1"/>
    <col min="2" max="2" width="29.109375" customWidth="1"/>
    <col min="3" max="3" width="10.6640625" customWidth="1"/>
    <col min="4" max="5" width="16.88671875" customWidth="1"/>
    <col min="6" max="9" width="12.6640625" customWidth="1"/>
    <col min="10" max="10" width="8.88671875" customWidth="1"/>
    <col min="11" max="11" width="21.77734375" customWidth="1"/>
    <col min="12" max="14" width="8.88671875" customWidth="1"/>
    <col min="15" max="22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285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'MÔ PẢ(12)'!A5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8"/>
      <c r="I7" s="305" t="s">
        <v>272</v>
      </c>
      <c r="J7" s="137"/>
      <c r="K7" s="11" t="s">
        <v>10</v>
      </c>
      <c r="L7" s="263">
        <v>89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8" t="s">
        <v>14</v>
      </c>
      <c r="I8" s="306"/>
      <c r="J8" s="137"/>
      <c r="K8" s="11" t="s">
        <v>15</v>
      </c>
      <c r="L8" s="263">
        <v>515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65.8</v>
      </c>
      <c r="E9" s="234">
        <f t="shared" si="0"/>
        <v>93.550000000000011</v>
      </c>
      <c r="F9" s="234">
        <f t="shared" si="0"/>
        <v>74.8</v>
      </c>
      <c r="G9" s="234">
        <f t="shared" si="0"/>
        <v>74.8</v>
      </c>
      <c r="H9" s="17">
        <f t="shared" ref="H9:H30" si="1">F9/E9*100</f>
        <v>79.957242116515218</v>
      </c>
      <c r="I9" s="234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1.5</v>
      </c>
      <c r="E10" s="17">
        <f t="shared" si="2"/>
        <v>10.76</v>
      </c>
      <c r="F10" s="17">
        <f t="shared" si="2"/>
        <v>3.71</v>
      </c>
      <c r="G10" s="17">
        <f t="shared" si="2"/>
        <v>3.71</v>
      </c>
      <c r="H10" s="17">
        <f t="shared" si="1"/>
        <v>34.479553903345725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5.5275000000000007</v>
      </c>
      <c r="E11" s="17">
        <f t="shared" si="3"/>
        <v>33.440009999999994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236"/>
      <c r="K11" s="236"/>
      <c r="L11" s="283"/>
      <c r="M11" s="283"/>
      <c r="N11" s="283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27.905009999999997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236"/>
      <c r="K12" s="236"/>
      <c r="L12" s="283"/>
      <c r="M12" s="283"/>
      <c r="N12" s="283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9.26</v>
      </c>
      <c r="F13" s="17">
        <f t="shared" si="5"/>
        <v>2.21</v>
      </c>
      <c r="G13" s="17">
        <f t="shared" si="5"/>
        <v>2.21</v>
      </c>
      <c r="H13" s="17">
        <f t="shared" si="1"/>
        <v>23.866090712742981</v>
      </c>
      <c r="I13" s="17"/>
      <c r="J13" s="137"/>
      <c r="K13" s="137"/>
      <c r="L13" s="137"/>
      <c r="M13" s="137"/>
      <c r="N13" s="1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37"/>
      <c r="K14" s="137"/>
      <c r="L14" s="285"/>
      <c r="M14" s="285"/>
      <c r="N14" s="285"/>
      <c r="O14" s="286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27.905009999999997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37"/>
      <c r="K15" s="137"/>
      <c r="L15" s="285"/>
      <c r="M15" s="285"/>
      <c r="N15" s="285"/>
      <c r="O15" s="286"/>
      <c r="P15" s="286"/>
      <c r="Q15" s="286"/>
      <c r="R15" s="286"/>
      <c r="S15" s="286"/>
      <c r="T15" s="286"/>
      <c r="U15" s="286"/>
      <c r="V15" s="286"/>
      <c r="W15" s="286"/>
      <c r="X15" s="286"/>
      <c r="Y15" s="286"/>
      <c r="Z15" s="286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2.21</v>
      </c>
      <c r="F16" s="17">
        <v>2.21</v>
      </c>
      <c r="G16" s="17">
        <v>2.21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17"/>
      <c r="E18" s="31">
        <f t="shared" ref="E18:G18" si="8">E16*E17/10</f>
        <v>7.4034999999999993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287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2" t="s">
        <v>31</v>
      </c>
      <c r="C19" s="40" t="s">
        <v>18</v>
      </c>
      <c r="D19" s="104">
        <f t="shared" ref="D19:G19" si="9">D22+D25</f>
        <v>0</v>
      </c>
      <c r="E19" s="104">
        <f t="shared" si="9"/>
        <v>7.05</v>
      </c>
      <c r="F19" s="104">
        <f t="shared" si="9"/>
        <v>0</v>
      </c>
      <c r="G19" s="104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6"/>
      <c r="O19" s="90"/>
      <c r="P19" s="90"/>
      <c r="Q19" s="90"/>
      <c r="R19" s="90"/>
      <c r="S19" s="90"/>
      <c r="T19" s="90"/>
      <c r="U19" s="90"/>
      <c r="V19" s="90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26.770000000000003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46"/>
      <c r="O20" s="90"/>
      <c r="P20" s="90"/>
      <c r="Q20" s="90"/>
      <c r="R20" s="90"/>
      <c r="S20" s="90"/>
      <c r="T20" s="90"/>
      <c r="U20" s="90"/>
      <c r="V20" s="90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18.872850000000003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46"/>
      <c r="O21" s="90"/>
      <c r="P21" s="90"/>
      <c r="Q21" s="90"/>
      <c r="R21" s="90"/>
      <c r="S21" s="90"/>
      <c r="T21" s="90"/>
      <c r="U21" s="90"/>
      <c r="V21" s="90"/>
      <c r="W21" s="1"/>
      <c r="X21" s="1"/>
      <c r="Y21" s="1"/>
      <c r="Z21" s="1"/>
    </row>
    <row r="22" spans="1:26" ht="31.5" customHeight="1" x14ac:dyDescent="0.25">
      <c r="A22" s="40" t="s">
        <v>32</v>
      </c>
      <c r="B22" s="42" t="s">
        <v>33</v>
      </c>
      <c r="C22" s="40" t="s">
        <v>18</v>
      </c>
      <c r="D22" s="104"/>
      <c r="E22" s="104">
        <v>6.05</v>
      </c>
      <c r="F22" s="104">
        <v>0</v>
      </c>
      <c r="G22" s="104">
        <v>0</v>
      </c>
      <c r="H22" s="17">
        <f t="shared" si="1"/>
        <v>0</v>
      </c>
      <c r="I22" s="17"/>
      <c r="J22" s="55"/>
      <c r="K22" s="55"/>
      <c r="L22" s="55"/>
      <c r="M22" s="55"/>
      <c r="N22" s="63"/>
      <c r="O22" s="255"/>
      <c r="P22" s="255"/>
      <c r="Q22" s="255"/>
      <c r="R22" s="255"/>
      <c r="S22" s="255"/>
      <c r="T22" s="255"/>
      <c r="U22" s="255"/>
      <c r="V22" s="90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5"/>
      <c r="K23" s="55"/>
      <c r="L23" s="55"/>
      <c r="M23" s="55"/>
      <c r="N23" s="63"/>
      <c r="O23" s="255"/>
      <c r="P23" s="255"/>
      <c r="Q23" s="255"/>
      <c r="R23" s="255"/>
      <c r="S23" s="255"/>
      <c r="T23" s="255"/>
      <c r="U23" s="255"/>
      <c r="V23" s="90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2">D22*D23/10</f>
        <v>0</v>
      </c>
      <c r="E24" s="31">
        <f t="shared" si="12"/>
        <v>23.195700000000002</v>
      </c>
      <c r="F24" s="31">
        <f t="shared" si="12"/>
        <v>0</v>
      </c>
      <c r="G24" s="31">
        <f t="shared" si="12"/>
        <v>0</v>
      </c>
      <c r="H24" s="17">
        <f t="shared" si="1"/>
        <v>0</v>
      </c>
      <c r="I24" s="31"/>
      <c r="J24" s="55"/>
      <c r="K24" s="55"/>
      <c r="L24" s="55"/>
      <c r="M24" s="55"/>
      <c r="N24" s="63"/>
      <c r="O24" s="255"/>
      <c r="P24" s="255"/>
      <c r="Q24" s="255"/>
      <c r="R24" s="255"/>
      <c r="S24" s="255"/>
      <c r="T24" s="255"/>
      <c r="U24" s="255"/>
      <c r="V24" s="90"/>
      <c r="W24" s="1"/>
      <c r="X24" s="1"/>
      <c r="Y24" s="1"/>
      <c r="Z24" s="1"/>
    </row>
    <row r="25" spans="1:26" ht="31.5" customHeight="1" x14ac:dyDescent="0.25">
      <c r="A25" s="40" t="s">
        <v>32</v>
      </c>
      <c r="B25" s="42" t="s">
        <v>34</v>
      </c>
      <c r="C25" s="40" t="s">
        <v>18</v>
      </c>
      <c r="D25" s="104"/>
      <c r="E25" s="104">
        <v>1</v>
      </c>
      <c r="F25" s="104">
        <v>0</v>
      </c>
      <c r="G25" s="104">
        <v>0</v>
      </c>
      <c r="H25" s="17">
        <f t="shared" si="1"/>
        <v>0</v>
      </c>
      <c r="I25" s="17"/>
      <c r="J25" s="55"/>
      <c r="K25" s="55"/>
      <c r="L25" s="55"/>
      <c r="M25" s="55"/>
      <c r="N25" s="63"/>
      <c r="O25" s="255"/>
      <c r="P25" s="255"/>
      <c r="Q25" s="255"/>
      <c r="R25" s="255"/>
      <c r="S25" s="255"/>
      <c r="T25" s="255"/>
      <c r="U25" s="255"/>
      <c r="V25" s="90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 t="shared" si="1"/>
        <v>0</v>
      </c>
      <c r="I26" s="31"/>
      <c r="J26" s="55"/>
      <c r="K26" s="55"/>
      <c r="L26" s="55"/>
      <c r="M26" s="55"/>
      <c r="N26" s="63"/>
      <c r="O26" s="255"/>
      <c r="P26" s="255"/>
      <c r="Q26" s="255"/>
      <c r="R26" s="255"/>
      <c r="S26" s="255"/>
      <c r="T26" s="255"/>
      <c r="U26" s="255"/>
      <c r="V26" s="90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G27" si="13">D25*D26/10</f>
        <v>0</v>
      </c>
      <c r="E27" s="31">
        <f t="shared" si="13"/>
        <v>1.52</v>
      </c>
      <c r="F27" s="31">
        <f t="shared" si="13"/>
        <v>0</v>
      </c>
      <c r="G27" s="31">
        <f t="shared" si="13"/>
        <v>0</v>
      </c>
      <c r="H27" s="17">
        <f t="shared" si="1"/>
        <v>0</v>
      </c>
      <c r="I27" s="31"/>
      <c r="J27" s="55"/>
      <c r="K27" s="55"/>
      <c r="L27" s="55"/>
      <c r="M27" s="55"/>
      <c r="N27" s="63"/>
      <c r="O27" s="255"/>
      <c r="P27" s="255"/>
      <c r="Q27" s="255"/>
      <c r="R27" s="255"/>
      <c r="S27" s="255"/>
      <c r="T27" s="255"/>
      <c r="U27" s="255"/>
      <c r="V27" s="90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1.5</v>
      </c>
      <c r="E28" s="17">
        <f t="shared" si="14"/>
        <v>1.5</v>
      </c>
      <c r="F28" s="17">
        <f t="shared" si="14"/>
        <v>1.5</v>
      </c>
      <c r="G28" s="17">
        <f t="shared" si="14"/>
        <v>1.5</v>
      </c>
      <c r="H28" s="17">
        <f t="shared" si="1"/>
        <v>100</v>
      </c>
      <c r="I28" s="17"/>
      <c r="J28" s="257"/>
      <c r="K28" s="257"/>
      <c r="L28" s="257"/>
      <c r="M28" s="257"/>
      <c r="N28" s="257"/>
      <c r="O28" s="256"/>
      <c r="P28" s="256"/>
      <c r="Q28" s="256"/>
      <c r="R28" s="256"/>
      <c r="S28" s="256"/>
      <c r="T28" s="256"/>
      <c r="U28" s="256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G29" si="15">D35</f>
        <v>36.85</v>
      </c>
      <c r="E29" s="31">
        <f t="shared" si="15"/>
        <v>36.9</v>
      </c>
      <c r="F29" s="31">
        <f t="shared" si="15"/>
        <v>0</v>
      </c>
      <c r="G29" s="31">
        <f t="shared" si="15"/>
        <v>0</v>
      </c>
      <c r="H29" s="17">
        <f t="shared" si="1"/>
        <v>0</v>
      </c>
      <c r="I29" s="31"/>
      <c r="J29" s="257"/>
      <c r="K29" s="257"/>
      <c r="L29" s="257"/>
      <c r="M29" s="257"/>
      <c r="N29" s="257"/>
      <c r="O29" s="256"/>
      <c r="P29" s="256"/>
      <c r="Q29" s="256"/>
      <c r="R29" s="256"/>
      <c r="S29" s="256"/>
      <c r="T29" s="256"/>
      <c r="U29" s="256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6">D28*D29/10</f>
        <v>5.5275000000000007</v>
      </c>
      <c r="E30" s="31">
        <f t="shared" si="16"/>
        <v>5.5349999999999993</v>
      </c>
      <c r="F30" s="31">
        <f t="shared" si="16"/>
        <v>0</v>
      </c>
      <c r="G30" s="31">
        <f t="shared" si="16"/>
        <v>0</v>
      </c>
      <c r="H30" s="17">
        <f t="shared" si="1"/>
        <v>0</v>
      </c>
      <c r="I30" s="31"/>
      <c r="J30" s="257"/>
      <c r="K30" s="257"/>
      <c r="L30" s="257"/>
      <c r="M30" s="257"/>
      <c r="N30" s="257"/>
      <c r="O30" s="256"/>
      <c r="P30" s="256"/>
      <c r="Q30" s="256"/>
      <c r="R30" s="256"/>
      <c r="S30" s="256"/>
      <c r="T30" s="256"/>
      <c r="U30" s="256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17"/>
      <c r="I31" s="17"/>
      <c r="J31" s="257"/>
      <c r="K31" s="257"/>
      <c r="L31" s="257"/>
      <c r="M31" s="257"/>
      <c r="N31" s="257"/>
      <c r="O31" s="256"/>
      <c r="P31" s="256"/>
      <c r="Q31" s="256"/>
      <c r="R31" s="256"/>
      <c r="S31" s="256"/>
      <c r="T31" s="256"/>
      <c r="U31" s="256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257"/>
      <c r="K32" s="257"/>
      <c r="L32" s="257"/>
      <c r="M32" s="257"/>
      <c r="N32" s="257"/>
      <c r="O32" s="256"/>
      <c r="P32" s="256"/>
      <c r="Q32" s="256"/>
      <c r="R32" s="256"/>
      <c r="S32" s="256"/>
      <c r="T32" s="256"/>
      <c r="U32" s="256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257"/>
      <c r="K33" s="257"/>
      <c r="L33" s="257"/>
      <c r="M33" s="257"/>
      <c r="N33" s="257"/>
      <c r="O33" s="256"/>
      <c r="P33" s="256"/>
      <c r="Q33" s="256"/>
      <c r="R33" s="256"/>
      <c r="S33" s="256"/>
      <c r="T33" s="256"/>
      <c r="U33" s="256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2" t="s">
        <v>38</v>
      </c>
      <c r="C34" s="40" t="s">
        <v>18</v>
      </c>
      <c r="D34" s="104">
        <v>1.5</v>
      </c>
      <c r="E34" s="104">
        <v>1.5</v>
      </c>
      <c r="F34" s="104">
        <v>1.5</v>
      </c>
      <c r="G34" s="104">
        <v>1.5</v>
      </c>
      <c r="H34" s="17">
        <f t="shared" ref="H34:H36" si="17">F34/E34*100</f>
        <v>100</v>
      </c>
      <c r="I34" s="104"/>
      <c r="J34" s="257"/>
      <c r="K34" s="46"/>
      <c r="L34" s="46"/>
      <c r="M34" s="46"/>
      <c r="N34" s="46"/>
      <c r="O34" s="46"/>
      <c r="P34" s="256"/>
      <c r="Q34" s="256"/>
      <c r="R34" s="256"/>
      <c r="S34" s="256"/>
      <c r="T34" s="256"/>
      <c r="U34" s="256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257"/>
      <c r="K35" s="46"/>
      <c r="L35" s="46"/>
      <c r="M35" s="46"/>
      <c r="N35" s="46"/>
      <c r="O35" s="46"/>
      <c r="P35" s="256"/>
      <c r="Q35" s="256"/>
      <c r="R35" s="256"/>
      <c r="S35" s="256"/>
      <c r="T35" s="256"/>
      <c r="U35" s="256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5.5275000000000007</v>
      </c>
      <c r="E36" s="31">
        <f t="shared" si="18"/>
        <v>5.5349999999999993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257"/>
      <c r="K36" s="46"/>
      <c r="L36" s="46"/>
      <c r="M36" s="46"/>
      <c r="N36" s="46"/>
      <c r="O36" s="46"/>
      <c r="P36" s="256"/>
      <c r="Q36" s="256"/>
      <c r="R36" s="256"/>
      <c r="S36" s="256"/>
      <c r="T36" s="256"/>
      <c r="U36" s="256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/>
      <c r="E37" s="17">
        <v>0</v>
      </c>
      <c r="F37" s="17">
        <v>0</v>
      </c>
      <c r="G37" s="17">
        <v>0</v>
      </c>
      <c r="H37" s="17"/>
      <c r="I37" s="17"/>
      <c r="J37" s="257"/>
      <c r="K37" s="55"/>
      <c r="L37" s="257"/>
      <c r="M37" s="257"/>
      <c r="N37" s="257"/>
      <c r="O37" s="256"/>
      <c r="P37" s="256"/>
      <c r="Q37" s="256"/>
      <c r="R37" s="256"/>
      <c r="S37" s="256"/>
      <c r="T37" s="256"/>
      <c r="U37" s="256"/>
      <c r="V37" s="1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>F38/E38*100</f>
        <v>0</v>
      </c>
      <c r="I38" s="31"/>
      <c r="J38" s="257"/>
      <c r="K38" s="257"/>
      <c r="L38" s="257"/>
      <c r="M38" s="257"/>
      <c r="N38" s="257"/>
      <c r="O38" s="256"/>
      <c r="P38" s="256"/>
      <c r="Q38" s="256"/>
      <c r="R38" s="256"/>
      <c r="S38" s="256"/>
      <c r="T38" s="256"/>
      <c r="U38" s="256"/>
      <c r="V38" s="1"/>
      <c r="W38" s="1"/>
      <c r="X38" s="1"/>
      <c r="Y38" s="1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19">D37*D38/10</f>
        <v>0</v>
      </c>
      <c r="E39" s="31">
        <f t="shared" si="19"/>
        <v>0</v>
      </c>
      <c r="F39" s="31">
        <f t="shared" si="19"/>
        <v>0</v>
      </c>
      <c r="G39" s="31">
        <f t="shared" si="19"/>
        <v>0</v>
      </c>
      <c r="H39" s="17"/>
      <c r="I39" s="31"/>
      <c r="J39" s="257"/>
      <c r="K39" s="257"/>
      <c r="L39" s="257"/>
      <c r="M39" s="257"/>
      <c r="N39" s="257"/>
      <c r="O39" s="256"/>
      <c r="P39" s="256"/>
      <c r="Q39" s="256"/>
      <c r="R39" s="256"/>
      <c r="S39" s="256"/>
      <c r="T39" s="256"/>
      <c r="U39" s="256"/>
      <c r="V39" s="1"/>
      <c r="W39" s="1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ref="H40:H53" si="20">F40/E40*100</f>
        <v>0</v>
      </c>
      <c r="I40" s="31"/>
      <c r="J40" s="257"/>
      <c r="K40" s="257"/>
      <c r="L40" s="257"/>
      <c r="M40" s="257"/>
      <c r="N40" s="257"/>
      <c r="O40" s="256"/>
      <c r="P40" s="256"/>
      <c r="Q40" s="256"/>
      <c r="R40" s="256"/>
      <c r="S40" s="256"/>
      <c r="T40" s="256"/>
      <c r="U40" s="256"/>
      <c r="V40" s="1"/>
      <c r="W40" s="1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20"/>
        <v>0</v>
      </c>
      <c r="I41" s="31"/>
      <c r="J41" s="257"/>
      <c r="K41" s="257"/>
      <c r="L41" s="257"/>
      <c r="M41" s="257"/>
      <c r="N41" s="257"/>
      <c r="O41" s="256"/>
      <c r="P41" s="256"/>
      <c r="Q41" s="256"/>
      <c r="R41" s="256"/>
      <c r="S41" s="256"/>
      <c r="T41" s="256"/>
      <c r="U41" s="256"/>
      <c r="V41" s="1"/>
      <c r="W41" s="1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>
        <f t="shared" ref="D42:G42" si="21">D40*D41/10</f>
        <v>1.25</v>
      </c>
      <c r="E42" s="31">
        <f t="shared" si="21"/>
        <v>1.2050000000000001</v>
      </c>
      <c r="F42" s="31">
        <f t="shared" si="21"/>
        <v>0</v>
      </c>
      <c r="G42" s="31">
        <f t="shared" si="21"/>
        <v>0</v>
      </c>
      <c r="H42" s="17">
        <f t="shared" si="20"/>
        <v>0</v>
      </c>
      <c r="I42" s="31"/>
      <c r="J42" s="257"/>
      <c r="K42" s="257"/>
      <c r="L42" s="257"/>
      <c r="M42" s="257"/>
      <c r="N42" s="257"/>
      <c r="O42" s="256"/>
      <c r="P42" s="256"/>
      <c r="Q42" s="256"/>
      <c r="R42" s="256"/>
      <c r="S42" s="256"/>
      <c r="T42" s="256"/>
      <c r="U42" s="256"/>
      <c r="V42" s="1"/>
      <c r="W42" s="1"/>
      <c r="X42" s="1"/>
      <c r="Y42" s="1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20"/>
        <v>54</v>
      </c>
      <c r="I43" s="17"/>
      <c r="J43" s="257"/>
      <c r="K43" s="257"/>
      <c r="L43" s="257"/>
      <c r="M43" s="257"/>
      <c r="N43" s="257"/>
      <c r="O43" s="256"/>
      <c r="P43" s="256"/>
      <c r="Q43" s="256"/>
      <c r="R43" s="256"/>
      <c r="S43" s="256"/>
      <c r="T43" s="256"/>
      <c r="U43" s="256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20"/>
        <v>0</v>
      </c>
      <c r="I44" s="31"/>
      <c r="J44" s="137"/>
      <c r="K44" s="137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9" t="s">
        <v>27</v>
      </c>
      <c r="C45" s="50" t="s">
        <v>21</v>
      </c>
      <c r="D45" s="31">
        <f t="shared" ref="D45:G45" si="22">D43*D44/10</f>
        <v>5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17">
        <f t="shared" si="20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42.23</v>
      </c>
      <c r="E46" s="17">
        <f t="shared" si="23"/>
        <v>60.45</v>
      </c>
      <c r="F46" s="17">
        <f t="shared" si="23"/>
        <v>49.25</v>
      </c>
      <c r="G46" s="17">
        <f t="shared" si="23"/>
        <v>49.25</v>
      </c>
      <c r="H46" s="17">
        <f t="shared" si="20"/>
        <v>81.4722911497105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4">D48+D49</f>
        <v>30.45</v>
      </c>
      <c r="E47" s="17">
        <f t="shared" si="24"/>
        <v>40.450000000000003</v>
      </c>
      <c r="F47" s="17">
        <f t="shared" si="24"/>
        <v>30.45</v>
      </c>
      <c r="G47" s="17">
        <f t="shared" si="24"/>
        <v>30.45</v>
      </c>
      <c r="H47" s="17">
        <f t="shared" si="20"/>
        <v>75.278121137206426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9" t="s">
        <v>32</v>
      </c>
      <c r="B48" s="60" t="s">
        <v>45</v>
      </c>
      <c r="C48" s="61" t="s">
        <v>18</v>
      </c>
      <c r="D48" s="31">
        <v>30.45</v>
      </c>
      <c r="E48" s="31">
        <f>D48+D49</f>
        <v>30.45</v>
      </c>
      <c r="F48" s="31">
        <v>30.45</v>
      </c>
      <c r="G48" s="31">
        <v>30.45</v>
      </c>
      <c r="H48" s="17">
        <f t="shared" si="20"/>
        <v>100</v>
      </c>
      <c r="I48" s="31"/>
      <c r="J48" s="55"/>
      <c r="K48" s="55"/>
      <c r="L48" s="55"/>
      <c r="M48" s="55"/>
      <c r="N48" s="55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5">D50+D51</f>
        <v>0</v>
      </c>
      <c r="E49" s="17">
        <f t="shared" si="25"/>
        <v>10</v>
      </c>
      <c r="F49" s="17">
        <f t="shared" si="25"/>
        <v>0</v>
      </c>
      <c r="G49" s="17">
        <f t="shared" si="25"/>
        <v>0</v>
      </c>
      <c r="H49" s="17">
        <f t="shared" si="20"/>
        <v>0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61" t="s">
        <v>47</v>
      </c>
      <c r="B50" s="66" t="s">
        <v>269</v>
      </c>
      <c r="C50" s="61" t="s">
        <v>18</v>
      </c>
      <c r="D50" s="31"/>
      <c r="E50" s="31">
        <v>8</v>
      </c>
      <c r="F50" s="31">
        <v>0</v>
      </c>
      <c r="G50" s="31">
        <v>0</v>
      </c>
      <c r="H50" s="17">
        <f t="shared" si="20"/>
        <v>0</v>
      </c>
      <c r="I50" s="31"/>
      <c r="J50" s="137"/>
      <c r="K50" s="137"/>
      <c r="L50" s="137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61" t="s">
        <v>47</v>
      </c>
      <c r="B51" s="66" t="s">
        <v>49</v>
      </c>
      <c r="C51" s="30" t="s">
        <v>18</v>
      </c>
      <c r="D51" s="31"/>
      <c r="E51" s="31">
        <v>2</v>
      </c>
      <c r="F51" s="31">
        <v>0</v>
      </c>
      <c r="G51" s="31">
        <v>0</v>
      </c>
      <c r="H51" s="17">
        <f t="shared" si="20"/>
        <v>0</v>
      </c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16.759999999999998</v>
      </c>
      <c r="E52" s="17">
        <f t="shared" si="26"/>
        <v>25.8825</v>
      </c>
      <c r="F52" s="17">
        <f t="shared" si="26"/>
        <v>25.88</v>
      </c>
      <c r="G52" s="17">
        <f t="shared" si="26"/>
        <v>25.88</v>
      </c>
      <c r="H52" s="17">
        <f t="shared" si="20"/>
        <v>99.990340963971789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71" t="s">
        <v>47</v>
      </c>
      <c r="B53" s="66" t="s">
        <v>51</v>
      </c>
      <c r="C53" s="30" t="s">
        <v>18</v>
      </c>
      <c r="D53" s="31">
        <f>14.29-1.23</f>
        <v>13.059999999999999</v>
      </c>
      <c r="E53" s="31">
        <f>D48*85%</f>
        <v>25.8825</v>
      </c>
      <c r="F53" s="31">
        <v>25.88</v>
      </c>
      <c r="G53" s="31">
        <v>25.88</v>
      </c>
      <c r="H53" s="31">
        <f t="shared" si="20"/>
        <v>99.990340963971789</v>
      </c>
      <c r="I53" s="31"/>
      <c r="J53" s="137"/>
      <c r="K53" s="137"/>
      <c r="L53" s="238"/>
      <c r="M53" s="137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6" t="s">
        <v>52</v>
      </c>
      <c r="C54" s="30" t="s">
        <v>18</v>
      </c>
      <c r="D54" s="31">
        <v>3.7</v>
      </c>
      <c r="E54" s="31"/>
      <c r="F54" s="31"/>
      <c r="G54" s="31"/>
      <c r="H54" s="17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11.78</v>
      </c>
      <c r="E55" s="17">
        <f t="shared" si="27"/>
        <v>13.5</v>
      </c>
      <c r="F55" s="17">
        <f t="shared" si="27"/>
        <v>12.3</v>
      </c>
      <c r="G55" s="17">
        <f t="shared" si="27"/>
        <v>12.3</v>
      </c>
      <c r="H55" s="17">
        <f t="shared" ref="H55:H65" si="28">F55/E55*100</f>
        <v>91.111111111111114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60" t="s">
        <v>50</v>
      </c>
      <c r="C56" s="30" t="s">
        <v>18</v>
      </c>
      <c r="D56" s="31">
        <v>11.5</v>
      </c>
      <c r="E56" s="31">
        <f>D56+E58</f>
        <v>12.3</v>
      </c>
      <c r="F56" s="31">
        <v>12.3</v>
      </c>
      <c r="G56" s="31">
        <v>12.3</v>
      </c>
      <c r="H56" s="31">
        <f t="shared" si="28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9">D58+D61</f>
        <v>0.28000000000000003</v>
      </c>
      <c r="E57" s="31">
        <f t="shared" si="29"/>
        <v>1.2000000000000002</v>
      </c>
      <c r="F57" s="31">
        <f t="shared" si="29"/>
        <v>0</v>
      </c>
      <c r="G57" s="31">
        <f t="shared" si="29"/>
        <v>0</v>
      </c>
      <c r="H57" s="17">
        <f t="shared" si="28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30">D59+D60</f>
        <v>0.28000000000000003</v>
      </c>
      <c r="E58" s="76">
        <f t="shared" si="30"/>
        <v>0.8</v>
      </c>
      <c r="F58" s="76">
        <f t="shared" si="30"/>
        <v>0</v>
      </c>
      <c r="G58" s="76">
        <f t="shared" si="30"/>
        <v>0</v>
      </c>
      <c r="H58" s="17">
        <f t="shared" si="28"/>
        <v>0</v>
      </c>
      <c r="I58" s="76"/>
      <c r="J58" s="241"/>
      <c r="K58" s="106"/>
      <c r="L58" s="106"/>
      <c r="M58" s="106"/>
      <c r="N58" s="106"/>
      <c r="O58" s="106"/>
      <c r="P58" s="106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1.5" customHeight="1" x14ac:dyDescent="0.25">
      <c r="A59" s="30" t="s">
        <v>47</v>
      </c>
      <c r="B59" s="60" t="s">
        <v>58</v>
      </c>
      <c r="C59" s="30" t="s">
        <v>18</v>
      </c>
      <c r="D59" s="31">
        <v>0.28000000000000003</v>
      </c>
      <c r="E59" s="31">
        <v>0.3</v>
      </c>
      <c r="F59" s="31">
        <v>0</v>
      </c>
      <c r="G59" s="31">
        <v>0</v>
      </c>
      <c r="H59" s="17">
        <f t="shared" si="28"/>
        <v>0</v>
      </c>
      <c r="I59" s="31"/>
      <c r="J59" s="35"/>
      <c r="K59" s="28"/>
      <c r="L59" s="240"/>
      <c r="M59" s="240"/>
      <c r="N59" s="240"/>
      <c r="O59" s="240"/>
      <c r="P59" s="240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0.5</v>
      </c>
      <c r="F60" s="31">
        <v>0</v>
      </c>
      <c r="G60" s="31">
        <v>0</v>
      </c>
      <c r="H60" s="17">
        <f t="shared" si="28"/>
        <v>0</v>
      </c>
      <c r="I60" s="31"/>
      <c r="J60" s="35"/>
      <c r="K60" s="28"/>
      <c r="L60" s="240"/>
      <c r="M60" s="240"/>
      <c r="N60" s="240"/>
      <c r="O60" s="240"/>
      <c r="P60" s="240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1">D62+D63</f>
        <v>0</v>
      </c>
      <c r="E61" s="76">
        <f t="shared" si="31"/>
        <v>0.4</v>
      </c>
      <c r="F61" s="76">
        <f t="shared" si="31"/>
        <v>0</v>
      </c>
      <c r="G61" s="76">
        <f t="shared" si="31"/>
        <v>0</v>
      </c>
      <c r="H61" s="17">
        <f t="shared" si="28"/>
        <v>0</v>
      </c>
      <c r="I61" s="76"/>
      <c r="J61" s="35"/>
      <c r="K61" s="106"/>
      <c r="L61" s="106"/>
      <c r="M61" s="106"/>
      <c r="N61" s="106"/>
      <c r="O61" s="106"/>
      <c r="P61" s="79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1.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0.3</v>
      </c>
      <c r="F62" s="31">
        <v>0</v>
      </c>
      <c r="G62" s="31">
        <v>0</v>
      </c>
      <c r="H62" s="17">
        <f t="shared" si="28"/>
        <v>0</v>
      </c>
      <c r="I62" s="31"/>
      <c r="J62" s="35"/>
      <c r="K62" s="28"/>
      <c r="L62" s="240"/>
      <c r="M62" s="240"/>
      <c r="N62" s="240"/>
      <c r="O62" s="240"/>
      <c r="P62" s="240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8"/>
        <v>0</v>
      </c>
      <c r="I63" s="31"/>
      <c r="J63" s="35"/>
      <c r="K63" s="28"/>
      <c r="L63" s="240"/>
      <c r="M63" s="240"/>
      <c r="N63" s="240"/>
      <c r="O63" s="240"/>
      <c r="P63" s="240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2">D65+D66</f>
        <v>0</v>
      </c>
      <c r="E64" s="17">
        <f t="shared" si="32"/>
        <v>6.5</v>
      </c>
      <c r="F64" s="17">
        <f t="shared" si="32"/>
        <v>6.5</v>
      </c>
      <c r="G64" s="17">
        <f t="shared" si="32"/>
        <v>6.5</v>
      </c>
      <c r="H64" s="17">
        <f t="shared" si="28"/>
        <v>100</v>
      </c>
      <c r="I64" s="17"/>
      <c r="J64" s="137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60" t="s">
        <v>45</v>
      </c>
      <c r="C65" s="30" t="s">
        <v>18</v>
      </c>
      <c r="D65" s="31"/>
      <c r="E65" s="31">
        <v>6.5</v>
      </c>
      <c r="F65" s="31">
        <v>6.5</v>
      </c>
      <c r="G65" s="31">
        <v>6.5</v>
      </c>
      <c r="H65" s="31">
        <f t="shared" si="28"/>
        <v>100</v>
      </c>
      <c r="I65" s="31"/>
      <c r="J65" s="137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3">D68+D71</f>
        <v>21.57</v>
      </c>
      <c r="E67" s="17">
        <f t="shared" si="33"/>
        <v>21.84</v>
      </c>
      <c r="F67" s="17">
        <f t="shared" si="33"/>
        <v>21.57</v>
      </c>
      <c r="G67" s="17">
        <f t="shared" si="33"/>
        <v>21.57</v>
      </c>
      <c r="H67" s="17">
        <f>F67/E67*100</f>
        <v>98.763736263736263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4">D69+D70</f>
        <v>0</v>
      </c>
      <c r="E68" s="17">
        <f t="shared" si="34"/>
        <v>0</v>
      </c>
      <c r="F68" s="17">
        <f t="shared" si="34"/>
        <v>0</v>
      </c>
      <c r="G68" s="17">
        <f t="shared" si="34"/>
        <v>0</v>
      </c>
      <c r="H68" s="17"/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17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60" t="s">
        <v>70</v>
      </c>
      <c r="C70" s="30" t="s">
        <v>18</v>
      </c>
      <c r="D70" s="31"/>
      <c r="E70" s="31"/>
      <c r="F70" s="31"/>
      <c r="G70" s="31"/>
      <c r="H70" s="17"/>
      <c r="I70" s="31"/>
      <c r="J70" s="137"/>
      <c r="K70" s="137"/>
      <c r="L70" s="137"/>
      <c r="M70" s="137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5">D72+D73</f>
        <v>21.57</v>
      </c>
      <c r="E71" s="17">
        <f t="shared" si="35"/>
        <v>21.84</v>
      </c>
      <c r="F71" s="17">
        <f t="shared" si="35"/>
        <v>21.57</v>
      </c>
      <c r="G71" s="17">
        <f t="shared" si="35"/>
        <v>21.57</v>
      </c>
      <c r="H71" s="17">
        <f t="shared" ref="H71:H75" si="36">F71/E71*100</f>
        <v>98.763736263736263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7">D75+D82</f>
        <v>21.07</v>
      </c>
      <c r="E72" s="91">
        <f t="shared" si="37"/>
        <v>21.57</v>
      </c>
      <c r="F72" s="91">
        <f t="shared" si="37"/>
        <v>21.57</v>
      </c>
      <c r="G72" s="91">
        <f t="shared" si="37"/>
        <v>21.57</v>
      </c>
      <c r="H72" s="17">
        <f t="shared" si="36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8">D76+D83</f>
        <v>0.5</v>
      </c>
      <c r="E73" s="17">
        <f t="shared" si="38"/>
        <v>0.27</v>
      </c>
      <c r="F73" s="17">
        <f t="shared" si="38"/>
        <v>0</v>
      </c>
      <c r="G73" s="17">
        <f t="shared" si="38"/>
        <v>0</v>
      </c>
      <c r="H73" s="17">
        <f t="shared" si="36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39">D75+D76</f>
        <v>15.98</v>
      </c>
      <c r="E74" s="96">
        <f t="shared" si="39"/>
        <v>15.98</v>
      </c>
      <c r="F74" s="96">
        <f t="shared" si="39"/>
        <v>15.98</v>
      </c>
      <c r="G74" s="96">
        <f t="shared" si="39"/>
        <v>15.98</v>
      </c>
      <c r="H74" s="104">
        <f t="shared" si="36"/>
        <v>100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9" t="s">
        <v>32</v>
      </c>
      <c r="B75" s="98" t="s">
        <v>45</v>
      </c>
      <c r="C75" s="30" t="s">
        <v>18</v>
      </c>
      <c r="D75" s="62">
        <v>15.48</v>
      </c>
      <c r="E75" s="62">
        <f>D75+D76</f>
        <v>15.98</v>
      </c>
      <c r="F75" s="62">
        <v>15.98</v>
      </c>
      <c r="G75" s="62">
        <v>15.98</v>
      </c>
      <c r="H75" s="31">
        <f t="shared" si="36"/>
        <v>100</v>
      </c>
      <c r="I75" s="31"/>
      <c r="J75" s="137"/>
      <c r="K75" s="137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40">SUM(D77:D80)</f>
        <v>0.5</v>
      </c>
      <c r="E76" s="244">
        <f t="shared" si="40"/>
        <v>0</v>
      </c>
      <c r="F76" s="244">
        <f t="shared" si="40"/>
        <v>0</v>
      </c>
      <c r="G76" s="244">
        <f t="shared" si="40"/>
        <v>0</v>
      </c>
      <c r="H76" s="17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8" t="s">
        <v>47</v>
      </c>
      <c r="B77" s="101" t="s">
        <v>80</v>
      </c>
      <c r="C77" s="48" t="s">
        <v>18</v>
      </c>
      <c r="D77" s="31"/>
      <c r="E77" s="31"/>
      <c r="F77" s="31"/>
      <c r="G77" s="31"/>
      <c r="H77" s="17"/>
      <c r="I77" s="31"/>
      <c r="J77" s="241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31"/>
      <c r="H78" s="17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17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8" t="s">
        <v>47</v>
      </c>
      <c r="B80" s="247" t="s">
        <v>83</v>
      </c>
      <c r="C80" s="48" t="s">
        <v>18</v>
      </c>
      <c r="D80" s="31">
        <v>0.5</v>
      </c>
      <c r="E80" s="31"/>
      <c r="F80" s="31"/>
      <c r="G80" s="31"/>
      <c r="H80" s="17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1">D82+D83</f>
        <v>5.59</v>
      </c>
      <c r="E81" s="96">
        <f t="shared" si="41"/>
        <v>5.8599999999999994</v>
      </c>
      <c r="F81" s="96">
        <f t="shared" si="41"/>
        <v>5.59</v>
      </c>
      <c r="G81" s="96">
        <f t="shared" si="41"/>
        <v>5.59</v>
      </c>
      <c r="H81" s="104">
        <f t="shared" ref="H81:H83" si="42">F81/E81*100</f>
        <v>95.392491467576804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1.5" customHeight="1" x14ac:dyDescent="0.25">
      <c r="A82" s="117" t="s">
        <v>47</v>
      </c>
      <c r="B82" s="101" t="s">
        <v>85</v>
      </c>
      <c r="C82" s="48" t="s">
        <v>18</v>
      </c>
      <c r="D82" s="76">
        <v>5.59</v>
      </c>
      <c r="E82" s="76">
        <f>D82+D83</f>
        <v>5.59</v>
      </c>
      <c r="F82" s="76">
        <v>5.59</v>
      </c>
      <c r="G82" s="76">
        <v>5.59</v>
      </c>
      <c r="H82" s="31">
        <f t="shared" si="42"/>
        <v>100</v>
      </c>
      <c r="I82" s="76"/>
      <c r="J82" s="241"/>
      <c r="K82" s="241"/>
      <c r="L82" s="10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1.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3">SUM(D84:D87)</f>
        <v>0</v>
      </c>
      <c r="E83" s="62">
        <f t="shared" si="43"/>
        <v>0.27</v>
      </c>
      <c r="F83" s="62">
        <f t="shared" si="43"/>
        <v>0</v>
      </c>
      <c r="G83" s="62">
        <f t="shared" si="43"/>
        <v>0</v>
      </c>
      <c r="H83" s="17">
        <f t="shared" si="42"/>
        <v>0</v>
      </c>
      <c r="I83" s="62"/>
      <c r="J83" s="241"/>
      <c r="K83" s="241"/>
      <c r="L83" s="106"/>
      <c r="M83" s="106"/>
      <c r="N83" s="106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17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17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17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17" t="s">
        <v>47</v>
      </c>
      <c r="B87" s="101" t="s">
        <v>89</v>
      </c>
      <c r="C87" s="48" t="s">
        <v>18</v>
      </c>
      <c r="D87" s="31"/>
      <c r="E87" s="31">
        <v>0.27</v>
      </c>
      <c r="F87" s="31">
        <v>0</v>
      </c>
      <c r="G87" s="31">
        <v>0</v>
      </c>
      <c r="H87" s="17">
        <f t="shared" ref="H87:H91" si="44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47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5">SUM(D89:D93)</f>
        <v>641</v>
      </c>
      <c r="E88" s="17">
        <f t="shared" si="45"/>
        <v>524</v>
      </c>
      <c r="F88" s="17">
        <f t="shared" si="45"/>
        <v>433</v>
      </c>
      <c r="G88" s="17">
        <f t="shared" si="45"/>
        <v>433</v>
      </c>
      <c r="H88" s="17">
        <f t="shared" si="44"/>
        <v>82.63358778625954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58</v>
      </c>
      <c r="E89" s="31">
        <f>20+10</f>
        <v>30</v>
      </c>
      <c r="F89" s="31">
        <v>29</v>
      </c>
      <c r="G89" s="31">
        <f t="shared" ref="G89:G91" si="46">F89</f>
        <v>29</v>
      </c>
      <c r="H89" s="17">
        <f t="shared" si="44"/>
        <v>96.666666666666671</v>
      </c>
      <c r="I89" s="31"/>
      <c r="J89" s="57"/>
      <c r="K89" s="279"/>
      <c r="L89" s="274"/>
      <c r="M89" s="275"/>
      <c r="N89" s="279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f>97+5</f>
        <v>102</v>
      </c>
      <c r="E90" s="31">
        <f>99+16</f>
        <v>115</v>
      </c>
      <c r="F90" s="31">
        <v>111</v>
      </c>
      <c r="G90" s="31">
        <f t="shared" si="46"/>
        <v>111</v>
      </c>
      <c r="H90" s="17">
        <f t="shared" si="44"/>
        <v>96.521739130434781</v>
      </c>
      <c r="I90" s="31"/>
      <c r="J90" s="57"/>
      <c r="K90" s="84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55</v>
      </c>
      <c r="E91" s="31">
        <v>2</v>
      </c>
      <c r="F91" s="31">
        <v>2</v>
      </c>
      <c r="G91" s="31">
        <f t="shared" si="46"/>
        <v>2</v>
      </c>
      <c r="H91" s="31">
        <f t="shared" si="44"/>
        <v>100</v>
      </c>
      <c r="I91" s="31"/>
      <c r="J91" s="28"/>
      <c r="K91" s="55"/>
      <c r="L91" s="274"/>
      <c r="M91" s="275"/>
      <c r="N91" s="55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1.5" customHeight="1" x14ac:dyDescent="0.25">
      <c r="A92" s="30">
        <v>4</v>
      </c>
      <c r="B92" s="27" t="s">
        <v>99</v>
      </c>
      <c r="C92" s="30" t="s">
        <v>93</v>
      </c>
      <c r="D92" s="31"/>
      <c r="E92" s="31"/>
      <c r="F92" s="31"/>
      <c r="G92" s="31"/>
      <c r="H92" s="17"/>
      <c r="I92" s="31"/>
      <c r="J92" s="28"/>
      <c r="K92" s="28"/>
      <c r="L92" s="277"/>
      <c r="M92" s="275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100</v>
      </c>
      <c r="C93" s="30" t="s">
        <v>93</v>
      </c>
      <c r="D93" s="31">
        <v>426</v>
      </c>
      <c r="E93" s="31">
        <f>417-40</f>
        <v>377</v>
      </c>
      <c r="F93" s="31">
        <v>291</v>
      </c>
      <c r="G93" s="31">
        <f>F93</f>
        <v>291</v>
      </c>
      <c r="H93" s="31">
        <f t="shared" ref="H93:H97" si="47">F93/E93*100</f>
        <v>77.188328912466844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1.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8">D95</f>
        <v>0</v>
      </c>
      <c r="E94" s="17">
        <f t="shared" si="48"/>
        <v>0.5</v>
      </c>
      <c r="F94" s="17">
        <f t="shared" si="48"/>
        <v>0.5</v>
      </c>
      <c r="G94" s="17">
        <f t="shared" si="48"/>
        <v>0.5</v>
      </c>
      <c r="H94" s="17">
        <f t="shared" si="47"/>
        <v>100</v>
      </c>
      <c r="I94" s="17"/>
      <c r="J94" s="70"/>
      <c r="K94" s="70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8" t="s">
        <v>47</v>
      </c>
      <c r="B95" s="81" t="s">
        <v>103</v>
      </c>
      <c r="C95" s="48" t="s">
        <v>18</v>
      </c>
      <c r="D95" s="31"/>
      <c r="E95" s="31">
        <v>0.5</v>
      </c>
      <c r="F95" s="31">
        <v>0.5</v>
      </c>
      <c r="G95" s="31">
        <v>0.5</v>
      </c>
      <c r="H95" s="31">
        <f t="shared" si="47"/>
        <v>100</v>
      </c>
      <c r="I95" s="31"/>
      <c r="J95" s="28"/>
      <c r="K95" s="55"/>
      <c r="L95" s="55"/>
      <c r="M95" s="55"/>
      <c r="N95" s="55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9">D97+D98</f>
        <v>0</v>
      </c>
      <c r="E96" s="17">
        <f t="shared" si="49"/>
        <v>2.1</v>
      </c>
      <c r="F96" s="17">
        <f t="shared" si="49"/>
        <v>0</v>
      </c>
      <c r="G96" s="17">
        <f t="shared" si="49"/>
        <v>0</v>
      </c>
      <c r="H96" s="17">
        <f t="shared" si="47"/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8" t="s">
        <v>270</v>
      </c>
      <c r="C97" s="48" t="s">
        <v>18</v>
      </c>
      <c r="D97" s="31"/>
      <c r="E97" s="31">
        <v>2.1</v>
      </c>
      <c r="F97" s="31"/>
      <c r="G97" s="31"/>
      <c r="H97" s="17">
        <f t="shared" si="47"/>
        <v>0</v>
      </c>
      <c r="I97" s="31"/>
      <c r="J97" s="28"/>
      <c r="K97" s="55"/>
      <c r="L97" s="35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33" t="s">
        <v>47</v>
      </c>
      <c r="B98" s="98" t="s">
        <v>110</v>
      </c>
      <c r="C98" s="48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1181102362204722" bottom="0.47244094488188981" header="0" footer="0"/>
  <pageSetup scale="85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88671875" customWidth="1"/>
    <col min="2" max="2" width="30.44140625" customWidth="1"/>
    <col min="3" max="3" width="9.21875" customWidth="1"/>
    <col min="4" max="4" width="17.21875" customWidth="1"/>
    <col min="5" max="5" width="18.109375" customWidth="1"/>
    <col min="6" max="8" width="12.6640625" customWidth="1"/>
    <col min="9" max="9" width="11.44140625" customWidth="1"/>
    <col min="10" max="10" width="8.88671875" customWidth="1"/>
    <col min="11" max="11" width="18.6640625" customWidth="1"/>
    <col min="12" max="14" width="8.88671875" customWidth="1"/>
    <col min="15" max="21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286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'TY TU(13)'!A5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62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368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147.64999999999998</v>
      </c>
      <c r="E9" s="17">
        <f t="shared" si="0"/>
        <v>151.6</v>
      </c>
      <c r="F9" s="17">
        <f t="shared" si="0"/>
        <v>140.15</v>
      </c>
      <c r="G9" s="17">
        <f t="shared" si="0"/>
        <v>140.15</v>
      </c>
      <c r="H9" s="17">
        <f t="shared" ref="H9:H15" si="1">F9/E9*100</f>
        <v>92.447229551451187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3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1.03</v>
      </c>
      <c r="F10" s="17">
        <f t="shared" si="2"/>
        <v>1</v>
      </c>
      <c r="G10" s="17">
        <f t="shared" si="2"/>
        <v>1</v>
      </c>
      <c r="H10" s="17">
        <f t="shared" si="1"/>
        <v>97.087378640776706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3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3.780405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3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9.0404999999999999E-2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3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0.03</v>
      </c>
      <c r="F13" s="17">
        <f t="shared" si="5"/>
        <v>0</v>
      </c>
      <c r="G13" s="17">
        <f t="shared" si="5"/>
        <v>0</v>
      </c>
      <c r="H13" s="17">
        <f t="shared" si="1"/>
        <v>0</v>
      </c>
      <c r="I13" s="17"/>
      <c r="J13" s="137"/>
      <c r="K13" s="55"/>
      <c r="L13" s="55"/>
      <c r="M13" s="55"/>
      <c r="N13" s="55"/>
      <c r="O13" s="3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9.0404999999999999E-2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0</v>
      </c>
      <c r="F16" s="17">
        <v>0</v>
      </c>
      <c r="G16" s="17">
        <v>0</v>
      </c>
      <c r="H16" s="17"/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/>
      <c r="H17" s="17">
        <f>F17/E17*100</f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17"/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0.03</v>
      </c>
      <c r="F19" s="17">
        <f t="shared" si="9"/>
        <v>0</v>
      </c>
      <c r="G19" s="17">
        <f t="shared" si="9"/>
        <v>0</v>
      </c>
      <c r="H19" s="17">
        <f t="shared" ref="H19:H24" si="10">F19/E19*100</f>
        <v>0</v>
      </c>
      <c r="I19" s="17"/>
      <c r="J19" s="28"/>
      <c r="K19" s="28"/>
      <c r="L19" s="28"/>
      <c r="M19" s="28"/>
      <c r="N19" s="28"/>
      <c r="O19" s="2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40"/>
      <c r="B20" s="27" t="s">
        <v>25</v>
      </c>
      <c r="C20" s="30" t="s">
        <v>26</v>
      </c>
      <c r="D20" s="31">
        <f t="shared" ref="D20:G20" si="11">(D23+D26)/2</f>
        <v>26.75</v>
      </c>
      <c r="E20" s="31">
        <f t="shared" si="11"/>
        <v>26.770000000000003</v>
      </c>
      <c r="F20" s="31">
        <f t="shared" si="11"/>
        <v>0</v>
      </c>
      <c r="G20" s="31">
        <f t="shared" si="11"/>
        <v>0</v>
      </c>
      <c r="H20" s="17">
        <f t="shared" si="10"/>
        <v>0</v>
      </c>
      <c r="I20" s="31"/>
      <c r="J20" s="28"/>
      <c r="K20" s="28"/>
      <c r="L20" s="28"/>
      <c r="M20" s="28"/>
      <c r="N20" s="28"/>
      <c r="O20" s="2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40"/>
      <c r="B21" s="27" t="s">
        <v>27</v>
      </c>
      <c r="C21" s="30" t="s">
        <v>21</v>
      </c>
      <c r="D21" s="31">
        <f t="shared" ref="D21:G21" si="12">D19*D20/10</f>
        <v>0</v>
      </c>
      <c r="E21" s="31">
        <f t="shared" si="12"/>
        <v>8.0310000000000006E-2</v>
      </c>
      <c r="F21" s="31">
        <f t="shared" si="12"/>
        <v>0</v>
      </c>
      <c r="G21" s="31">
        <f t="shared" si="12"/>
        <v>0</v>
      </c>
      <c r="H21" s="17">
        <f t="shared" si="10"/>
        <v>0</v>
      </c>
      <c r="I21" s="31"/>
      <c r="J21" s="28"/>
      <c r="K21" s="28"/>
      <c r="L21" s="28"/>
      <c r="M21" s="28"/>
      <c r="N21" s="28"/>
      <c r="O21" s="2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40" t="s">
        <v>32</v>
      </c>
      <c r="B22" s="42" t="s">
        <v>33</v>
      </c>
      <c r="C22" s="40" t="s">
        <v>18</v>
      </c>
      <c r="D22" s="17"/>
      <c r="E22" s="104">
        <v>0.03</v>
      </c>
      <c r="F22" s="104">
        <v>0</v>
      </c>
      <c r="G22" s="104">
        <v>0</v>
      </c>
      <c r="H22" s="17">
        <f t="shared" si="10"/>
        <v>0</v>
      </c>
      <c r="I22" s="17"/>
      <c r="J22" s="55"/>
      <c r="K22" s="55"/>
      <c r="L22" s="55"/>
      <c r="M22" s="55"/>
      <c r="N22" s="55"/>
      <c r="O22" s="33"/>
      <c r="P22" s="33"/>
      <c r="Q22" s="256"/>
      <c r="R22" s="256"/>
      <c r="S22" s="256"/>
      <c r="T22" s="256"/>
      <c r="U22" s="256"/>
      <c r="V22" s="1"/>
      <c r="W22" s="1"/>
      <c r="X22" s="1"/>
      <c r="Y22" s="1"/>
      <c r="Z22" s="1"/>
    </row>
    <row r="23" spans="1:26" ht="33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0"/>
        <v>0</v>
      </c>
      <c r="I23" s="31"/>
      <c r="J23" s="55"/>
      <c r="K23" s="55"/>
      <c r="L23" s="55"/>
      <c r="M23" s="55"/>
      <c r="N23" s="55"/>
      <c r="O23" s="33"/>
      <c r="P23" s="33"/>
      <c r="Q23" s="256"/>
      <c r="R23" s="256"/>
      <c r="S23" s="256"/>
      <c r="T23" s="256"/>
      <c r="U23" s="256"/>
      <c r="V23" s="1"/>
      <c r="W23" s="1"/>
      <c r="X23" s="1"/>
      <c r="Y23" s="1"/>
      <c r="Z23" s="1"/>
    </row>
    <row r="24" spans="1:26" ht="33" customHeight="1" x14ac:dyDescent="0.25">
      <c r="A24" s="40"/>
      <c r="B24" s="27" t="s">
        <v>27</v>
      </c>
      <c r="C24" s="30" t="s">
        <v>21</v>
      </c>
      <c r="D24" s="31">
        <f t="shared" ref="D24:G24" si="13">D22*D23/10</f>
        <v>0</v>
      </c>
      <c r="E24" s="31">
        <f t="shared" si="13"/>
        <v>0.11502000000000001</v>
      </c>
      <c r="F24" s="31">
        <f t="shared" si="13"/>
        <v>0</v>
      </c>
      <c r="G24" s="31">
        <f t="shared" si="13"/>
        <v>0</v>
      </c>
      <c r="H24" s="17">
        <f t="shared" si="10"/>
        <v>0</v>
      </c>
      <c r="I24" s="31"/>
      <c r="J24" s="55"/>
      <c r="K24" s="55"/>
      <c r="L24" s="55"/>
      <c r="M24" s="55"/>
      <c r="N24" s="55"/>
      <c r="O24" s="33"/>
      <c r="P24" s="33"/>
      <c r="Q24" s="256"/>
      <c r="R24" s="256"/>
      <c r="S24" s="256"/>
      <c r="T24" s="256"/>
      <c r="U24" s="256"/>
      <c r="V24" s="1"/>
      <c r="W24" s="1"/>
      <c r="X24" s="1"/>
      <c r="Y24" s="1"/>
      <c r="Z24" s="1"/>
    </row>
    <row r="25" spans="1:26" ht="33" customHeight="1" x14ac:dyDescent="0.25">
      <c r="A25" s="40" t="s">
        <v>32</v>
      </c>
      <c r="B25" s="42" t="s">
        <v>34</v>
      </c>
      <c r="C25" s="40" t="s">
        <v>18</v>
      </c>
      <c r="D25" s="17"/>
      <c r="E25" s="17"/>
      <c r="F25" s="31">
        <v>0</v>
      </c>
      <c r="G25" s="31">
        <v>0</v>
      </c>
      <c r="H25" s="17"/>
      <c r="I25" s="31"/>
      <c r="J25" s="55"/>
      <c r="K25" s="55"/>
      <c r="L25" s="55"/>
      <c r="M25" s="55"/>
      <c r="N25" s="55"/>
      <c r="O25" s="33"/>
      <c r="P25" s="33"/>
      <c r="Q25" s="256"/>
      <c r="R25" s="256"/>
      <c r="S25" s="256"/>
      <c r="T25" s="256"/>
      <c r="U25" s="256"/>
      <c r="V25" s="1"/>
      <c r="W25" s="1"/>
      <c r="X25" s="1"/>
      <c r="Y25" s="1"/>
      <c r="Z25" s="1"/>
    </row>
    <row r="26" spans="1:26" ht="33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>F26/E26*100</f>
        <v>0</v>
      </c>
      <c r="I26" s="31"/>
      <c r="J26" s="55"/>
      <c r="K26" s="55"/>
      <c r="L26" s="55"/>
      <c r="M26" s="55"/>
      <c r="N26" s="55"/>
      <c r="O26" s="33"/>
      <c r="P26" s="33"/>
      <c r="Q26" s="256"/>
      <c r="R26" s="256"/>
      <c r="S26" s="256"/>
      <c r="T26" s="256"/>
      <c r="U26" s="256"/>
      <c r="V26" s="1"/>
      <c r="W26" s="1"/>
      <c r="X26" s="1"/>
      <c r="Y26" s="1"/>
      <c r="Z26" s="1"/>
    </row>
    <row r="27" spans="1:26" ht="33" customHeight="1" x14ac:dyDescent="0.25">
      <c r="A27" s="40"/>
      <c r="B27" s="27" t="s">
        <v>27</v>
      </c>
      <c r="C27" s="30" t="s">
        <v>21</v>
      </c>
      <c r="D27" s="17"/>
      <c r="E27" s="17"/>
      <c r="F27" s="31"/>
      <c r="G27" s="31"/>
      <c r="H27" s="17"/>
      <c r="I27" s="31"/>
      <c r="J27" s="55"/>
      <c r="K27" s="55"/>
      <c r="L27" s="55"/>
      <c r="M27" s="55"/>
      <c r="N27" s="55"/>
      <c r="O27" s="33"/>
      <c r="P27" s="33"/>
      <c r="Q27" s="256"/>
      <c r="R27" s="256"/>
      <c r="S27" s="256"/>
      <c r="T27" s="256"/>
      <c r="U27" s="256"/>
      <c r="V27" s="1"/>
      <c r="W27" s="1"/>
      <c r="X27" s="1"/>
      <c r="Y27" s="1"/>
      <c r="Z27" s="1"/>
    </row>
    <row r="28" spans="1:26" ht="33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</v>
      </c>
      <c r="E28" s="17">
        <f t="shared" si="14"/>
        <v>1</v>
      </c>
      <c r="F28" s="17">
        <f t="shared" si="14"/>
        <v>1</v>
      </c>
      <c r="G28" s="17">
        <f t="shared" si="14"/>
        <v>1</v>
      </c>
      <c r="H28" s="17">
        <f t="shared" ref="H28:H30" si="15">F28/E28*100</f>
        <v>100</v>
      </c>
      <c r="I28" s="17"/>
      <c r="J28" s="55"/>
      <c r="K28" s="55"/>
      <c r="L28" s="55"/>
      <c r="M28" s="55"/>
      <c r="N28" s="55"/>
      <c r="O28" s="33"/>
      <c r="P28" s="33"/>
      <c r="Q28" s="256"/>
      <c r="R28" s="256"/>
      <c r="S28" s="256"/>
      <c r="T28" s="256"/>
      <c r="U28" s="256"/>
      <c r="V28" s="1"/>
      <c r="W28" s="1"/>
      <c r="X28" s="1"/>
      <c r="Y28" s="1"/>
      <c r="Z28" s="1"/>
    </row>
    <row r="29" spans="1:26" ht="33" customHeight="1" x14ac:dyDescent="0.25">
      <c r="A29" s="15"/>
      <c r="B29" s="27" t="s">
        <v>25</v>
      </c>
      <c r="C29" s="30" t="s">
        <v>26</v>
      </c>
      <c r="D29" s="31">
        <f t="shared" ref="D29:G29" si="16">D35</f>
        <v>36.85</v>
      </c>
      <c r="E29" s="31">
        <f t="shared" si="16"/>
        <v>36.9</v>
      </c>
      <c r="F29" s="31">
        <f t="shared" si="16"/>
        <v>0</v>
      </c>
      <c r="G29" s="31">
        <f t="shared" si="16"/>
        <v>0</v>
      </c>
      <c r="H29" s="17">
        <f t="shared" si="15"/>
        <v>0</v>
      </c>
      <c r="I29" s="31"/>
      <c r="J29" s="55"/>
      <c r="K29" s="55"/>
      <c r="L29" s="55"/>
      <c r="M29" s="55"/>
      <c r="N29" s="55"/>
      <c r="O29" s="33"/>
      <c r="P29" s="33"/>
      <c r="Q29" s="256"/>
      <c r="R29" s="256"/>
      <c r="S29" s="256"/>
      <c r="T29" s="256"/>
      <c r="U29" s="256"/>
      <c r="V29" s="1"/>
      <c r="W29" s="1"/>
      <c r="X29" s="1"/>
      <c r="Y29" s="1"/>
      <c r="Z29" s="1"/>
    </row>
    <row r="30" spans="1:26" ht="33" customHeight="1" x14ac:dyDescent="0.25">
      <c r="A30" s="15"/>
      <c r="B30" s="27" t="s">
        <v>27</v>
      </c>
      <c r="C30" s="30" t="s">
        <v>21</v>
      </c>
      <c r="D30" s="31">
        <f t="shared" ref="D30:G30" si="17">D28*D29/10</f>
        <v>3.6850000000000001</v>
      </c>
      <c r="E30" s="31">
        <f t="shared" si="17"/>
        <v>3.69</v>
      </c>
      <c r="F30" s="31">
        <f t="shared" si="17"/>
        <v>0</v>
      </c>
      <c r="G30" s="31">
        <f t="shared" si="17"/>
        <v>0</v>
      </c>
      <c r="H30" s="17">
        <f t="shared" si="15"/>
        <v>0</v>
      </c>
      <c r="I30" s="31"/>
      <c r="J30" s="55"/>
      <c r="K30" s="55"/>
      <c r="L30" s="55"/>
      <c r="M30" s="55"/>
      <c r="N30" s="55"/>
      <c r="O30" s="33"/>
      <c r="P30" s="33"/>
      <c r="Q30" s="256"/>
      <c r="R30" s="256"/>
      <c r="S30" s="256"/>
      <c r="T30" s="256"/>
      <c r="U30" s="256"/>
      <c r="V30" s="1"/>
      <c r="W30" s="1"/>
      <c r="X30" s="1"/>
      <c r="Y30" s="1"/>
      <c r="Z30" s="1"/>
    </row>
    <row r="31" spans="1:26" ht="33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17"/>
      <c r="I31" s="17"/>
      <c r="J31" s="55"/>
      <c r="K31" s="240"/>
      <c r="L31" s="258"/>
      <c r="M31" s="258"/>
      <c r="N31" s="258"/>
      <c r="O31" s="258"/>
      <c r="P31" s="33"/>
      <c r="Q31" s="256"/>
      <c r="R31" s="256"/>
      <c r="S31" s="256"/>
      <c r="T31" s="256"/>
      <c r="U31" s="256"/>
      <c r="V31" s="1"/>
      <c r="W31" s="1"/>
      <c r="X31" s="1"/>
      <c r="Y31" s="1"/>
      <c r="Z31" s="1"/>
    </row>
    <row r="32" spans="1:26" ht="33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55"/>
      <c r="K32" s="240"/>
      <c r="L32" s="258"/>
      <c r="M32" s="258"/>
      <c r="N32" s="258"/>
      <c r="O32" s="258"/>
      <c r="P32" s="33"/>
      <c r="Q32" s="256"/>
      <c r="R32" s="256"/>
      <c r="S32" s="256"/>
      <c r="T32" s="256"/>
      <c r="U32" s="256"/>
      <c r="V32" s="1"/>
      <c r="W32" s="1"/>
      <c r="X32" s="1"/>
      <c r="Y32" s="1"/>
      <c r="Z32" s="1"/>
    </row>
    <row r="33" spans="1:26" ht="33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55"/>
      <c r="K33" s="240"/>
      <c r="L33" s="258"/>
      <c r="M33" s="258"/>
      <c r="N33" s="258"/>
      <c r="O33" s="258"/>
      <c r="P33" s="33"/>
      <c r="Q33" s="256"/>
      <c r="R33" s="256"/>
      <c r="S33" s="256"/>
      <c r="T33" s="256"/>
      <c r="U33" s="256"/>
      <c r="V33" s="1"/>
      <c r="W33" s="1"/>
      <c r="X33" s="1"/>
      <c r="Y33" s="1"/>
      <c r="Z33" s="1"/>
    </row>
    <row r="34" spans="1:26" ht="33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17">
        <f t="shared" ref="H34:H50" si="18">F34/E34*100</f>
        <v>100</v>
      </c>
      <c r="I34" s="31"/>
      <c r="J34" s="55"/>
      <c r="K34" s="46"/>
      <c r="L34" s="46"/>
      <c r="M34" s="46"/>
      <c r="N34" s="46"/>
      <c r="O34" s="46"/>
      <c r="P34" s="33"/>
      <c r="Q34" s="256"/>
      <c r="R34" s="256"/>
      <c r="S34" s="256"/>
      <c r="T34" s="256"/>
      <c r="U34" s="256"/>
      <c r="V34" s="1"/>
      <c r="W34" s="1"/>
      <c r="X34" s="1"/>
      <c r="Y34" s="1"/>
      <c r="Z34" s="1"/>
    </row>
    <row r="35" spans="1:26" ht="33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8"/>
        <v>0</v>
      </c>
      <c r="I35" s="31"/>
      <c r="J35" s="55"/>
      <c r="K35" s="46"/>
      <c r="L35" s="46"/>
      <c r="M35" s="46"/>
      <c r="N35" s="46"/>
      <c r="O35" s="46"/>
      <c r="P35" s="33"/>
      <c r="Q35" s="256"/>
      <c r="R35" s="256"/>
      <c r="S35" s="256"/>
      <c r="T35" s="256"/>
      <c r="U35" s="256"/>
      <c r="V35" s="1"/>
      <c r="W35" s="1"/>
      <c r="X35" s="1"/>
      <c r="Y35" s="1"/>
      <c r="Z35" s="1"/>
    </row>
    <row r="36" spans="1:26" ht="33" customHeight="1" x14ac:dyDescent="0.25">
      <c r="A36" s="40"/>
      <c r="B36" s="27" t="s">
        <v>27</v>
      </c>
      <c r="C36" s="30" t="s">
        <v>21</v>
      </c>
      <c r="D36" s="31">
        <f t="shared" ref="D36:G36" si="19">D34*D35/10</f>
        <v>3.6850000000000001</v>
      </c>
      <c r="E36" s="31">
        <f t="shared" si="19"/>
        <v>3.69</v>
      </c>
      <c r="F36" s="31">
        <f t="shared" si="19"/>
        <v>0</v>
      </c>
      <c r="G36" s="31">
        <f t="shared" si="19"/>
        <v>0</v>
      </c>
      <c r="H36" s="17">
        <f t="shared" si="18"/>
        <v>0</v>
      </c>
      <c r="I36" s="31"/>
      <c r="J36" s="55"/>
      <c r="K36" s="46"/>
      <c r="L36" s="46"/>
      <c r="M36" s="46"/>
      <c r="N36" s="46"/>
      <c r="O36" s="46"/>
      <c r="P36" s="33"/>
      <c r="Q36" s="256"/>
      <c r="R36" s="256"/>
      <c r="S36" s="256"/>
      <c r="T36" s="256"/>
      <c r="U36" s="256"/>
      <c r="V36" s="1"/>
      <c r="W36" s="1"/>
      <c r="X36" s="1"/>
      <c r="Y36" s="1"/>
      <c r="Z36" s="1"/>
    </row>
    <row r="37" spans="1:26" ht="33" customHeight="1" x14ac:dyDescent="0.25">
      <c r="A37" s="15">
        <v>2</v>
      </c>
      <c r="B37" s="16" t="s">
        <v>39</v>
      </c>
      <c r="C37" s="15" t="s">
        <v>18</v>
      </c>
      <c r="D37" s="17">
        <v>36</v>
      </c>
      <c r="E37" s="17">
        <v>31.23</v>
      </c>
      <c r="F37" s="17">
        <v>31.23</v>
      </c>
      <c r="G37" s="17">
        <v>31.23</v>
      </c>
      <c r="H37" s="17">
        <f t="shared" si="18"/>
        <v>100</v>
      </c>
      <c r="I37" s="17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256"/>
      <c r="V37" s="1"/>
      <c r="W37" s="1"/>
      <c r="X37" s="1"/>
      <c r="Y37" s="1"/>
      <c r="Z37" s="1"/>
    </row>
    <row r="38" spans="1:26" ht="33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8"/>
        <v>0</v>
      </c>
      <c r="I38" s="31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256"/>
      <c r="V38" s="1"/>
      <c r="W38" s="1"/>
      <c r="X38" s="1"/>
      <c r="Y38" s="1"/>
      <c r="Z38" s="1"/>
    </row>
    <row r="39" spans="1:26" ht="33" customHeight="1" x14ac:dyDescent="0.25">
      <c r="A39" s="15"/>
      <c r="B39" s="27" t="s">
        <v>27</v>
      </c>
      <c r="C39" s="30" t="s">
        <v>21</v>
      </c>
      <c r="D39" s="31">
        <f t="shared" ref="D39:G39" si="20">D37*D38/10</f>
        <v>495</v>
      </c>
      <c r="E39" s="31">
        <f t="shared" si="20"/>
        <v>437.21999999999997</v>
      </c>
      <c r="F39" s="31">
        <f t="shared" si="20"/>
        <v>0</v>
      </c>
      <c r="G39" s="31">
        <f t="shared" si="20"/>
        <v>0</v>
      </c>
      <c r="H39" s="17">
        <f t="shared" si="18"/>
        <v>0</v>
      </c>
      <c r="I39" s="31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256"/>
      <c r="V39" s="1"/>
      <c r="W39" s="1"/>
      <c r="X39" s="1"/>
      <c r="Y39" s="1"/>
      <c r="Z39" s="1"/>
    </row>
    <row r="40" spans="1:26" ht="33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8"/>
        <v>0</v>
      </c>
      <c r="I40" s="31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256"/>
      <c r="V40" s="1"/>
      <c r="W40" s="1"/>
      <c r="X40" s="1"/>
      <c r="Y40" s="1"/>
      <c r="Z40" s="1"/>
    </row>
    <row r="41" spans="1:26" ht="33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8"/>
        <v>0</v>
      </c>
      <c r="I41" s="31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256"/>
      <c r="V41" s="1"/>
      <c r="W41" s="1"/>
      <c r="X41" s="1"/>
      <c r="Y41" s="1"/>
      <c r="Z41" s="1"/>
    </row>
    <row r="42" spans="1:26" ht="33" customHeight="1" x14ac:dyDescent="0.25">
      <c r="A42" s="15"/>
      <c r="B42" s="27" t="s">
        <v>27</v>
      </c>
      <c r="C42" s="30" t="s">
        <v>21</v>
      </c>
      <c r="D42" s="31">
        <f t="shared" ref="D42:G42" si="21">D40*D41/10</f>
        <v>1.25</v>
      </c>
      <c r="E42" s="31">
        <f t="shared" si="21"/>
        <v>1.2050000000000001</v>
      </c>
      <c r="F42" s="31">
        <f t="shared" si="21"/>
        <v>0</v>
      </c>
      <c r="G42" s="31">
        <f t="shared" si="21"/>
        <v>0</v>
      </c>
      <c r="H42" s="17">
        <f t="shared" si="18"/>
        <v>0</v>
      </c>
      <c r="I42" s="31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256"/>
      <c r="V42" s="1"/>
      <c r="W42" s="1"/>
      <c r="X42" s="1"/>
      <c r="Y42" s="1"/>
      <c r="Z42" s="1"/>
    </row>
    <row r="43" spans="1:26" ht="33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8"/>
        <v>54</v>
      </c>
      <c r="I43" s="17"/>
      <c r="J43" s="137"/>
      <c r="K43" s="35"/>
      <c r="L43" s="84"/>
      <c r="M43" s="84"/>
      <c r="N43" s="84"/>
      <c r="O43" s="84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8"/>
        <v>0</v>
      </c>
      <c r="I44" s="31"/>
      <c r="J44" s="137"/>
      <c r="K44" s="238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" customHeight="1" x14ac:dyDescent="0.25">
      <c r="A45" s="30"/>
      <c r="B45" s="49" t="s">
        <v>27</v>
      </c>
      <c r="C45" s="50" t="s">
        <v>21</v>
      </c>
      <c r="D45" s="31">
        <f t="shared" ref="D45:G45" si="22">D43*D44/10</f>
        <v>5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17">
        <f t="shared" si="18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3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94.46</v>
      </c>
      <c r="E46" s="17">
        <f t="shared" si="23"/>
        <v>104.96</v>
      </c>
      <c r="F46" s="17">
        <f t="shared" si="23"/>
        <v>93.96</v>
      </c>
      <c r="G46" s="17">
        <f t="shared" si="23"/>
        <v>93.96</v>
      </c>
      <c r="H46" s="17">
        <f t="shared" si="18"/>
        <v>89.519817073170728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4">D48+D49</f>
        <v>90.86</v>
      </c>
      <c r="E47" s="17">
        <f t="shared" si="24"/>
        <v>100.86</v>
      </c>
      <c r="F47" s="17">
        <f t="shared" si="24"/>
        <v>90.86</v>
      </c>
      <c r="G47" s="17">
        <f t="shared" si="24"/>
        <v>90.86</v>
      </c>
      <c r="H47" s="17">
        <f t="shared" si="18"/>
        <v>90.085266706325598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" customHeight="1" x14ac:dyDescent="0.25">
      <c r="A48" s="59" t="s">
        <v>32</v>
      </c>
      <c r="B48" s="60" t="s">
        <v>45</v>
      </c>
      <c r="C48" s="61" t="s">
        <v>18</v>
      </c>
      <c r="D48" s="31">
        <v>90</v>
      </c>
      <c r="E48" s="31">
        <f>D48+D49</f>
        <v>90.86</v>
      </c>
      <c r="F48" s="31">
        <v>90.86</v>
      </c>
      <c r="G48" s="31">
        <v>90.86</v>
      </c>
      <c r="H48" s="31">
        <f t="shared" si="18"/>
        <v>100</v>
      </c>
      <c r="I48" s="31"/>
      <c r="J48" s="55"/>
      <c r="K48" s="55"/>
      <c r="L48" s="55"/>
      <c r="M48" s="55"/>
      <c r="N48" s="55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3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5">D50+D51</f>
        <v>0.86</v>
      </c>
      <c r="E49" s="17">
        <f t="shared" si="25"/>
        <v>10</v>
      </c>
      <c r="F49" s="17">
        <f t="shared" si="25"/>
        <v>0</v>
      </c>
      <c r="G49" s="17">
        <f t="shared" si="25"/>
        <v>0</v>
      </c>
      <c r="H49" s="17">
        <f t="shared" si="18"/>
        <v>0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3" customHeight="1" x14ac:dyDescent="0.25">
      <c r="A50" s="61" t="s">
        <v>47</v>
      </c>
      <c r="B50" s="66" t="s">
        <v>269</v>
      </c>
      <c r="C50" s="61" t="s">
        <v>18</v>
      </c>
      <c r="D50" s="31"/>
      <c r="E50" s="31">
        <v>10</v>
      </c>
      <c r="F50" s="31">
        <v>0</v>
      </c>
      <c r="G50" s="31">
        <v>0</v>
      </c>
      <c r="H50" s="17">
        <f t="shared" si="18"/>
        <v>0</v>
      </c>
      <c r="I50" s="31"/>
      <c r="J50" s="137"/>
      <c r="K50" s="55"/>
      <c r="L50" s="55"/>
      <c r="M50" s="55"/>
      <c r="N50" s="55"/>
      <c r="O50" s="3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3" customHeight="1" x14ac:dyDescent="0.25">
      <c r="A51" s="61" t="s">
        <v>47</v>
      </c>
      <c r="B51" s="66" t="s">
        <v>49</v>
      </c>
      <c r="C51" s="30" t="s">
        <v>18</v>
      </c>
      <c r="D51" s="31">
        <v>0.86</v>
      </c>
      <c r="E51" s="31"/>
      <c r="F51" s="31"/>
      <c r="G51" s="31"/>
      <c r="H51" s="17"/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3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48.5</v>
      </c>
      <c r="E52" s="17">
        <f t="shared" si="26"/>
        <v>76.5</v>
      </c>
      <c r="F52" s="17">
        <f t="shared" si="26"/>
        <v>76.5</v>
      </c>
      <c r="G52" s="17">
        <f t="shared" si="26"/>
        <v>76.5</v>
      </c>
      <c r="H52" s="17">
        <f t="shared" ref="H52:H53" si="27">F52/E52*100</f>
        <v>100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3" customHeight="1" x14ac:dyDescent="0.25">
      <c r="A53" s="71" t="s">
        <v>47</v>
      </c>
      <c r="B53" s="66" t="s">
        <v>51</v>
      </c>
      <c r="C53" s="30" t="s">
        <v>18</v>
      </c>
      <c r="D53" s="31">
        <v>43.5</v>
      </c>
      <c r="E53" s="31">
        <f>D48*85%</f>
        <v>76.5</v>
      </c>
      <c r="F53" s="31">
        <v>76.5</v>
      </c>
      <c r="G53" s="31">
        <v>76.5</v>
      </c>
      <c r="H53" s="31">
        <f t="shared" si="27"/>
        <v>100</v>
      </c>
      <c r="I53" s="31"/>
      <c r="J53" s="137"/>
      <c r="K53" s="137"/>
      <c r="L53" s="238"/>
      <c r="M53" s="137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3" customHeight="1" x14ac:dyDescent="0.25">
      <c r="A54" s="30"/>
      <c r="B54" s="66" t="s">
        <v>52</v>
      </c>
      <c r="C54" s="30" t="s">
        <v>18</v>
      </c>
      <c r="D54" s="31">
        <v>5</v>
      </c>
      <c r="E54" s="31"/>
      <c r="F54" s="31"/>
      <c r="G54" s="31"/>
      <c r="H54" s="17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3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8">D56+D57</f>
        <v>3.6</v>
      </c>
      <c r="E55" s="17">
        <f t="shared" si="28"/>
        <v>4.0999999999999996</v>
      </c>
      <c r="F55" s="17">
        <f t="shared" si="28"/>
        <v>3.1</v>
      </c>
      <c r="G55" s="17">
        <f t="shared" si="28"/>
        <v>3.1</v>
      </c>
      <c r="H55" s="17">
        <f t="shared" ref="H55:H63" si="29">F55/E55*100</f>
        <v>75.609756097560989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3" customHeight="1" x14ac:dyDescent="0.25">
      <c r="A56" s="30" t="s">
        <v>32</v>
      </c>
      <c r="B56" s="60" t="s">
        <v>50</v>
      </c>
      <c r="C56" s="30" t="s">
        <v>18</v>
      </c>
      <c r="D56" s="31">
        <v>2.5</v>
      </c>
      <c r="E56" s="31">
        <f>D56+E58</f>
        <v>3.1</v>
      </c>
      <c r="F56" s="31">
        <v>3.1</v>
      </c>
      <c r="G56" s="31">
        <v>3.1</v>
      </c>
      <c r="H56" s="31">
        <f t="shared" si="29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3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30">D58+D61</f>
        <v>1.1000000000000001</v>
      </c>
      <c r="E57" s="31">
        <f t="shared" si="30"/>
        <v>1</v>
      </c>
      <c r="F57" s="31">
        <f t="shared" si="30"/>
        <v>0</v>
      </c>
      <c r="G57" s="31">
        <f t="shared" si="30"/>
        <v>0</v>
      </c>
      <c r="H57" s="17">
        <f t="shared" si="29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3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31">D59+D60</f>
        <v>0</v>
      </c>
      <c r="E58" s="76">
        <f t="shared" si="31"/>
        <v>0.6</v>
      </c>
      <c r="F58" s="76">
        <f t="shared" si="31"/>
        <v>0</v>
      </c>
      <c r="G58" s="76">
        <f t="shared" si="31"/>
        <v>0</v>
      </c>
      <c r="H58" s="17">
        <f t="shared" si="29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3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0.3</v>
      </c>
      <c r="F59" s="31">
        <v>0</v>
      </c>
      <c r="G59" s="31">
        <v>0</v>
      </c>
      <c r="H59" s="17">
        <f t="shared" si="29"/>
        <v>0</v>
      </c>
      <c r="I59" s="31"/>
      <c r="J59" s="35"/>
      <c r="K59" s="28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3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0.3</v>
      </c>
      <c r="F60" s="31">
        <v>0</v>
      </c>
      <c r="G60" s="31">
        <v>0</v>
      </c>
      <c r="H60" s="17">
        <f t="shared" si="29"/>
        <v>0</v>
      </c>
      <c r="I60" s="31"/>
      <c r="J60" s="35"/>
      <c r="K60" s="28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3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2">D62+D63</f>
        <v>1.1000000000000001</v>
      </c>
      <c r="E61" s="76">
        <f t="shared" si="32"/>
        <v>0.4</v>
      </c>
      <c r="F61" s="76">
        <f t="shared" si="32"/>
        <v>0</v>
      </c>
      <c r="G61" s="76">
        <f t="shared" si="32"/>
        <v>0</v>
      </c>
      <c r="H61" s="17">
        <f t="shared" si="29"/>
        <v>0</v>
      </c>
      <c r="I61" s="76"/>
      <c r="J61" s="35"/>
      <c r="K61" s="106"/>
      <c r="L61" s="106"/>
      <c r="M61" s="106"/>
      <c r="N61" s="106"/>
      <c r="O61" s="79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3" customHeight="1" x14ac:dyDescent="0.25">
      <c r="A62" s="30" t="s">
        <v>47</v>
      </c>
      <c r="B62" s="60" t="s">
        <v>61</v>
      </c>
      <c r="C62" s="30" t="s">
        <v>18</v>
      </c>
      <c r="D62" s="31">
        <f>1.5-0.4</f>
        <v>1.1000000000000001</v>
      </c>
      <c r="E62" s="31">
        <v>0.3</v>
      </c>
      <c r="F62" s="31">
        <v>0</v>
      </c>
      <c r="G62" s="31">
        <v>0</v>
      </c>
      <c r="H62" s="17">
        <f t="shared" si="29"/>
        <v>0</v>
      </c>
      <c r="I62" s="31"/>
      <c r="J62" s="35"/>
      <c r="K62" s="28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3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9"/>
        <v>0</v>
      </c>
      <c r="I63" s="31"/>
      <c r="J63" s="35"/>
      <c r="K63" s="28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3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3">D65+D66</f>
        <v>0</v>
      </c>
      <c r="E64" s="17">
        <f t="shared" si="33"/>
        <v>0</v>
      </c>
      <c r="F64" s="17">
        <f t="shared" si="33"/>
        <v>0</v>
      </c>
      <c r="G64" s="17">
        <f t="shared" si="33"/>
        <v>0</v>
      </c>
      <c r="H64" s="17"/>
      <c r="I64" s="17"/>
      <c r="J64" s="35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3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17"/>
      <c r="I65" s="31"/>
      <c r="J65" s="35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3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3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4">D68+D71</f>
        <v>15.690000000000001</v>
      </c>
      <c r="E67" s="17">
        <f t="shared" si="34"/>
        <v>13.88</v>
      </c>
      <c r="F67" s="17">
        <f t="shared" si="34"/>
        <v>13.69</v>
      </c>
      <c r="G67" s="17">
        <f t="shared" si="34"/>
        <v>13.69</v>
      </c>
      <c r="H67" s="17">
        <f>F67/E67*100</f>
        <v>98.631123919308351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3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5">D69+D70</f>
        <v>0</v>
      </c>
      <c r="E68" s="17">
        <f t="shared" si="35"/>
        <v>0</v>
      </c>
      <c r="F68" s="17">
        <f t="shared" si="35"/>
        <v>0</v>
      </c>
      <c r="G68" s="17">
        <f t="shared" si="35"/>
        <v>0</v>
      </c>
      <c r="H68" s="17"/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3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17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3" customHeight="1" x14ac:dyDescent="0.25">
      <c r="A70" s="30" t="s">
        <v>47</v>
      </c>
      <c r="B70" s="60" t="s">
        <v>70</v>
      </c>
      <c r="C70" s="30" t="s">
        <v>18</v>
      </c>
      <c r="D70" s="31"/>
      <c r="E70" s="31"/>
      <c r="F70" s="31"/>
      <c r="G70" s="31"/>
      <c r="H70" s="17"/>
      <c r="I70" s="31"/>
      <c r="J70" s="137"/>
      <c r="K70" s="137"/>
      <c r="L70" s="137"/>
      <c r="M70" s="137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3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6">D72+D73</f>
        <v>15.690000000000001</v>
      </c>
      <c r="E71" s="17">
        <f t="shared" si="36"/>
        <v>13.88</v>
      </c>
      <c r="F71" s="17">
        <f t="shared" si="36"/>
        <v>13.69</v>
      </c>
      <c r="G71" s="17">
        <f t="shared" si="36"/>
        <v>13.69</v>
      </c>
      <c r="H71" s="17">
        <f t="shared" ref="H71:H75" si="37">F71/E71*100</f>
        <v>98.631123919308351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3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8">D75+D82</f>
        <v>15.190000000000001</v>
      </c>
      <c r="E72" s="91">
        <f t="shared" si="38"/>
        <v>13.690000000000001</v>
      </c>
      <c r="F72" s="91">
        <f t="shared" si="38"/>
        <v>13.69</v>
      </c>
      <c r="G72" s="91">
        <f t="shared" si="38"/>
        <v>13.69</v>
      </c>
      <c r="H72" s="17">
        <f t="shared" si="37"/>
        <v>99.999999999999986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3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9">D76+D83</f>
        <v>0.5</v>
      </c>
      <c r="E73" s="17">
        <f t="shared" si="39"/>
        <v>0.19</v>
      </c>
      <c r="F73" s="17">
        <f t="shared" si="39"/>
        <v>0</v>
      </c>
      <c r="G73" s="17">
        <f t="shared" si="39"/>
        <v>0</v>
      </c>
      <c r="H73" s="17">
        <f t="shared" si="37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3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40">D75+D76</f>
        <v>11.16</v>
      </c>
      <c r="E74" s="96">
        <f t="shared" si="40"/>
        <v>10.16</v>
      </c>
      <c r="F74" s="96">
        <f t="shared" si="40"/>
        <v>10.16</v>
      </c>
      <c r="G74" s="96">
        <f t="shared" si="40"/>
        <v>10.16</v>
      </c>
      <c r="H74" s="104">
        <f t="shared" si="37"/>
        <v>100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3" customHeight="1" x14ac:dyDescent="0.25">
      <c r="A75" s="59" t="s">
        <v>32</v>
      </c>
      <c r="B75" s="98" t="s">
        <v>45</v>
      </c>
      <c r="C75" s="30" t="s">
        <v>18</v>
      </c>
      <c r="D75" s="62">
        <v>11.16</v>
      </c>
      <c r="E75" s="62">
        <v>10.16</v>
      </c>
      <c r="F75" s="31">
        <v>10.16</v>
      </c>
      <c r="G75" s="31">
        <v>10.16</v>
      </c>
      <c r="H75" s="31">
        <f t="shared" si="37"/>
        <v>100</v>
      </c>
      <c r="I75" s="31"/>
      <c r="J75" s="137"/>
      <c r="K75" s="137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3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41">SUM(D77:D80)</f>
        <v>0</v>
      </c>
      <c r="E76" s="244">
        <f t="shared" si="41"/>
        <v>0</v>
      </c>
      <c r="F76" s="244">
        <f t="shared" si="41"/>
        <v>0</v>
      </c>
      <c r="G76" s="244">
        <f t="shared" si="41"/>
        <v>0</v>
      </c>
      <c r="H76" s="17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3" customHeight="1" x14ac:dyDescent="0.25">
      <c r="A77" s="48" t="s">
        <v>47</v>
      </c>
      <c r="B77" s="101" t="s">
        <v>80</v>
      </c>
      <c r="C77" s="48" t="s">
        <v>18</v>
      </c>
      <c r="D77" s="31"/>
      <c r="E77" s="31"/>
      <c r="F77" s="31"/>
      <c r="G77" s="31"/>
      <c r="H77" s="17"/>
      <c r="I77" s="31"/>
      <c r="J77" s="241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3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31"/>
      <c r="H78" s="17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3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17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3" customHeight="1" x14ac:dyDescent="0.25">
      <c r="A80" s="48" t="s">
        <v>47</v>
      </c>
      <c r="B80" s="247" t="s">
        <v>83</v>
      </c>
      <c r="C80" s="48" t="s">
        <v>18</v>
      </c>
      <c r="D80" s="31"/>
      <c r="E80" s="31"/>
      <c r="F80" s="31"/>
      <c r="G80" s="31"/>
      <c r="H80" s="17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3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2">D82+D83</f>
        <v>4.53</v>
      </c>
      <c r="E81" s="96">
        <f t="shared" si="42"/>
        <v>3.72</v>
      </c>
      <c r="F81" s="96">
        <f t="shared" si="42"/>
        <v>3.53</v>
      </c>
      <c r="G81" s="96">
        <f t="shared" si="42"/>
        <v>3.53</v>
      </c>
      <c r="H81" s="104">
        <f t="shared" ref="H81:H83" si="43">F81/E81*100</f>
        <v>94.892473118279568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3" customHeight="1" x14ac:dyDescent="0.25">
      <c r="A82" s="117" t="s">
        <v>47</v>
      </c>
      <c r="B82" s="101" t="s">
        <v>85</v>
      </c>
      <c r="C82" s="48" t="s">
        <v>18</v>
      </c>
      <c r="D82" s="76">
        <v>4.03</v>
      </c>
      <c r="E82" s="76">
        <f>D82+D83-1</f>
        <v>3.5300000000000002</v>
      </c>
      <c r="F82" s="76">
        <v>3.53</v>
      </c>
      <c r="G82" s="76">
        <v>3.53</v>
      </c>
      <c r="H82" s="76">
        <f t="shared" si="43"/>
        <v>99.999999999999986</v>
      </c>
      <c r="I82" s="76"/>
      <c r="J82" s="241"/>
      <c r="K82" s="241"/>
      <c r="L82" s="10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3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4">SUM(D84:D87)</f>
        <v>0.5</v>
      </c>
      <c r="E83" s="62">
        <f t="shared" si="44"/>
        <v>0.19</v>
      </c>
      <c r="F83" s="62">
        <f t="shared" si="44"/>
        <v>0</v>
      </c>
      <c r="G83" s="62">
        <f t="shared" si="44"/>
        <v>0</v>
      </c>
      <c r="H83" s="17">
        <f t="shared" si="43"/>
        <v>0</v>
      </c>
      <c r="I83" s="62"/>
      <c r="J83" s="241"/>
      <c r="K83" s="241"/>
      <c r="L83" s="241"/>
      <c r="M83" s="241"/>
      <c r="N83" s="24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3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17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3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17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3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17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3" customHeight="1" x14ac:dyDescent="0.25">
      <c r="A87" s="117" t="s">
        <v>47</v>
      </c>
      <c r="B87" s="101" t="s">
        <v>89</v>
      </c>
      <c r="C87" s="48" t="s">
        <v>18</v>
      </c>
      <c r="D87" s="31">
        <v>0.5</v>
      </c>
      <c r="E87" s="31">
        <v>0.19</v>
      </c>
      <c r="F87" s="31">
        <v>0</v>
      </c>
      <c r="G87" s="31">
        <v>0</v>
      </c>
      <c r="H87" s="17">
        <f t="shared" ref="H87:H88" si="45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38"/>
      <c r="S87" s="38"/>
      <c r="T87" s="2"/>
      <c r="U87" s="1"/>
      <c r="V87" s="1"/>
      <c r="W87" s="1"/>
      <c r="X87" s="1"/>
      <c r="Y87" s="1"/>
      <c r="Z87" s="1"/>
    </row>
    <row r="88" spans="1:26" ht="33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467</v>
      </c>
      <c r="E88" s="17">
        <f t="shared" si="46"/>
        <v>407</v>
      </c>
      <c r="F88" s="17">
        <f t="shared" si="46"/>
        <v>342</v>
      </c>
      <c r="G88" s="17">
        <f t="shared" si="46"/>
        <v>342</v>
      </c>
      <c r="H88" s="17">
        <f t="shared" si="45"/>
        <v>84.029484029484024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" customHeight="1" x14ac:dyDescent="0.25">
      <c r="A89" s="30">
        <v>1</v>
      </c>
      <c r="B89" s="27" t="s">
        <v>92</v>
      </c>
      <c r="C89" s="30" t="s">
        <v>93</v>
      </c>
      <c r="D89" s="31">
        <v>42</v>
      </c>
      <c r="E89" s="31">
        <v>0</v>
      </c>
      <c r="F89" s="31">
        <v>0</v>
      </c>
      <c r="G89" s="31">
        <v>0</v>
      </c>
      <c r="H89" s="17"/>
      <c r="I89" s="31"/>
      <c r="J89" s="28"/>
      <c r="K89" s="55"/>
      <c r="L89" s="274"/>
      <c r="M89" s="275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3" customHeight="1" x14ac:dyDescent="0.25">
      <c r="A90" s="30">
        <v>2</v>
      </c>
      <c r="B90" s="27" t="s">
        <v>94</v>
      </c>
      <c r="C90" s="30" t="s">
        <v>93</v>
      </c>
      <c r="D90" s="31">
        <v>70</v>
      </c>
      <c r="E90" s="31">
        <f>69+11</f>
        <v>80</v>
      </c>
      <c r="F90" s="31">
        <v>76</v>
      </c>
      <c r="G90" s="31">
        <f t="shared" ref="G90:G93" si="47">F90</f>
        <v>76</v>
      </c>
      <c r="H90" s="31">
        <f t="shared" ref="H90:H93" si="48">F90/E90*100</f>
        <v>95</v>
      </c>
      <c r="I90" s="31"/>
      <c r="J90" s="57"/>
      <c r="K90" s="84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3" customHeight="1" x14ac:dyDescent="0.25">
      <c r="A91" s="30">
        <v>3</v>
      </c>
      <c r="B91" s="27" t="s">
        <v>97</v>
      </c>
      <c r="C91" s="30" t="s">
        <v>93</v>
      </c>
      <c r="D91" s="31">
        <v>40</v>
      </c>
      <c r="E91" s="31">
        <f>40+12</f>
        <v>52</v>
      </c>
      <c r="F91" s="31">
        <v>48</v>
      </c>
      <c r="G91" s="31">
        <f t="shared" si="47"/>
        <v>48</v>
      </c>
      <c r="H91" s="31">
        <f t="shared" si="48"/>
        <v>92.307692307692307</v>
      </c>
      <c r="I91" s="31"/>
      <c r="J91" s="57"/>
      <c r="K91" s="84"/>
      <c r="L91" s="274"/>
      <c r="M91" s="275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3" customHeight="1" x14ac:dyDescent="0.25">
      <c r="A92" s="30">
        <v>4</v>
      </c>
      <c r="B92" s="27" t="s">
        <v>99</v>
      </c>
      <c r="C92" s="30" t="s">
        <v>93</v>
      </c>
      <c r="D92" s="31">
        <v>8</v>
      </c>
      <c r="E92" s="31">
        <f>10+3</f>
        <v>13</v>
      </c>
      <c r="F92" s="31">
        <v>11</v>
      </c>
      <c r="G92" s="31">
        <f t="shared" si="47"/>
        <v>11</v>
      </c>
      <c r="H92" s="31">
        <f t="shared" si="48"/>
        <v>84.615384615384613</v>
      </c>
      <c r="I92" s="31"/>
      <c r="J92" s="57"/>
      <c r="K92" s="84"/>
      <c r="L92" s="277"/>
      <c r="M92" s="275"/>
      <c r="N92" s="57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33" customHeight="1" x14ac:dyDescent="0.25">
      <c r="A93" s="30">
        <v>5</v>
      </c>
      <c r="B93" s="27" t="s">
        <v>100</v>
      </c>
      <c r="C93" s="30" t="s">
        <v>93</v>
      </c>
      <c r="D93" s="31">
        <v>307</v>
      </c>
      <c r="E93" s="31">
        <f>290-28</f>
        <v>262</v>
      </c>
      <c r="F93" s="31">
        <v>207</v>
      </c>
      <c r="G93" s="31">
        <f t="shared" si="47"/>
        <v>207</v>
      </c>
      <c r="H93" s="31">
        <f t="shared" si="48"/>
        <v>79.007633587786259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3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9">D95</f>
        <v>0</v>
      </c>
      <c r="E94" s="17">
        <f t="shared" si="49"/>
        <v>0</v>
      </c>
      <c r="F94" s="17">
        <f t="shared" si="49"/>
        <v>0</v>
      </c>
      <c r="G94" s="17">
        <f t="shared" si="49"/>
        <v>0</v>
      </c>
      <c r="H94" s="17"/>
      <c r="I94" s="17"/>
      <c r="J94" s="70"/>
      <c r="K94" s="70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3" customHeight="1" x14ac:dyDescent="0.25">
      <c r="A95" s="48" t="s">
        <v>47</v>
      </c>
      <c r="B95" s="81" t="s">
        <v>103</v>
      </c>
      <c r="C95" s="48" t="s">
        <v>18</v>
      </c>
      <c r="D95" s="31"/>
      <c r="E95" s="31"/>
      <c r="F95" s="31"/>
      <c r="G95" s="31"/>
      <c r="H95" s="17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3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50">D97+D98</f>
        <v>0</v>
      </c>
      <c r="E96" s="17">
        <f t="shared" si="50"/>
        <v>0</v>
      </c>
      <c r="F96" s="17">
        <f t="shared" si="50"/>
        <v>0</v>
      </c>
      <c r="G96" s="17">
        <f t="shared" si="50"/>
        <v>0</v>
      </c>
      <c r="H96" s="17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3" customHeight="1" x14ac:dyDescent="0.25">
      <c r="A97" s="30" t="s">
        <v>47</v>
      </c>
      <c r="B97" s="98" t="s">
        <v>270</v>
      </c>
      <c r="C97" s="48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3" customHeight="1" x14ac:dyDescent="0.25">
      <c r="A98" s="133" t="s">
        <v>47</v>
      </c>
      <c r="B98" s="98" t="s">
        <v>110</v>
      </c>
      <c r="C98" s="48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43307086614173229" bottom="0.31496062992125984" header="0" footer="0"/>
  <pageSetup scale="85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5546875" customWidth="1"/>
    <col min="2" max="2" width="28.77734375" customWidth="1"/>
    <col min="3" max="3" width="9.77734375" customWidth="1"/>
    <col min="4" max="5" width="17.44140625" customWidth="1"/>
    <col min="6" max="9" width="12.6640625" customWidth="1"/>
    <col min="10" max="10" width="8.88671875" customWidth="1"/>
    <col min="11" max="11" width="21.109375" customWidth="1"/>
    <col min="12" max="14" width="8.88671875" customWidth="1"/>
    <col min="15" max="23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287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'KON LING(14)'!A5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57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325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67.59</v>
      </c>
      <c r="E9" s="17">
        <f t="shared" si="0"/>
        <v>85.64</v>
      </c>
      <c r="F9" s="17">
        <f t="shared" si="0"/>
        <v>64.430000000000007</v>
      </c>
      <c r="G9" s="17">
        <f t="shared" si="0"/>
        <v>64.430000000000007</v>
      </c>
      <c r="H9" s="17">
        <f t="shared" ref="H9:H23" si="1">F9/E9*100</f>
        <v>75.23353573096685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14.05</v>
      </c>
      <c r="F10" s="17">
        <f t="shared" si="2"/>
        <v>2.04</v>
      </c>
      <c r="G10" s="17">
        <f t="shared" si="2"/>
        <v>2.04</v>
      </c>
      <c r="H10" s="17">
        <f t="shared" si="1"/>
        <v>14.519572953736654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43.016175000000004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39.326175000000006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13.05</v>
      </c>
      <c r="F13" s="17">
        <f t="shared" si="5"/>
        <v>1.04</v>
      </c>
      <c r="G13" s="17">
        <f t="shared" si="5"/>
        <v>1.04</v>
      </c>
      <c r="H13" s="17">
        <f t="shared" si="1"/>
        <v>7.969348659003832</v>
      </c>
      <c r="I13" s="17"/>
      <c r="J13" s="137"/>
      <c r="K13" s="137"/>
      <c r="L13" s="137"/>
      <c r="M13" s="137"/>
      <c r="N13" s="1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39.326175000000006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1.04</v>
      </c>
      <c r="F16" s="17">
        <v>1.04</v>
      </c>
      <c r="G16" s="17">
        <v>1.04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2"/>
      <c r="T16" s="2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2"/>
      <c r="T17" s="2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3.4840000000000004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2"/>
      <c r="T18" s="2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12.01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28"/>
      <c r="O19" s="2"/>
      <c r="P19" s="2"/>
      <c r="Q19" s="2"/>
      <c r="R19" s="2"/>
      <c r="S19" s="2"/>
      <c r="T19" s="2"/>
      <c r="U19" s="1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26.770000000000003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28"/>
      <c r="O20" s="2"/>
      <c r="P20" s="2"/>
      <c r="Q20" s="2"/>
      <c r="R20" s="2"/>
      <c r="S20" s="2"/>
      <c r="T20" s="2"/>
      <c r="U20" s="1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32.150770000000009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28"/>
      <c r="O21" s="2"/>
      <c r="P21" s="2"/>
      <c r="Q21" s="2"/>
      <c r="R21" s="2"/>
      <c r="S21" s="2"/>
      <c r="T21" s="2"/>
      <c r="U21" s="1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2" t="s">
        <v>33</v>
      </c>
      <c r="C22" s="40" t="s">
        <v>18</v>
      </c>
      <c r="D22" s="104"/>
      <c r="E22" s="104">
        <v>12.01</v>
      </c>
      <c r="F22" s="104">
        <v>0</v>
      </c>
      <c r="G22" s="104">
        <v>0</v>
      </c>
      <c r="H22" s="17">
        <f t="shared" si="1"/>
        <v>0</v>
      </c>
      <c r="I22" s="17"/>
      <c r="J22" s="55"/>
      <c r="K22" s="55"/>
      <c r="L22" s="55"/>
      <c r="M22" s="55"/>
      <c r="N22" s="55"/>
      <c r="O22" s="33"/>
      <c r="P22" s="33"/>
      <c r="Q22" s="33"/>
      <c r="R22" s="33"/>
      <c r="S22" s="33"/>
      <c r="T22" s="33"/>
      <c r="U22" s="1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5"/>
      <c r="K23" s="55"/>
      <c r="L23" s="55"/>
      <c r="M23" s="55"/>
      <c r="N23" s="55"/>
      <c r="O23" s="33"/>
      <c r="P23" s="33"/>
      <c r="Q23" s="33"/>
      <c r="R23" s="33"/>
      <c r="S23" s="33"/>
      <c r="T23" s="33"/>
      <c r="U23" s="1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17"/>
      <c r="E24" s="31"/>
      <c r="F24" s="31"/>
      <c r="G24" s="31"/>
      <c r="H24" s="17"/>
      <c r="I24" s="31"/>
      <c r="J24" s="55"/>
      <c r="K24" s="55"/>
      <c r="L24" s="55"/>
      <c r="M24" s="55"/>
      <c r="N24" s="55"/>
      <c r="O24" s="33"/>
      <c r="P24" s="33"/>
      <c r="Q24" s="33"/>
      <c r="R24" s="33"/>
      <c r="S24" s="33"/>
      <c r="T24" s="33"/>
      <c r="U24" s="1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2" t="s">
        <v>34</v>
      </c>
      <c r="C25" s="40" t="s">
        <v>18</v>
      </c>
      <c r="D25" s="17"/>
      <c r="E25" s="104">
        <v>0</v>
      </c>
      <c r="F25" s="76">
        <v>0</v>
      </c>
      <c r="G25" s="76">
        <v>0</v>
      </c>
      <c r="H25" s="17"/>
      <c r="I25" s="31"/>
      <c r="J25" s="55"/>
      <c r="K25" s="55"/>
      <c r="L25" s="55"/>
      <c r="M25" s="55"/>
      <c r="N25" s="55"/>
      <c r="O25" s="33"/>
      <c r="P25" s="33"/>
      <c r="Q25" s="33"/>
      <c r="R25" s="33"/>
      <c r="S25" s="33"/>
      <c r="T25" s="33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>F26/E26*100</f>
        <v>0</v>
      </c>
      <c r="I26" s="31"/>
      <c r="J26" s="55"/>
      <c r="K26" s="55"/>
      <c r="L26" s="55"/>
      <c r="M26" s="55"/>
      <c r="N26" s="55"/>
      <c r="O26" s="33"/>
      <c r="P26" s="33"/>
      <c r="Q26" s="33"/>
      <c r="R26" s="33"/>
      <c r="S26" s="33"/>
      <c r="T26" s="33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17"/>
      <c r="E27" s="17"/>
      <c r="F27" s="31"/>
      <c r="G27" s="31"/>
      <c r="H27" s="17"/>
      <c r="I27" s="31"/>
      <c r="J27" s="55"/>
      <c r="K27" s="55"/>
      <c r="L27" s="55"/>
      <c r="M27" s="55"/>
      <c r="N27" s="55"/>
      <c r="O27" s="33"/>
      <c r="P27" s="33"/>
      <c r="Q27" s="33"/>
      <c r="R27" s="33"/>
      <c r="S27" s="33"/>
      <c r="T27" s="33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2">D31+D34</f>
        <v>1</v>
      </c>
      <c r="E28" s="17">
        <f t="shared" si="12"/>
        <v>1</v>
      </c>
      <c r="F28" s="17">
        <f t="shared" si="12"/>
        <v>1</v>
      </c>
      <c r="G28" s="17">
        <f t="shared" si="12"/>
        <v>1</v>
      </c>
      <c r="H28" s="17">
        <f t="shared" ref="H28:H30" si="13">F28/E28*100</f>
        <v>100</v>
      </c>
      <c r="I28" s="17"/>
      <c r="J28" s="257"/>
      <c r="K28" s="257"/>
      <c r="L28" s="257"/>
      <c r="M28" s="257"/>
      <c r="N28" s="257"/>
      <c r="O28" s="256"/>
      <c r="P28" s="256"/>
      <c r="Q28" s="256"/>
      <c r="R28" s="256"/>
      <c r="S28" s="256"/>
      <c r="T28" s="256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G29" si="14">D35</f>
        <v>36.85</v>
      </c>
      <c r="E29" s="31">
        <f t="shared" si="14"/>
        <v>36.9</v>
      </c>
      <c r="F29" s="31">
        <f t="shared" si="14"/>
        <v>0</v>
      </c>
      <c r="G29" s="31">
        <f t="shared" si="14"/>
        <v>0</v>
      </c>
      <c r="H29" s="17">
        <f t="shared" si="13"/>
        <v>0</v>
      </c>
      <c r="I29" s="31"/>
      <c r="J29" s="257"/>
      <c r="K29" s="257"/>
      <c r="L29" s="257"/>
      <c r="M29" s="257"/>
      <c r="N29" s="257"/>
      <c r="O29" s="256"/>
      <c r="P29" s="256"/>
      <c r="Q29" s="256"/>
      <c r="R29" s="256"/>
      <c r="S29" s="256"/>
      <c r="T29" s="256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5">D28*D29/10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17">
        <f t="shared" si="13"/>
        <v>0</v>
      </c>
      <c r="I30" s="31"/>
      <c r="J30" s="257"/>
      <c r="K30" s="257"/>
      <c r="L30" s="257"/>
      <c r="M30" s="257"/>
      <c r="N30" s="257"/>
      <c r="O30" s="256"/>
      <c r="P30" s="256"/>
      <c r="Q30" s="256"/>
      <c r="R30" s="256"/>
      <c r="S30" s="256"/>
      <c r="T30" s="256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17"/>
      <c r="I31" s="17"/>
      <c r="J31" s="257"/>
      <c r="K31" s="240"/>
      <c r="L31" s="258"/>
      <c r="M31" s="258"/>
      <c r="N31" s="258"/>
      <c r="O31" s="258"/>
      <c r="P31" s="256"/>
      <c r="Q31" s="256"/>
      <c r="R31" s="256"/>
      <c r="S31" s="256"/>
      <c r="T31" s="256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257"/>
      <c r="K32" s="240"/>
      <c r="L32" s="258"/>
      <c r="M32" s="258"/>
      <c r="N32" s="258"/>
      <c r="O32" s="258"/>
      <c r="P32" s="256"/>
      <c r="Q32" s="256"/>
      <c r="R32" s="256"/>
      <c r="S32" s="256"/>
      <c r="T32" s="256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257"/>
      <c r="K33" s="240"/>
      <c r="L33" s="258"/>
      <c r="M33" s="258"/>
      <c r="N33" s="258"/>
      <c r="O33" s="258"/>
      <c r="P33" s="256"/>
      <c r="Q33" s="256"/>
      <c r="R33" s="256"/>
      <c r="S33" s="256"/>
      <c r="T33" s="256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17">
        <f t="shared" ref="H34:H50" si="16">F34/E34*100</f>
        <v>100</v>
      </c>
      <c r="I34" s="31"/>
      <c r="J34" s="257"/>
      <c r="K34" s="46"/>
      <c r="L34" s="46"/>
      <c r="M34" s="46"/>
      <c r="N34" s="46"/>
      <c r="O34" s="46"/>
      <c r="P34" s="256"/>
      <c r="Q34" s="256"/>
      <c r="R34" s="256"/>
      <c r="S34" s="256"/>
      <c r="T34" s="256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6"/>
        <v>0</v>
      </c>
      <c r="I35" s="31"/>
      <c r="J35" s="257"/>
      <c r="K35" s="46"/>
      <c r="L35" s="46"/>
      <c r="M35" s="46"/>
      <c r="N35" s="46"/>
      <c r="O35" s="46"/>
      <c r="P35" s="256"/>
      <c r="Q35" s="256"/>
      <c r="R35" s="256"/>
      <c r="S35" s="256"/>
      <c r="T35" s="256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17">
        <f t="shared" si="16"/>
        <v>0</v>
      </c>
      <c r="I36" s="31"/>
      <c r="J36" s="257"/>
      <c r="K36" s="46"/>
      <c r="L36" s="46"/>
      <c r="M36" s="46"/>
      <c r="N36" s="46"/>
      <c r="O36" s="46"/>
      <c r="P36" s="256"/>
      <c r="Q36" s="256"/>
      <c r="R36" s="256"/>
      <c r="S36" s="256"/>
      <c r="T36" s="256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30</v>
      </c>
      <c r="E37" s="17">
        <v>26.03</v>
      </c>
      <c r="F37" s="17">
        <v>26.03</v>
      </c>
      <c r="G37" s="17">
        <v>26.03</v>
      </c>
      <c r="H37" s="17">
        <f t="shared" si="16"/>
        <v>100</v>
      </c>
      <c r="I37" s="17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2"/>
      <c r="V37" s="2"/>
      <c r="W37" s="2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6"/>
        <v>0</v>
      </c>
      <c r="I38" s="31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2"/>
      <c r="V38" s="2"/>
      <c r="W38" s="2"/>
      <c r="X38" s="1"/>
      <c r="Y38" s="1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18">D37*D38/10</f>
        <v>412.5</v>
      </c>
      <c r="E39" s="31">
        <f t="shared" si="18"/>
        <v>364.42</v>
      </c>
      <c r="F39" s="31">
        <f t="shared" si="18"/>
        <v>0</v>
      </c>
      <c r="G39" s="31">
        <f t="shared" si="18"/>
        <v>0</v>
      </c>
      <c r="H39" s="17">
        <f t="shared" si="16"/>
        <v>0</v>
      </c>
      <c r="I39" s="31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2"/>
      <c r="V39" s="2"/>
      <c r="W39" s="2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6"/>
        <v>0</v>
      </c>
      <c r="I40" s="31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2"/>
      <c r="V40" s="2"/>
      <c r="W40" s="2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6"/>
        <v>0</v>
      </c>
      <c r="I41" s="31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2"/>
      <c r="V41" s="2"/>
      <c r="W41" s="2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>
        <f t="shared" ref="D42:G42" si="19">D40*D41/10</f>
        <v>1.25</v>
      </c>
      <c r="E42" s="31">
        <f t="shared" si="19"/>
        <v>1.2050000000000001</v>
      </c>
      <c r="F42" s="31">
        <f t="shared" si="19"/>
        <v>0</v>
      </c>
      <c r="G42" s="31">
        <f t="shared" si="19"/>
        <v>0</v>
      </c>
      <c r="H42" s="17">
        <f t="shared" si="16"/>
        <v>0</v>
      </c>
      <c r="I42" s="31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2"/>
      <c r="V42" s="2"/>
      <c r="W42" s="2"/>
      <c r="X42" s="1"/>
      <c r="Y42" s="1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6"/>
        <v>54</v>
      </c>
      <c r="I43" s="17"/>
      <c r="J43" s="257"/>
      <c r="K43" s="55"/>
      <c r="L43" s="279"/>
      <c r="M43" s="279"/>
      <c r="N43" s="279"/>
      <c r="O43" s="279"/>
      <c r="P43" s="256"/>
      <c r="Q43" s="256"/>
      <c r="R43" s="256"/>
      <c r="S43" s="256"/>
      <c r="T43" s="256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6"/>
        <v>0</v>
      </c>
      <c r="I44" s="31"/>
      <c r="J44" s="257"/>
      <c r="K44" s="257"/>
      <c r="L44" s="257"/>
      <c r="M44" s="257"/>
      <c r="N44" s="257"/>
      <c r="O44" s="256"/>
      <c r="P44" s="256"/>
      <c r="Q44" s="256"/>
      <c r="R44" s="256"/>
      <c r="S44" s="256"/>
      <c r="T44" s="256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9" t="s">
        <v>27</v>
      </c>
      <c r="C45" s="50" t="s">
        <v>21</v>
      </c>
      <c r="D45" s="31">
        <f t="shared" ref="D45:G45" si="20">D43*D44/10</f>
        <v>5</v>
      </c>
      <c r="E45" s="31">
        <f t="shared" si="20"/>
        <v>4.9249999999999998</v>
      </c>
      <c r="F45" s="31">
        <f t="shared" si="20"/>
        <v>0</v>
      </c>
      <c r="G45" s="31">
        <f t="shared" si="20"/>
        <v>0</v>
      </c>
      <c r="H45" s="17">
        <f t="shared" si="16"/>
        <v>0</v>
      </c>
      <c r="I45" s="31"/>
      <c r="J45" s="257"/>
      <c r="K45" s="257"/>
      <c r="L45" s="257"/>
      <c r="M45" s="257"/>
      <c r="N45" s="257"/>
      <c r="O45" s="256"/>
      <c r="P45" s="256"/>
      <c r="Q45" s="256"/>
      <c r="R45" s="256"/>
      <c r="S45" s="256"/>
      <c r="T45" s="256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1">D47+D55+D64</f>
        <v>22.11</v>
      </c>
      <c r="E46" s="17">
        <f t="shared" si="21"/>
        <v>31.41</v>
      </c>
      <c r="F46" s="17">
        <f t="shared" si="21"/>
        <v>22.61</v>
      </c>
      <c r="G46" s="17">
        <f t="shared" si="21"/>
        <v>22.61</v>
      </c>
      <c r="H46" s="17">
        <f t="shared" si="16"/>
        <v>71.983444762814386</v>
      </c>
      <c r="I46" s="17"/>
      <c r="J46" s="257"/>
      <c r="K46" s="257"/>
      <c r="L46" s="257"/>
      <c r="M46" s="257"/>
      <c r="N46" s="257"/>
      <c r="O46" s="256"/>
      <c r="P46" s="256"/>
      <c r="Q46" s="256"/>
      <c r="R46" s="256"/>
      <c r="S46" s="256"/>
      <c r="T46" s="256"/>
      <c r="U46" s="1"/>
      <c r="V46" s="1"/>
      <c r="W46" s="1"/>
      <c r="X46" s="1"/>
      <c r="Y46" s="1"/>
      <c r="Z46" s="1"/>
    </row>
    <row r="47" spans="1:26" ht="31.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2">D48+D49</f>
        <v>13.61</v>
      </c>
      <c r="E47" s="17">
        <f t="shared" si="22"/>
        <v>21.61</v>
      </c>
      <c r="F47" s="17">
        <f t="shared" si="22"/>
        <v>13.61</v>
      </c>
      <c r="G47" s="17">
        <f t="shared" si="22"/>
        <v>13.61</v>
      </c>
      <c r="H47" s="17">
        <f t="shared" si="16"/>
        <v>62.980101804720036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9" t="s">
        <v>32</v>
      </c>
      <c r="B48" s="60" t="s">
        <v>45</v>
      </c>
      <c r="C48" s="61" t="s">
        <v>18</v>
      </c>
      <c r="D48" s="31">
        <v>12.75</v>
      </c>
      <c r="E48" s="31">
        <f>D48+D49</f>
        <v>13.61</v>
      </c>
      <c r="F48" s="31">
        <v>13.61</v>
      </c>
      <c r="G48" s="31">
        <v>13.61</v>
      </c>
      <c r="H48" s="31">
        <f t="shared" si="16"/>
        <v>100</v>
      </c>
      <c r="I48" s="31"/>
      <c r="J48" s="55"/>
      <c r="K48" s="55"/>
      <c r="L48" s="55"/>
      <c r="M48" s="55"/>
      <c r="N48" s="55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3">D50+D51</f>
        <v>0.86</v>
      </c>
      <c r="E49" s="17">
        <f t="shared" si="23"/>
        <v>8</v>
      </c>
      <c r="F49" s="17">
        <f t="shared" si="23"/>
        <v>0</v>
      </c>
      <c r="G49" s="17">
        <f t="shared" si="23"/>
        <v>0</v>
      </c>
      <c r="H49" s="17">
        <f t="shared" si="16"/>
        <v>0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61" t="s">
        <v>47</v>
      </c>
      <c r="B50" s="66" t="s">
        <v>269</v>
      </c>
      <c r="C50" s="61" t="s">
        <v>18</v>
      </c>
      <c r="D50" s="31"/>
      <c r="E50" s="31">
        <v>8</v>
      </c>
      <c r="F50" s="31">
        <v>0</v>
      </c>
      <c r="G50" s="31">
        <v>0</v>
      </c>
      <c r="H50" s="17">
        <f t="shared" si="16"/>
        <v>0</v>
      </c>
      <c r="I50" s="31"/>
      <c r="J50" s="137"/>
      <c r="K50" s="137"/>
      <c r="L50" s="137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61" t="s">
        <v>47</v>
      </c>
      <c r="B51" s="66" t="s">
        <v>49</v>
      </c>
      <c r="C51" s="30" t="s">
        <v>18</v>
      </c>
      <c r="D51" s="31">
        <v>0.86</v>
      </c>
      <c r="E51" s="31"/>
      <c r="F51" s="31"/>
      <c r="G51" s="31"/>
      <c r="H51" s="17"/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4">D53+D54</f>
        <v>11.59</v>
      </c>
      <c r="E52" s="17">
        <f t="shared" si="24"/>
        <v>10.8375</v>
      </c>
      <c r="F52" s="17">
        <f t="shared" si="24"/>
        <v>10.84</v>
      </c>
      <c r="G52" s="17">
        <f t="shared" si="24"/>
        <v>10.84</v>
      </c>
      <c r="H52" s="17">
        <f t="shared" ref="H52:H53" si="25">F52/E52*100</f>
        <v>100.0230680507497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71" t="s">
        <v>47</v>
      </c>
      <c r="B53" s="66" t="s">
        <v>51</v>
      </c>
      <c r="C53" s="30" t="s">
        <v>18</v>
      </c>
      <c r="D53" s="31">
        <v>8.2899999999999991</v>
      </c>
      <c r="E53" s="31">
        <f>D48*85%</f>
        <v>10.8375</v>
      </c>
      <c r="F53" s="31">
        <v>10.84</v>
      </c>
      <c r="G53" s="31">
        <v>10.84</v>
      </c>
      <c r="H53" s="31">
        <f t="shared" si="25"/>
        <v>100.0230680507497</v>
      </c>
      <c r="I53" s="31"/>
      <c r="J53" s="137"/>
      <c r="K53" s="137"/>
      <c r="L53" s="238"/>
      <c r="M53" s="137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6" t="s">
        <v>52</v>
      </c>
      <c r="C54" s="30" t="s">
        <v>18</v>
      </c>
      <c r="D54" s="31">
        <f>3.5-0.2</f>
        <v>3.3</v>
      </c>
      <c r="E54" s="31"/>
      <c r="F54" s="31"/>
      <c r="G54" s="31"/>
      <c r="H54" s="17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6">D56+D57</f>
        <v>8.5</v>
      </c>
      <c r="E55" s="17">
        <f t="shared" si="26"/>
        <v>9.8000000000000007</v>
      </c>
      <c r="F55" s="17">
        <f t="shared" si="26"/>
        <v>9</v>
      </c>
      <c r="G55" s="17">
        <f t="shared" si="26"/>
        <v>9</v>
      </c>
      <c r="H55" s="17">
        <f t="shared" ref="H55:H63" si="27">F55/E55*100</f>
        <v>91.836734693877546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60" t="s">
        <v>50</v>
      </c>
      <c r="C56" s="30" t="s">
        <v>18</v>
      </c>
      <c r="D56" s="31">
        <v>8.5</v>
      </c>
      <c r="E56" s="31">
        <f>D56+E58</f>
        <v>9</v>
      </c>
      <c r="F56" s="31">
        <v>9</v>
      </c>
      <c r="G56" s="31">
        <v>9</v>
      </c>
      <c r="H56" s="31">
        <f t="shared" si="27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8">D58+D61</f>
        <v>0</v>
      </c>
      <c r="E57" s="31">
        <f t="shared" si="28"/>
        <v>0.8</v>
      </c>
      <c r="F57" s="31">
        <f t="shared" si="28"/>
        <v>0</v>
      </c>
      <c r="G57" s="31">
        <f t="shared" si="28"/>
        <v>0</v>
      </c>
      <c r="H57" s="17">
        <f t="shared" si="27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29">D59+D60</f>
        <v>0</v>
      </c>
      <c r="E58" s="76">
        <f t="shared" si="29"/>
        <v>0.5</v>
      </c>
      <c r="F58" s="76">
        <f t="shared" si="29"/>
        <v>0</v>
      </c>
      <c r="G58" s="76">
        <f t="shared" si="29"/>
        <v>0</v>
      </c>
      <c r="H58" s="17">
        <f t="shared" si="27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1.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0.3</v>
      </c>
      <c r="F59" s="31">
        <v>0</v>
      </c>
      <c r="G59" s="31">
        <v>0</v>
      </c>
      <c r="H59" s="17">
        <f t="shared" si="27"/>
        <v>0</v>
      </c>
      <c r="I59" s="31"/>
      <c r="J59" s="35"/>
      <c r="K59" s="28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0.2</v>
      </c>
      <c r="F60" s="31">
        <v>0</v>
      </c>
      <c r="G60" s="31">
        <v>0</v>
      </c>
      <c r="H60" s="17">
        <f t="shared" si="27"/>
        <v>0</v>
      </c>
      <c r="I60" s="31"/>
      <c r="J60" s="35"/>
      <c r="K60" s="28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0">D62+D63</f>
        <v>0</v>
      </c>
      <c r="E61" s="76">
        <f t="shared" si="30"/>
        <v>0.30000000000000004</v>
      </c>
      <c r="F61" s="76">
        <f t="shared" si="30"/>
        <v>0</v>
      </c>
      <c r="G61" s="76">
        <f t="shared" si="30"/>
        <v>0</v>
      </c>
      <c r="H61" s="17">
        <f t="shared" si="27"/>
        <v>0</v>
      </c>
      <c r="I61" s="76"/>
      <c r="J61" s="35"/>
      <c r="K61" s="106"/>
      <c r="L61" s="106"/>
      <c r="M61" s="106"/>
      <c r="N61" s="106"/>
      <c r="O61" s="79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1.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0.2</v>
      </c>
      <c r="F62" s="31">
        <v>0</v>
      </c>
      <c r="G62" s="31">
        <v>0</v>
      </c>
      <c r="H62" s="17">
        <f t="shared" si="27"/>
        <v>0</v>
      </c>
      <c r="I62" s="31"/>
      <c r="J62" s="35"/>
      <c r="K62" s="28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7"/>
        <v>0</v>
      </c>
      <c r="I63" s="31"/>
      <c r="J63" s="35"/>
      <c r="K63" s="28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1">D65+D66</f>
        <v>0</v>
      </c>
      <c r="E64" s="17">
        <f t="shared" si="31"/>
        <v>0</v>
      </c>
      <c r="F64" s="17">
        <f t="shared" si="31"/>
        <v>0</v>
      </c>
      <c r="G64" s="17">
        <f t="shared" si="31"/>
        <v>0</v>
      </c>
      <c r="H64" s="17"/>
      <c r="I64" s="17"/>
      <c r="J64" s="137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17"/>
      <c r="I65" s="31"/>
      <c r="J65" s="137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2">D68+D71</f>
        <v>13.98</v>
      </c>
      <c r="E67" s="17">
        <f t="shared" si="32"/>
        <v>13.65</v>
      </c>
      <c r="F67" s="17">
        <f t="shared" si="32"/>
        <v>13.48</v>
      </c>
      <c r="G67" s="17">
        <f t="shared" si="32"/>
        <v>13.48</v>
      </c>
      <c r="H67" s="17">
        <f>F67/E67*100</f>
        <v>98.754578754578759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3">D69+D70</f>
        <v>0</v>
      </c>
      <c r="E68" s="17">
        <f t="shared" si="33"/>
        <v>0</v>
      </c>
      <c r="F68" s="17">
        <f t="shared" si="33"/>
        <v>0</v>
      </c>
      <c r="G68" s="17">
        <f t="shared" si="33"/>
        <v>0</v>
      </c>
      <c r="H68" s="17"/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17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60" t="s">
        <v>70</v>
      </c>
      <c r="C70" s="30" t="s">
        <v>18</v>
      </c>
      <c r="D70" s="31"/>
      <c r="E70" s="31"/>
      <c r="F70" s="31"/>
      <c r="G70" s="31"/>
      <c r="H70" s="17"/>
      <c r="I70" s="31"/>
      <c r="J70" s="137"/>
      <c r="K70" s="137"/>
      <c r="L70" s="137"/>
      <c r="M70" s="137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4">D72+D73</f>
        <v>13.98</v>
      </c>
      <c r="E71" s="17">
        <f t="shared" si="34"/>
        <v>13.65</v>
      </c>
      <c r="F71" s="17">
        <f t="shared" si="34"/>
        <v>13.48</v>
      </c>
      <c r="G71" s="17">
        <f t="shared" si="34"/>
        <v>13.48</v>
      </c>
      <c r="H71" s="17">
        <f t="shared" ref="H71:H75" si="35">F71/E71*100</f>
        <v>98.754578754578759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6">D75+D82</f>
        <v>13.48</v>
      </c>
      <c r="E72" s="91">
        <f t="shared" si="36"/>
        <v>13.48</v>
      </c>
      <c r="F72" s="91">
        <f t="shared" si="36"/>
        <v>13.48</v>
      </c>
      <c r="G72" s="91">
        <f t="shared" si="36"/>
        <v>13.48</v>
      </c>
      <c r="H72" s="17">
        <f t="shared" si="35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7">D76+D83</f>
        <v>0.5</v>
      </c>
      <c r="E73" s="17">
        <f t="shared" si="37"/>
        <v>0.17</v>
      </c>
      <c r="F73" s="17">
        <f t="shared" si="37"/>
        <v>0</v>
      </c>
      <c r="G73" s="17">
        <f t="shared" si="37"/>
        <v>0</v>
      </c>
      <c r="H73" s="17">
        <f t="shared" si="35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38">D75+D76</f>
        <v>9.9</v>
      </c>
      <c r="E74" s="96">
        <f t="shared" si="38"/>
        <v>9.9</v>
      </c>
      <c r="F74" s="96">
        <f t="shared" si="38"/>
        <v>9.9</v>
      </c>
      <c r="G74" s="96">
        <f t="shared" si="38"/>
        <v>9.9</v>
      </c>
      <c r="H74" s="104">
        <f t="shared" si="35"/>
        <v>100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9" t="s">
        <v>32</v>
      </c>
      <c r="B75" s="98" t="s">
        <v>45</v>
      </c>
      <c r="C75" s="30" t="s">
        <v>18</v>
      </c>
      <c r="D75" s="62">
        <v>9.9</v>
      </c>
      <c r="E75" s="62">
        <f>D75+D76</f>
        <v>9.9</v>
      </c>
      <c r="F75" s="62">
        <v>9.9</v>
      </c>
      <c r="G75" s="62">
        <v>9.9</v>
      </c>
      <c r="H75" s="31">
        <f t="shared" si="35"/>
        <v>100</v>
      </c>
      <c r="I75" s="31"/>
      <c r="J75" s="137"/>
      <c r="K75" s="137"/>
      <c r="L75" s="125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39">SUM(D77:D80)</f>
        <v>0</v>
      </c>
      <c r="E76" s="244">
        <f t="shared" si="39"/>
        <v>0</v>
      </c>
      <c r="F76" s="244">
        <f t="shared" si="39"/>
        <v>0</v>
      </c>
      <c r="G76" s="244">
        <f t="shared" si="39"/>
        <v>0</v>
      </c>
      <c r="H76" s="17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8" t="s">
        <v>47</v>
      </c>
      <c r="B77" s="101" t="s">
        <v>80</v>
      </c>
      <c r="C77" s="48" t="s">
        <v>18</v>
      </c>
      <c r="D77" s="31"/>
      <c r="E77" s="31"/>
      <c r="F77" s="31"/>
      <c r="G77" s="31"/>
      <c r="H77" s="17"/>
      <c r="I77" s="31"/>
      <c r="J77" s="241"/>
      <c r="K77" s="241"/>
      <c r="L77" s="106"/>
      <c r="M77" s="106"/>
      <c r="N77" s="246"/>
      <c r="O77" s="2"/>
      <c r="P77" s="38"/>
      <c r="Q77" s="2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31"/>
      <c r="H78" s="17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17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8" t="s">
        <v>47</v>
      </c>
      <c r="B80" s="247" t="s">
        <v>83</v>
      </c>
      <c r="C80" s="48" t="s">
        <v>18</v>
      </c>
      <c r="D80" s="31"/>
      <c r="E80" s="31"/>
      <c r="F80" s="31"/>
      <c r="G80" s="31"/>
      <c r="H80" s="17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0">D82+D83</f>
        <v>4.08</v>
      </c>
      <c r="E81" s="96">
        <f t="shared" si="40"/>
        <v>3.75</v>
      </c>
      <c r="F81" s="96">
        <f t="shared" si="40"/>
        <v>3.58</v>
      </c>
      <c r="G81" s="96">
        <f t="shared" si="40"/>
        <v>3.58</v>
      </c>
      <c r="H81" s="104">
        <f t="shared" ref="H81:H83" si="41">F81/E81*100</f>
        <v>95.466666666666669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1.5" customHeight="1" x14ac:dyDescent="0.25">
      <c r="A82" s="117" t="s">
        <v>47</v>
      </c>
      <c r="B82" s="101" t="s">
        <v>85</v>
      </c>
      <c r="C82" s="48" t="s">
        <v>18</v>
      </c>
      <c r="D82" s="76">
        <v>3.58</v>
      </c>
      <c r="E82" s="76">
        <v>3.58</v>
      </c>
      <c r="F82" s="76">
        <v>3.58</v>
      </c>
      <c r="G82" s="76">
        <v>3.58</v>
      </c>
      <c r="H82" s="76">
        <f t="shared" si="41"/>
        <v>100</v>
      </c>
      <c r="I82" s="76"/>
      <c r="J82" s="241"/>
      <c r="K82" s="241"/>
      <c r="L82" s="24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1.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2">SUM(D84:D87)</f>
        <v>0.5</v>
      </c>
      <c r="E83" s="62">
        <f t="shared" si="42"/>
        <v>0.17</v>
      </c>
      <c r="F83" s="62">
        <f t="shared" si="42"/>
        <v>0</v>
      </c>
      <c r="G83" s="62">
        <f t="shared" si="42"/>
        <v>0</v>
      </c>
      <c r="H83" s="17">
        <f t="shared" si="41"/>
        <v>0</v>
      </c>
      <c r="I83" s="62"/>
      <c r="J83" s="241"/>
      <c r="K83" s="241"/>
      <c r="L83" s="106"/>
      <c r="M83" s="106"/>
      <c r="N83" s="106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17"/>
      <c r="I84" s="31"/>
      <c r="J84" s="106"/>
      <c r="K84" s="106"/>
      <c r="L84" s="106"/>
      <c r="M84" s="106"/>
      <c r="N84" s="106"/>
      <c r="O84" s="2"/>
      <c r="P84" s="2"/>
      <c r="Q84" s="2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17"/>
      <c r="I85" s="31"/>
      <c r="J85" s="106"/>
      <c r="K85" s="106"/>
      <c r="L85" s="106"/>
      <c r="M85" s="106"/>
      <c r="N85" s="106"/>
      <c r="O85" s="2"/>
      <c r="P85" s="2"/>
      <c r="Q85" s="2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17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17" t="s">
        <v>47</v>
      </c>
      <c r="B87" s="101" t="s">
        <v>89</v>
      </c>
      <c r="C87" s="48" t="s">
        <v>18</v>
      </c>
      <c r="D87" s="31">
        <v>0.5</v>
      </c>
      <c r="E87" s="31">
        <v>0.17</v>
      </c>
      <c r="F87" s="31">
        <v>0</v>
      </c>
      <c r="G87" s="31">
        <v>0</v>
      </c>
      <c r="H87" s="17">
        <f t="shared" ref="H87:H91" si="43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38"/>
      <c r="S87" s="38"/>
      <c r="T87" s="2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4">SUM(D89:D93)</f>
        <v>406</v>
      </c>
      <c r="E88" s="17">
        <f t="shared" si="44"/>
        <v>397</v>
      </c>
      <c r="F88" s="17">
        <f t="shared" si="44"/>
        <v>350</v>
      </c>
      <c r="G88" s="17">
        <f t="shared" si="44"/>
        <v>350</v>
      </c>
      <c r="H88" s="17">
        <f t="shared" si="43"/>
        <v>88.161209068010066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37</v>
      </c>
      <c r="E89" s="31">
        <f>3+2</f>
        <v>5</v>
      </c>
      <c r="F89" s="31">
        <v>5</v>
      </c>
      <c r="G89" s="31">
        <f t="shared" ref="G89:G91" si="45">F89</f>
        <v>5</v>
      </c>
      <c r="H89" s="31">
        <f t="shared" si="43"/>
        <v>100</v>
      </c>
      <c r="I89" s="31"/>
      <c r="J89" s="57"/>
      <c r="K89" s="276"/>
      <c r="L89" s="274"/>
      <c r="M89" s="275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62</v>
      </c>
      <c r="E90" s="31">
        <f>63+10</f>
        <v>73</v>
      </c>
      <c r="F90" s="31">
        <v>72</v>
      </c>
      <c r="G90" s="31">
        <f t="shared" si="45"/>
        <v>72</v>
      </c>
      <c r="H90" s="31">
        <f t="shared" si="43"/>
        <v>98.630136986301366</v>
      </c>
      <c r="I90" s="31"/>
      <c r="J90" s="57"/>
      <c r="K90" s="276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35</v>
      </c>
      <c r="E91" s="31">
        <f>37+11</f>
        <v>48</v>
      </c>
      <c r="F91" s="31">
        <v>43</v>
      </c>
      <c r="G91" s="31">
        <f t="shared" si="45"/>
        <v>43</v>
      </c>
      <c r="H91" s="31">
        <f t="shared" si="43"/>
        <v>89.583333333333343</v>
      </c>
      <c r="I91" s="31"/>
      <c r="J91" s="57"/>
      <c r="K91" s="84"/>
      <c r="L91" s="274"/>
      <c r="M91" s="275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1.5" customHeight="1" x14ac:dyDescent="0.25">
      <c r="A92" s="30">
        <v>4</v>
      </c>
      <c r="B92" s="27" t="s">
        <v>99</v>
      </c>
      <c r="C92" s="30" t="s">
        <v>93</v>
      </c>
      <c r="D92" s="31"/>
      <c r="E92" s="31"/>
      <c r="F92" s="31"/>
      <c r="G92" s="31"/>
      <c r="H92" s="17"/>
      <c r="I92" s="31"/>
      <c r="J92" s="28"/>
      <c r="K92" s="28"/>
      <c r="L92" s="277"/>
      <c r="M92" s="275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100</v>
      </c>
      <c r="C93" s="30" t="s">
        <v>93</v>
      </c>
      <c r="D93" s="31">
        <v>272</v>
      </c>
      <c r="E93" s="31">
        <f>300-29</f>
        <v>271</v>
      </c>
      <c r="F93" s="31">
        <v>230</v>
      </c>
      <c r="G93" s="31">
        <f>F93</f>
        <v>230</v>
      </c>
      <c r="H93" s="31">
        <f>F93/E93*100</f>
        <v>84.870848708487088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1.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6">D95</f>
        <v>0</v>
      </c>
      <c r="E94" s="17">
        <f t="shared" si="46"/>
        <v>0</v>
      </c>
      <c r="F94" s="17">
        <f t="shared" si="46"/>
        <v>0</v>
      </c>
      <c r="G94" s="17">
        <f t="shared" si="46"/>
        <v>0</v>
      </c>
      <c r="H94" s="17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8" t="s">
        <v>47</v>
      </c>
      <c r="B95" s="81" t="s">
        <v>103</v>
      </c>
      <c r="C95" s="48" t="s">
        <v>18</v>
      </c>
      <c r="D95" s="31"/>
      <c r="E95" s="31"/>
      <c r="F95" s="31"/>
      <c r="G95" s="31"/>
      <c r="H95" s="17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7">D97+D98</f>
        <v>0</v>
      </c>
      <c r="E96" s="17">
        <f t="shared" si="47"/>
        <v>0</v>
      </c>
      <c r="F96" s="17">
        <f t="shared" si="47"/>
        <v>0</v>
      </c>
      <c r="G96" s="17">
        <f t="shared" si="47"/>
        <v>0</v>
      </c>
      <c r="H96" s="17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8" t="s">
        <v>270</v>
      </c>
      <c r="C97" s="48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33" t="s">
        <v>47</v>
      </c>
      <c r="B98" s="98" t="s">
        <v>110</v>
      </c>
      <c r="C98" s="48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47244094488188981" bottom="0.47244094488188981" header="0" footer="0"/>
  <pageSetup scale="85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77734375" customWidth="1"/>
    <col min="2" max="2" width="31.21875" customWidth="1"/>
    <col min="3" max="3" width="9.33203125" customWidth="1"/>
    <col min="4" max="5" width="16.44140625" customWidth="1"/>
    <col min="6" max="9" width="12.6640625" customWidth="1"/>
    <col min="10" max="10" width="8.88671875" customWidth="1"/>
    <col min="11" max="11" width="21.44140625" customWidth="1"/>
    <col min="12" max="14" width="8.88671875" customWidth="1"/>
    <col min="15" max="23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288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'ĐĂK PƠ TRANG(15)'!A5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195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300">
        <v>1300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185.22</v>
      </c>
      <c r="E9" s="17">
        <f t="shared" si="0"/>
        <v>180.47</v>
      </c>
      <c r="F9" s="17">
        <f t="shared" si="0"/>
        <v>144.13999999999999</v>
      </c>
      <c r="G9" s="17">
        <f t="shared" si="0"/>
        <v>144.13999999999999</v>
      </c>
      <c r="H9" s="17">
        <f t="shared" ref="H9:H23" si="1">F9/E9*100</f>
        <v>79.869230342993291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1.5</v>
      </c>
      <c r="E10" s="17">
        <f t="shared" si="2"/>
        <v>23.310000000000002</v>
      </c>
      <c r="F10" s="17">
        <f t="shared" si="2"/>
        <v>2.2800000000000002</v>
      </c>
      <c r="G10" s="17">
        <f t="shared" si="2"/>
        <v>2.2800000000000002</v>
      </c>
      <c r="H10" s="17">
        <f t="shared" si="1"/>
        <v>9.78120978120978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5.5275000000000007</v>
      </c>
      <c r="E11" s="17">
        <f t="shared" si="3"/>
        <v>62.971635000000006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57.43663500000001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21.810000000000002</v>
      </c>
      <c r="F13" s="17">
        <f t="shared" si="5"/>
        <v>0.78</v>
      </c>
      <c r="G13" s="17">
        <f t="shared" si="5"/>
        <v>0.78</v>
      </c>
      <c r="H13" s="17">
        <f t="shared" si="1"/>
        <v>3.5763411279229711</v>
      </c>
      <c r="I13" s="17"/>
      <c r="J13" s="137"/>
      <c r="K13" s="28"/>
      <c r="L13" s="35"/>
      <c r="M13" s="28"/>
      <c r="N13" s="2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26.335000000000001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57.43663500000001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0.78</v>
      </c>
      <c r="F16" s="17">
        <v>0.78</v>
      </c>
      <c r="G16" s="17">
        <v>0.78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2.6130000000000004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21.03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6"/>
      <c r="O19" s="90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19.170000000000002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46"/>
      <c r="O20" s="90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40.314510000000006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46"/>
      <c r="O21" s="90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2" t="s">
        <v>33</v>
      </c>
      <c r="C22" s="40" t="s">
        <v>18</v>
      </c>
      <c r="D22" s="17"/>
      <c r="E22" s="104">
        <v>21.03</v>
      </c>
      <c r="F22" s="17">
        <v>0</v>
      </c>
      <c r="G22" s="104">
        <v>0</v>
      </c>
      <c r="H22" s="17">
        <f t="shared" si="1"/>
        <v>0</v>
      </c>
      <c r="I22" s="17"/>
      <c r="J22" s="55"/>
      <c r="K22" s="55"/>
      <c r="L22" s="55"/>
      <c r="M22" s="55"/>
      <c r="N22" s="63"/>
      <c r="O22" s="255"/>
      <c r="P22" s="255"/>
      <c r="Q22" s="255"/>
      <c r="R22" s="255"/>
      <c r="S22" s="255"/>
      <c r="T22" s="237"/>
      <c r="U22" s="90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5"/>
      <c r="K23" s="55"/>
      <c r="L23" s="55"/>
      <c r="M23" s="55"/>
      <c r="N23" s="63"/>
      <c r="O23" s="255"/>
      <c r="P23" s="255"/>
      <c r="Q23" s="255"/>
      <c r="R23" s="255"/>
      <c r="S23" s="255"/>
      <c r="T23" s="237"/>
      <c r="U23" s="90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/>
      <c r="E24" s="31"/>
      <c r="F24" s="31"/>
      <c r="G24" s="31"/>
      <c r="H24" s="17"/>
      <c r="I24" s="31"/>
      <c r="J24" s="55"/>
      <c r="K24" s="55"/>
      <c r="L24" s="55"/>
      <c r="M24" s="55"/>
      <c r="N24" s="63"/>
      <c r="O24" s="255"/>
      <c r="P24" s="255"/>
      <c r="Q24" s="255"/>
      <c r="R24" s="255"/>
      <c r="S24" s="255"/>
      <c r="T24" s="237"/>
      <c r="U24" s="90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2" t="s">
        <v>34</v>
      </c>
      <c r="C25" s="40" t="s">
        <v>18</v>
      </c>
      <c r="D25" s="31"/>
      <c r="E25" s="76">
        <v>0</v>
      </c>
      <c r="F25" s="76">
        <v>0</v>
      </c>
      <c r="G25" s="76">
        <v>0</v>
      </c>
      <c r="H25" s="17"/>
      <c r="I25" s="31"/>
      <c r="J25" s="55"/>
      <c r="K25" s="55"/>
      <c r="L25" s="55"/>
      <c r="M25" s="55"/>
      <c r="N25" s="63"/>
      <c r="O25" s="255"/>
      <c r="P25" s="255"/>
      <c r="Q25" s="255"/>
      <c r="R25" s="255"/>
      <c r="S25" s="255"/>
      <c r="T25" s="90"/>
      <c r="U25" s="90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17"/>
      <c r="I26" s="31"/>
      <c r="J26" s="55"/>
      <c r="K26" s="55"/>
      <c r="L26" s="55"/>
      <c r="M26" s="55"/>
      <c r="N26" s="63"/>
      <c r="O26" s="255"/>
      <c r="P26" s="255"/>
      <c r="Q26" s="255"/>
      <c r="R26" s="255"/>
      <c r="S26" s="255"/>
      <c r="T26" s="90"/>
      <c r="U26" s="90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/>
      <c r="E27" s="31"/>
      <c r="F27" s="31"/>
      <c r="G27" s="31"/>
      <c r="H27" s="17"/>
      <c r="I27" s="31"/>
      <c r="J27" s="55"/>
      <c r="K27" s="55"/>
      <c r="L27" s="55"/>
      <c r="M27" s="55"/>
      <c r="N27" s="63"/>
      <c r="O27" s="255"/>
      <c r="P27" s="255"/>
      <c r="Q27" s="255"/>
      <c r="R27" s="255"/>
      <c r="S27" s="255"/>
      <c r="T27" s="90"/>
      <c r="U27" s="90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2">D31+D34</f>
        <v>1.5</v>
      </c>
      <c r="E28" s="17">
        <f t="shared" si="12"/>
        <v>1.5</v>
      </c>
      <c r="F28" s="17">
        <f t="shared" si="12"/>
        <v>1.5</v>
      </c>
      <c r="G28" s="17">
        <f t="shared" si="12"/>
        <v>1.5</v>
      </c>
      <c r="H28" s="17">
        <f t="shared" ref="H28:H30" si="13">F28/E28*100</f>
        <v>100</v>
      </c>
      <c r="I28" s="17"/>
      <c r="J28" s="257"/>
      <c r="K28" s="257"/>
      <c r="L28" s="257"/>
      <c r="M28" s="257"/>
      <c r="N28" s="257"/>
      <c r="O28" s="256"/>
      <c r="P28" s="256"/>
      <c r="Q28" s="256"/>
      <c r="R28" s="256"/>
      <c r="S28" s="256"/>
      <c r="T28" s="1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G29" si="14">D35</f>
        <v>36.85</v>
      </c>
      <c r="E29" s="31">
        <f t="shared" si="14"/>
        <v>36.9</v>
      </c>
      <c r="F29" s="31">
        <f t="shared" si="14"/>
        <v>0</v>
      </c>
      <c r="G29" s="31">
        <f t="shared" si="14"/>
        <v>0</v>
      </c>
      <c r="H29" s="17">
        <f t="shared" si="13"/>
        <v>0</v>
      </c>
      <c r="I29" s="31"/>
      <c r="J29" s="257"/>
      <c r="K29" s="257"/>
      <c r="L29" s="257"/>
      <c r="M29" s="257"/>
      <c r="N29" s="257"/>
      <c r="O29" s="256"/>
      <c r="P29" s="256"/>
      <c r="Q29" s="256"/>
      <c r="R29" s="256"/>
      <c r="S29" s="256"/>
      <c r="T29" s="1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5">D28*D29/10</f>
        <v>5.5275000000000007</v>
      </c>
      <c r="E30" s="31">
        <f t="shared" si="15"/>
        <v>5.5349999999999993</v>
      </c>
      <c r="F30" s="31">
        <f t="shared" si="15"/>
        <v>0</v>
      </c>
      <c r="G30" s="31">
        <f t="shared" si="15"/>
        <v>0</v>
      </c>
      <c r="H30" s="17">
        <f t="shared" si="13"/>
        <v>0</v>
      </c>
      <c r="I30" s="31"/>
      <c r="J30" s="257"/>
      <c r="K30" s="257"/>
      <c r="L30" s="257"/>
      <c r="M30" s="257"/>
      <c r="N30" s="257"/>
      <c r="O30" s="256"/>
      <c r="P30" s="256"/>
      <c r="Q30" s="256"/>
      <c r="R30" s="256"/>
      <c r="S30" s="256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17"/>
      <c r="I31" s="17"/>
      <c r="J31" s="257"/>
      <c r="K31" s="240"/>
      <c r="L31" s="258"/>
      <c r="M31" s="258"/>
      <c r="N31" s="258"/>
      <c r="O31" s="258"/>
      <c r="P31" s="256"/>
      <c r="Q31" s="256"/>
      <c r="R31" s="256"/>
      <c r="S31" s="256"/>
      <c r="T31" s="1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257"/>
      <c r="K32" s="240"/>
      <c r="L32" s="258"/>
      <c r="M32" s="258"/>
      <c r="N32" s="258"/>
      <c r="O32" s="258"/>
      <c r="P32" s="256"/>
      <c r="Q32" s="256"/>
      <c r="R32" s="256"/>
      <c r="S32" s="256"/>
      <c r="T32" s="1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257"/>
      <c r="K33" s="240"/>
      <c r="L33" s="258"/>
      <c r="M33" s="258"/>
      <c r="N33" s="258"/>
      <c r="O33" s="258"/>
      <c r="P33" s="256"/>
      <c r="Q33" s="256"/>
      <c r="R33" s="256"/>
      <c r="S33" s="256"/>
      <c r="T33" s="1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2" t="s">
        <v>38</v>
      </c>
      <c r="C34" s="40" t="s">
        <v>18</v>
      </c>
      <c r="D34" s="104">
        <v>1.5</v>
      </c>
      <c r="E34" s="104">
        <v>1.5</v>
      </c>
      <c r="F34" s="104">
        <v>1.5</v>
      </c>
      <c r="G34" s="104">
        <v>1.5</v>
      </c>
      <c r="H34" s="17">
        <f t="shared" ref="H34:H53" si="16">F34/E34*100</f>
        <v>100</v>
      </c>
      <c r="I34" s="17"/>
      <c r="J34" s="257"/>
      <c r="K34" s="46"/>
      <c r="L34" s="46"/>
      <c r="M34" s="46"/>
      <c r="N34" s="46"/>
      <c r="O34" s="46"/>
      <c r="P34" s="256"/>
      <c r="Q34" s="256"/>
      <c r="R34" s="256"/>
      <c r="S34" s="256"/>
      <c r="T34" s="1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6"/>
        <v>0</v>
      </c>
      <c r="I35" s="31"/>
      <c r="J35" s="257"/>
      <c r="K35" s="46"/>
      <c r="L35" s="46"/>
      <c r="M35" s="46"/>
      <c r="N35" s="46"/>
      <c r="O35" s="46"/>
      <c r="P35" s="256"/>
      <c r="Q35" s="256"/>
      <c r="R35" s="256"/>
      <c r="S35" s="256"/>
      <c r="T35" s="1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5.5275000000000007</v>
      </c>
      <c r="E36" s="31">
        <f t="shared" si="17"/>
        <v>5.5349999999999993</v>
      </c>
      <c r="F36" s="31">
        <f t="shared" si="17"/>
        <v>0</v>
      </c>
      <c r="G36" s="31">
        <f t="shared" si="17"/>
        <v>0</v>
      </c>
      <c r="H36" s="17">
        <f t="shared" si="16"/>
        <v>0</v>
      </c>
      <c r="I36" s="31"/>
      <c r="J36" s="257"/>
      <c r="K36" s="46"/>
      <c r="L36" s="46"/>
      <c r="M36" s="46"/>
      <c r="N36" s="46"/>
      <c r="O36" s="46"/>
      <c r="P36" s="256"/>
      <c r="Q36" s="256"/>
      <c r="R36" s="256"/>
      <c r="S36" s="256"/>
      <c r="T36" s="1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72</v>
      </c>
      <c r="E37" s="17">
        <v>42.28</v>
      </c>
      <c r="F37" s="17">
        <v>42.28</v>
      </c>
      <c r="G37" s="17">
        <v>42.28</v>
      </c>
      <c r="H37" s="17">
        <f t="shared" si="16"/>
        <v>100</v>
      </c>
      <c r="I37" s="17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33"/>
      <c r="U37" s="33"/>
      <c r="V37" s="33"/>
      <c r="W37" s="33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6"/>
        <v>0</v>
      </c>
      <c r="I38" s="31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33"/>
      <c r="U38" s="33"/>
      <c r="V38" s="33"/>
      <c r="W38" s="33"/>
      <c r="X38" s="1"/>
      <c r="Y38" s="1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18">D37*D38/10</f>
        <v>990</v>
      </c>
      <c r="E39" s="31">
        <f t="shared" si="18"/>
        <v>591.91999999999996</v>
      </c>
      <c r="F39" s="31">
        <f t="shared" si="18"/>
        <v>0</v>
      </c>
      <c r="G39" s="31">
        <f t="shared" si="18"/>
        <v>0</v>
      </c>
      <c r="H39" s="17">
        <f t="shared" si="16"/>
        <v>0</v>
      </c>
      <c r="I39" s="31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33"/>
      <c r="U39" s="33"/>
      <c r="V39" s="33"/>
      <c r="W39" s="33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6"/>
        <v>0</v>
      </c>
      <c r="I40" s="31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33"/>
      <c r="U40" s="33"/>
      <c r="V40" s="33"/>
      <c r="W40" s="33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6"/>
        <v>0</v>
      </c>
      <c r="I41" s="31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33"/>
      <c r="U41" s="33"/>
      <c r="V41" s="33"/>
      <c r="W41" s="33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>
        <f t="shared" ref="D42:G42" si="19">D40*D41/10</f>
        <v>1.25</v>
      </c>
      <c r="E42" s="31">
        <f t="shared" si="19"/>
        <v>1.2050000000000001</v>
      </c>
      <c r="F42" s="31">
        <f t="shared" si="19"/>
        <v>0</v>
      </c>
      <c r="G42" s="31">
        <f t="shared" si="19"/>
        <v>0</v>
      </c>
      <c r="H42" s="17">
        <f t="shared" si="16"/>
        <v>0</v>
      </c>
      <c r="I42" s="31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33"/>
      <c r="U42" s="33"/>
      <c r="V42" s="33"/>
      <c r="W42" s="33"/>
      <c r="X42" s="1"/>
      <c r="Y42" s="1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6"/>
        <v>54</v>
      </c>
      <c r="I43" s="17"/>
      <c r="J43" s="257"/>
      <c r="K43" s="55"/>
      <c r="L43" s="279"/>
      <c r="M43" s="279"/>
      <c r="N43" s="279"/>
      <c r="O43" s="279"/>
      <c r="P43" s="256"/>
      <c r="Q43" s="256"/>
      <c r="R43" s="256"/>
      <c r="S43" s="256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6"/>
        <v>0</v>
      </c>
      <c r="I44" s="31"/>
      <c r="J44" s="137"/>
      <c r="K44" s="238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9" t="s">
        <v>27</v>
      </c>
      <c r="C45" s="50" t="s">
        <v>21</v>
      </c>
      <c r="D45" s="31">
        <f t="shared" ref="D45:G45" si="20">D43*D44/10</f>
        <v>5</v>
      </c>
      <c r="E45" s="31">
        <f t="shared" si="20"/>
        <v>4.9249999999999998</v>
      </c>
      <c r="F45" s="31">
        <f t="shared" si="20"/>
        <v>0</v>
      </c>
      <c r="G45" s="31">
        <f t="shared" si="20"/>
        <v>0</v>
      </c>
      <c r="H45" s="17">
        <f t="shared" si="16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1">D47+D55+D64</f>
        <v>57.97</v>
      </c>
      <c r="E46" s="17">
        <f t="shared" si="21"/>
        <v>67.37</v>
      </c>
      <c r="F46" s="17">
        <f t="shared" si="21"/>
        <v>52.87</v>
      </c>
      <c r="G46" s="17">
        <f t="shared" si="21"/>
        <v>52.87</v>
      </c>
      <c r="H46" s="17">
        <f t="shared" si="16"/>
        <v>78.477066943743495</v>
      </c>
      <c r="I46" s="17"/>
      <c r="J46" s="137"/>
      <c r="K46" s="238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2">D48+D49</f>
        <v>32.97</v>
      </c>
      <c r="E47" s="17">
        <f t="shared" si="22"/>
        <v>44.87</v>
      </c>
      <c r="F47" s="17">
        <f t="shared" si="22"/>
        <v>32.97</v>
      </c>
      <c r="G47" s="17">
        <f t="shared" si="22"/>
        <v>32.97</v>
      </c>
      <c r="H47" s="17">
        <f t="shared" si="16"/>
        <v>73.478939157566302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9" t="s">
        <v>32</v>
      </c>
      <c r="B48" s="60" t="s">
        <v>45</v>
      </c>
      <c r="C48" s="61" t="s">
        <v>18</v>
      </c>
      <c r="D48" s="31">
        <v>32.31</v>
      </c>
      <c r="E48" s="31">
        <f>D48+D49</f>
        <v>32.97</v>
      </c>
      <c r="F48" s="31">
        <v>32.97</v>
      </c>
      <c r="G48" s="31">
        <v>32.97</v>
      </c>
      <c r="H48" s="31">
        <f t="shared" si="16"/>
        <v>100</v>
      </c>
      <c r="I48" s="31"/>
      <c r="J48" s="55"/>
      <c r="K48" s="55"/>
      <c r="L48" s="55"/>
      <c r="M48" s="55"/>
      <c r="N48" s="55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3">D50+D51</f>
        <v>0.65999999999999992</v>
      </c>
      <c r="E49" s="17">
        <f t="shared" si="23"/>
        <v>11.9</v>
      </c>
      <c r="F49" s="17">
        <f t="shared" si="23"/>
        <v>0</v>
      </c>
      <c r="G49" s="17">
        <f t="shared" si="23"/>
        <v>0</v>
      </c>
      <c r="H49" s="17">
        <f t="shared" si="16"/>
        <v>0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61" t="s">
        <v>47</v>
      </c>
      <c r="B50" s="66" t="s">
        <v>269</v>
      </c>
      <c r="C50" s="61" t="s">
        <v>18</v>
      </c>
      <c r="D50" s="31"/>
      <c r="E50" s="31">
        <v>9.4</v>
      </c>
      <c r="F50" s="31">
        <v>0</v>
      </c>
      <c r="G50" s="31">
        <v>0</v>
      </c>
      <c r="H50" s="17">
        <f t="shared" si="16"/>
        <v>0</v>
      </c>
      <c r="I50" s="31"/>
      <c r="J50" s="137"/>
      <c r="K50" s="137"/>
      <c r="L50" s="137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61" t="s">
        <v>47</v>
      </c>
      <c r="B51" s="66" t="s">
        <v>49</v>
      </c>
      <c r="C51" s="30" t="s">
        <v>18</v>
      </c>
      <c r="D51" s="31">
        <f>0.86-0.2</f>
        <v>0.65999999999999992</v>
      </c>
      <c r="E51" s="31">
        <v>2.5</v>
      </c>
      <c r="F51" s="31">
        <v>0</v>
      </c>
      <c r="G51" s="31">
        <v>0</v>
      </c>
      <c r="H51" s="17">
        <f t="shared" si="16"/>
        <v>0</v>
      </c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4">D53+D54</f>
        <v>21</v>
      </c>
      <c r="E52" s="17">
        <f t="shared" si="24"/>
        <v>27.4635</v>
      </c>
      <c r="F52" s="17">
        <f t="shared" si="24"/>
        <v>27.46</v>
      </c>
      <c r="G52" s="17">
        <f t="shared" si="24"/>
        <v>27.46</v>
      </c>
      <c r="H52" s="17">
        <f t="shared" si="16"/>
        <v>99.987255812259917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71" t="s">
        <v>47</v>
      </c>
      <c r="B53" s="66" t="s">
        <v>51</v>
      </c>
      <c r="C53" s="30" t="s">
        <v>18</v>
      </c>
      <c r="D53" s="31">
        <v>21</v>
      </c>
      <c r="E53" s="31">
        <f>D48*85%</f>
        <v>27.4635</v>
      </c>
      <c r="F53" s="31">
        <v>27.46</v>
      </c>
      <c r="G53" s="31">
        <v>27.46</v>
      </c>
      <c r="H53" s="31">
        <f t="shared" si="16"/>
        <v>99.987255812259917</v>
      </c>
      <c r="I53" s="31"/>
      <c r="J53" s="137"/>
      <c r="K53" s="137"/>
      <c r="L53" s="238"/>
      <c r="M53" s="137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6" t="s">
        <v>52</v>
      </c>
      <c r="C54" s="30" t="s">
        <v>18</v>
      </c>
      <c r="D54" s="31"/>
      <c r="E54" s="31"/>
      <c r="F54" s="31"/>
      <c r="G54" s="31"/>
      <c r="H54" s="17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5">D56+D57</f>
        <v>16.5</v>
      </c>
      <c r="E55" s="17">
        <f t="shared" si="25"/>
        <v>20.5</v>
      </c>
      <c r="F55" s="17">
        <f t="shared" si="25"/>
        <v>17.899999999999999</v>
      </c>
      <c r="G55" s="17">
        <f t="shared" si="25"/>
        <v>17.899999999999999</v>
      </c>
      <c r="H55" s="17">
        <f t="shared" ref="H55:H65" si="26">F55/E55*100</f>
        <v>87.317073170731703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60" t="s">
        <v>50</v>
      </c>
      <c r="C56" s="30" t="s">
        <v>18</v>
      </c>
      <c r="D56" s="31">
        <v>16.5</v>
      </c>
      <c r="E56" s="31">
        <f>D56+E58</f>
        <v>17.899999999999999</v>
      </c>
      <c r="F56" s="31">
        <v>17.899999999999999</v>
      </c>
      <c r="G56" s="31">
        <v>17.899999999999999</v>
      </c>
      <c r="H56" s="31">
        <f t="shared" si="26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7">D58+D61</f>
        <v>0</v>
      </c>
      <c r="E57" s="31">
        <f t="shared" si="27"/>
        <v>2.5999999999999996</v>
      </c>
      <c r="F57" s="31">
        <f t="shared" si="27"/>
        <v>0</v>
      </c>
      <c r="G57" s="31">
        <f t="shared" si="27"/>
        <v>0</v>
      </c>
      <c r="H57" s="17">
        <f t="shared" si="26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28">D59+D60</f>
        <v>0</v>
      </c>
      <c r="E58" s="76">
        <f t="shared" si="28"/>
        <v>1.4</v>
      </c>
      <c r="F58" s="76">
        <f t="shared" si="28"/>
        <v>0</v>
      </c>
      <c r="G58" s="76">
        <f t="shared" si="28"/>
        <v>0</v>
      </c>
      <c r="H58" s="17">
        <f t="shared" si="26"/>
        <v>0</v>
      </c>
      <c r="I58" s="76"/>
      <c r="J58" s="241"/>
      <c r="K58" s="241"/>
      <c r="L58" s="106"/>
      <c r="M58" s="106"/>
      <c r="N58" s="106"/>
      <c r="O58" s="106"/>
      <c r="P58" s="106"/>
      <c r="Q58" s="79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1.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0.7</v>
      </c>
      <c r="F59" s="31">
        <v>0</v>
      </c>
      <c r="G59" s="31">
        <v>0</v>
      </c>
      <c r="H59" s="17">
        <f t="shared" si="26"/>
        <v>0</v>
      </c>
      <c r="I59" s="31"/>
      <c r="J59" s="238"/>
      <c r="K59" s="137"/>
      <c r="L59" s="240"/>
      <c r="M59" s="240"/>
      <c r="N59" s="240"/>
      <c r="O59" s="240"/>
      <c r="P59" s="240"/>
      <c r="Q59" s="2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0.7</v>
      </c>
      <c r="F60" s="31">
        <v>0</v>
      </c>
      <c r="G60" s="31">
        <v>0</v>
      </c>
      <c r="H60" s="17">
        <f t="shared" si="26"/>
        <v>0</v>
      </c>
      <c r="I60" s="31"/>
      <c r="J60" s="238"/>
      <c r="K60" s="137"/>
      <c r="L60" s="240"/>
      <c r="M60" s="240"/>
      <c r="N60" s="240"/>
      <c r="O60" s="240"/>
      <c r="P60" s="240"/>
      <c r="Q60" s="2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29">D62+D63</f>
        <v>0</v>
      </c>
      <c r="E61" s="76">
        <f t="shared" si="29"/>
        <v>1.2</v>
      </c>
      <c r="F61" s="76">
        <f t="shared" si="29"/>
        <v>0</v>
      </c>
      <c r="G61" s="76">
        <f t="shared" si="29"/>
        <v>0</v>
      </c>
      <c r="H61" s="17">
        <f t="shared" si="26"/>
        <v>0</v>
      </c>
      <c r="I61" s="76"/>
      <c r="J61" s="238"/>
      <c r="K61" s="241"/>
      <c r="L61" s="106"/>
      <c r="M61" s="106"/>
      <c r="N61" s="106"/>
      <c r="O61" s="79"/>
      <c r="P61" s="79"/>
      <c r="Q61" s="79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1.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0.7</v>
      </c>
      <c r="F62" s="31">
        <v>0</v>
      </c>
      <c r="G62" s="31">
        <v>0</v>
      </c>
      <c r="H62" s="17">
        <f t="shared" si="26"/>
        <v>0</v>
      </c>
      <c r="I62" s="31"/>
      <c r="J62" s="238"/>
      <c r="K62" s="137"/>
      <c r="L62" s="240"/>
      <c r="M62" s="240"/>
      <c r="N62" s="240"/>
      <c r="O62" s="240"/>
      <c r="P62" s="240"/>
      <c r="Q62" s="2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0.5</v>
      </c>
      <c r="F63" s="31">
        <v>0</v>
      </c>
      <c r="G63" s="31">
        <v>0</v>
      </c>
      <c r="H63" s="17">
        <f t="shared" si="26"/>
        <v>0</v>
      </c>
      <c r="I63" s="31"/>
      <c r="J63" s="238"/>
      <c r="K63" s="137"/>
      <c r="L63" s="240"/>
      <c r="M63" s="240"/>
      <c r="N63" s="240"/>
      <c r="O63" s="240"/>
      <c r="P63" s="240"/>
      <c r="Q63" s="2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0">D65+D66</f>
        <v>8.5</v>
      </c>
      <c r="E64" s="17">
        <f t="shared" si="30"/>
        <v>2</v>
      </c>
      <c r="F64" s="17">
        <f t="shared" si="30"/>
        <v>2</v>
      </c>
      <c r="G64" s="17">
        <f t="shared" si="30"/>
        <v>2</v>
      </c>
      <c r="H64" s="17">
        <f t="shared" si="26"/>
        <v>100</v>
      </c>
      <c r="I64" s="17"/>
      <c r="J64" s="238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60" t="s">
        <v>45</v>
      </c>
      <c r="C65" s="30" t="s">
        <v>18</v>
      </c>
      <c r="D65" s="31">
        <v>8.5</v>
      </c>
      <c r="E65" s="31">
        <v>2</v>
      </c>
      <c r="F65" s="31">
        <v>2</v>
      </c>
      <c r="G65" s="31">
        <v>2</v>
      </c>
      <c r="H65" s="31">
        <f t="shared" si="26"/>
        <v>100</v>
      </c>
      <c r="I65" s="31"/>
      <c r="J65" s="137"/>
      <c r="K65" s="55"/>
      <c r="L65" s="55"/>
      <c r="M65" s="55"/>
      <c r="N65" s="55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1">D68+D71</f>
        <v>53.25</v>
      </c>
      <c r="E67" s="17">
        <f t="shared" si="31"/>
        <v>47.01</v>
      </c>
      <c r="F67" s="17">
        <f t="shared" si="31"/>
        <v>46.44</v>
      </c>
      <c r="G67" s="17">
        <f t="shared" si="31"/>
        <v>46.44</v>
      </c>
      <c r="H67" s="17">
        <f>F67/E67*100</f>
        <v>98.787492022973836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2">D69+D70</f>
        <v>0</v>
      </c>
      <c r="E68" s="17">
        <f t="shared" si="32"/>
        <v>0</v>
      </c>
      <c r="F68" s="17">
        <f t="shared" si="32"/>
        <v>0</v>
      </c>
      <c r="G68" s="17">
        <f t="shared" si="32"/>
        <v>0</v>
      </c>
      <c r="H68" s="17"/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17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60" t="s">
        <v>70</v>
      </c>
      <c r="C70" s="30" t="s">
        <v>18</v>
      </c>
      <c r="D70" s="31"/>
      <c r="E70" s="31"/>
      <c r="F70" s="31"/>
      <c r="G70" s="31"/>
      <c r="H70" s="17"/>
      <c r="I70" s="31"/>
      <c r="J70" s="137"/>
      <c r="K70" s="137"/>
      <c r="L70" s="137"/>
      <c r="M70" s="137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3">D72+D73</f>
        <v>53.25</v>
      </c>
      <c r="E71" s="17">
        <f t="shared" si="33"/>
        <v>47.01</v>
      </c>
      <c r="F71" s="17">
        <f t="shared" si="33"/>
        <v>46.44</v>
      </c>
      <c r="G71" s="17">
        <f t="shared" si="33"/>
        <v>46.44</v>
      </c>
      <c r="H71" s="17">
        <f t="shared" ref="H71:H75" si="34">F71/E71*100</f>
        <v>98.787492022973836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5">D75+D82</f>
        <v>52.75</v>
      </c>
      <c r="E72" s="91">
        <f t="shared" si="35"/>
        <v>46.44</v>
      </c>
      <c r="F72" s="91">
        <f t="shared" si="35"/>
        <v>46.44</v>
      </c>
      <c r="G72" s="91">
        <f t="shared" si="35"/>
        <v>46.44</v>
      </c>
      <c r="H72" s="17">
        <f t="shared" si="34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6">D76+D83</f>
        <v>0.5</v>
      </c>
      <c r="E73" s="17">
        <f t="shared" si="36"/>
        <v>0.56999999999999995</v>
      </c>
      <c r="F73" s="17">
        <f t="shared" si="36"/>
        <v>0</v>
      </c>
      <c r="G73" s="17">
        <f t="shared" si="36"/>
        <v>0</v>
      </c>
      <c r="H73" s="17">
        <f t="shared" si="34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37">D75+D76</f>
        <v>37.44</v>
      </c>
      <c r="E74" s="96">
        <f t="shared" si="37"/>
        <v>34.44</v>
      </c>
      <c r="F74" s="96">
        <f t="shared" si="37"/>
        <v>34.44</v>
      </c>
      <c r="G74" s="96">
        <f t="shared" si="37"/>
        <v>34.44</v>
      </c>
      <c r="H74" s="104">
        <f t="shared" si="34"/>
        <v>100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9" t="s">
        <v>32</v>
      </c>
      <c r="B75" s="98" t="s">
        <v>45</v>
      </c>
      <c r="C75" s="30" t="s">
        <v>18</v>
      </c>
      <c r="D75" s="62">
        <f>32.94+4</f>
        <v>36.94</v>
      </c>
      <c r="E75" s="62">
        <f>37.44-3</f>
        <v>34.44</v>
      </c>
      <c r="F75" s="31">
        <v>34.44</v>
      </c>
      <c r="G75" s="31">
        <v>34.44</v>
      </c>
      <c r="H75" s="31">
        <f t="shared" si="34"/>
        <v>100</v>
      </c>
      <c r="I75" s="31"/>
      <c r="J75" s="137"/>
      <c r="K75" s="137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38">SUM(D77:D80)</f>
        <v>0.5</v>
      </c>
      <c r="E76" s="244">
        <f t="shared" si="38"/>
        <v>0</v>
      </c>
      <c r="F76" s="244">
        <f t="shared" si="38"/>
        <v>0</v>
      </c>
      <c r="G76" s="244">
        <f t="shared" si="38"/>
        <v>0</v>
      </c>
      <c r="H76" s="17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8" t="s">
        <v>47</v>
      </c>
      <c r="B77" s="101" t="s">
        <v>80</v>
      </c>
      <c r="C77" s="48" t="s">
        <v>18</v>
      </c>
      <c r="D77" s="31"/>
      <c r="E77" s="31"/>
      <c r="F77" s="31"/>
      <c r="G77" s="31"/>
      <c r="H77" s="17"/>
      <c r="I77" s="31"/>
      <c r="J77" s="241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31"/>
      <c r="H78" s="17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17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8" t="s">
        <v>47</v>
      </c>
      <c r="B80" s="247" t="s">
        <v>83</v>
      </c>
      <c r="C80" s="48" t="s">
        <v>18</v>
      </c>
      <c r="D80" s="31">
        <v>0.5</v>
      </c>
      <c r="E80" s="31"/>
      <c r="F80" s="31"/>
      <c r="G80" s="31"/>
      <c r="H80" s="17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39">D82+D83</f>
        <v>15.81</v>
      </c>
      <c r="E81" s="96">
        <f t="shared" si="39"/>
        <v>12.57</v>
      </c>
      <c r="F81" s="96">
        <f t="shared" si="39"/>
        <v>12</v>
      </c>
      <c r="G81" s="96">
        <f t="shared" si="39"/>
        <v>12</v>
      </c>
      <c r="H81" s="104">
        <f t="shared" ref="H81:H83" si="40">F81/E81*100</f>
        <v>95.465393794749403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1.5" customHeight="1" x14ac:dyDescent="0.25">
      <c r="A82" s="117" t="s">
        <v>47</v>
      </c>
      <c r="B82" s="101" t="s">
        <v>85</v>
      </c>
      <c r="C82" s="48" t="s">
        <v>18</v>
      </c>
      <c r="D82" s="76">
        <f>11.9+3.91</f>
        <v>15.81</v>
      </c>
      <c r="E82" s="76">
        <v>12</v>
      </c>
      <c r="F82" s="76">
        <v>12</v>
      </c>
      <c r="G82" s="76">
        <v>12</v>
      </c>
      <c r="H82" s="76">
        <f t="shared" si="40"/>
        <v>100</v>
      </c>
      <c r="I82" s="76"/>
      <c r="J82" s="241"/>
      <c r="K82" s="241"/>
      <c r="L82" s="24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1.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1">SUM(D84:D87)</f>
        <v>0</v>
      </c>
      <c r="E83" s="62">
        <f t="shared" si="41"/>
        <v>0.56999999999999995</v>
      </c>
      <c r="F83" s="62">
        <f t="shared" si="41"/>
        <v>0</v>
      </c>
      <c r="G83" s="62">
        <f t="shared" si="41"/>
        <v>0</v>
      </c>
      <c r="H83" s="17">
        <f t="shared" si="40"/>
        <v>0</v>
      </c>
      <c r="I83" s="62"/>
      <c r="J83" s="241"/>
      <c r="K83" s="241"/>
      <c r="L83" s="106"/>
      <c r="M83" s="106"/>
      <c r="N83" s="106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17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17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17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17" t="s">
        <v>47</v>
      </c>
      <c r="B87" s="101" t="s">
        <v>89</v>
      </c>
      <c r="C87" s="48" t="s">
        <v>18</v>
      </c>
      <c r="D87" s="31"/>
      <c r="E87" s="31">
        <v>0.56999999999999995</v>
      </c>
      <c r="F87" s="31">
        <v>0</v>
      </c>
      <c r="G87" s="31">
        <v>0</v>
      </c>
      <c r="H87" s="17">
        <f t="shared" ref="H87:H98" si="42">F87/E87*100</f>
        <v>0</v>
      </c>
      <c r="I87" s="31"/>
      <c r="J87" s="106"/>
      <c r="K87" s="106"/>
      <c r="L87" s="106"/>
      <c r="M87" s="299"/>
      <c r="N87" s="299"/>
      <c r="O87" s="33"/>
      <c r="P87" s="33"/>
      <c r="Q87" s="33"/>
      <c r="R87" s="33"/>
      <c r="S87" s="33"/>
      <c r="T87" s="2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3">SUM(D89:D93)</f>
        <v>1376</v>
      </c>
      <c r="E88" s="17">
        <f t="shared" si="43"/>
        <v>1142</v>
      </c>
      <c r="F88" s="17">
        <f t="shared" si="43"/>
        <v>1061</v>
      </c>
      <c r="G88" s="17">
        <f t="shared" si="43"/>
        <v>1061</v>
      </c>
      <c r="H88" s="17">
        <f t="shared" si="42"/>
        <v>92.907180385288967</v>
      </c>
      <c r="I88" s="17"/>
      <c r="J88" s="28"/>
      <c r="K88" s="28"/>
      <c r="L88" s="28"/>
      <c r="M88" s="28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124</v>
      </c>
      <c r="E89" s="31">
        <f>8+4</f>
        <v>12</v>
      </c>
      <c r="F89" s="31">
        <v>11</v>
      </c>
      <c r="G89" s="31">
        <f t="shared" ref="G89:G93" si="44">F89</f>
        <v>11</v>
      </c>
      <c r="H89" s="31">
        <f t="shared" si="42"/>
        <v>91.666666666666657</v>
      </c>
      <c r="I89" s="31"/>
      <c r="J89" s="57"/>
      <c r="K89" s="84"/>
      <c r="L89" s="301"/>
      <c r="M89" s="57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207</v>
      </c>
      <c r="E90" s="31">
        <f>216+35</f>
        <v>251</v>
      </c>
      <c r="F90" s="31">
        <v>249</v>
      </c>
      <c r="G90" s="31">
        <f t="shared" si="44"/>
        <v>249</v>
      </c>
      <c r="H90" s="31">
        <f t="shared" si="42"/>
        <v>99.203187250996024</v>
      </c>
      <c r="I90" s="31"/>
      <c r="J90" s="57"/>
      <c r="K90" s="84"/>
      <c r="L90" s="301"/>
      <c r="M90" s="57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118</v>
      </c>
      <c r="E91" s="31">
        <f>20+6</f>
        <v>26</v>
      </c>
      <c r="F91" s="31">
        <v>22</v>
      </c>
      <c r="G91" s="31">
        <f t="shared" si="44"/>
        <v>22</v>
      </c>
      <c r="H91" s="31">
        <f t="shared" si="42"/>
        <v>84.615384615384613</v>
      </c>
      <c r="I91" s="31"/>
      <c r="J91" s="57"/>
      <c r="K91" s="84"/>
      <c r="L91" s="301"/>
      <c r="M91" s="57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1.5" customHeight="1" x14ac:dyDescent="0.25">
      <c r="A92" s="30">
        <v>4</v>
      </c>
      <c r="B92" s="27" t="s">
        <v>99</v>
      </c>
      <c r="C92" s="30" t="s">
        <v>93</v>
      </c>
      <c r="D92" s="31">
        <v>20</v>
      </c>
      <c r="E92" s="31">
        <f>22+6</f>
        <v>28</v>
      </c>
      <c r="F92" s="31">
        <v>26</v>
      </c>
      <c r="G92" s="31">
        <f t="shared" si="44"/>
        <v>26</v>
      </c>
      <c r="H92" s="31">
        <f t="shared" si="42"/>
        <v>92.857142857142861</v>
      </c>
      <c r="I92" s="31"/>
      <c r="J92" s="57"/>
      <c r="K92" s="84"/>
      <c r="L92" s="57"/>
      <c r="M92" s="57"/>
      <c r="N92" s="57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31.5" customHeight="1" x14ac:dyDescent="0.25">
      <c r="A93" s="30">
        <v>5</v>
      </c>
      <c r="B93" s="27" t="s">
        <v>100</v>
      </c>
      <c r="C93" s="30" t="s">
        <v>93</v>
      </c>
      <c r="D93" s="31">
        <v>907</v>
      </c>
      <c r="E93" s="31">
        <f>913-88</f>
        <v>825</v>
      </c>
      <c r="F93" s="31">
        <v>753</v>
      </c>
      <c r="G93" s="31">
        <f t="shared" si="44"/>
        <v>753</v>
      </c>
      <c r="H93" s="31">
        <f t="shared" si="42"/>
        <v>91.272727272727266</v>
      </c>
      <c r="I93" s="31"/>
      <c r="J93" s="84"/>
      <c r="K93" s="84"/>
      <c r="L93" s="301"/>
      <c r="M93" s="57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1.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5">D95</f>
        <v>1.1000000000000001</v>
      </c>
      <c r="E94" s="17">
        <f t="shared" si="45"/>
        <v>1.1000000000000001</v>
      </c>
      <c r="F94" s="17">
        <f t="shared" si="45"/>
        <v>1.1000000000000001</v>
      </c>
      <c r="G94" s="17">
        <f t="shared" si="45"/>
        <v>1.1000000000000001</v>
      </c>
      <c r="H94" s="17">
        <f t="shared" si="42"/>
        <v>100</v>
      </c>
      <c r="I94" s="17"/>
      <c r="J94" s="70"/>
      <c r="K94" s="70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8" t="s">
        <v>47</v>
      </c>
      <c r="B95" s="81" t="s">
        <v>103</v>
      </c>
      <c r="C95" s="48" t="s">
        <v>18</v>
      </c>
      <c r="D95" s="31">
        <v>1.1000000000000001</v>
      </c>
      <c r="E95" s="31">
        <v>1.1000000000000001</v>
      </c>
      <c r="F95" s="31">
        <v>1.1000000000000001</v>
      </c>
      <c r="G95" s="31">
        <v>1.1000000000000001</v>
      </c>
      <c r="H95" s="31">
        <f t="shared" si="42"/>
        <v>100</v>
      </c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6">D97+D98</f>
        <v>2.8</v>
      </c>
      <c r="E96" s="17">
        <f t="shared" si="46"/>
        <v>0.84999999999999987</v>
      </c>
      <c r="F96" s="17">
        <f t="shared" si="46"/>
        <v>0</v>
      </c>
      <c r="G96" s="17">
        <f t="shared" si="46"/>
        <v>0</v>
      </c>
      <c r="H96" s="17">
        <f t="shared" si="42"/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8" t="s">
        <v>270</v>
      </c>
      <c r="C97" s="48" t="s">
        <v>18</v>
      </c>
      <c r="D97" s="31"/>
      <c r="E97" s="31">
        <v>0.2</v>
      </c>
      <c r="F97" s="31"/>
      <c r="G97" s="31"/>
      <c r="H97" s="17">
        <f t="shared" si="42"/>
        <v>0</v>
      </c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33" t="s">
        <v>47</v>
      </c>
      <c r="B98" s="98" t="s">
        <v>110</v>
      </c>
      <c r="C98" s="48" t="s">
        <v>18</v>
      </c>
      <c r="D98" s="31">
        <v>2.8</v>
      </c>
      <c r="E98" s="31">
        <f>1.9-1.25</f>
        <v>0.64999999999999991</v>
      </c>
      <c r="F98" s="31"/>
      <c r="G98" s="31"/>
      <c r="H98" s="17">
        <f t="shared" si="42"/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1181102362204722" bottom="0.43307086614173229" header="0" footer="0"/>
  <pageSetup scale="85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21875" customWidth="1"/>
    <col min="2" max="2" width="29.109375" customWidth="1"/>
    <col min="3" max="3" width="8.5546875" customWidth="1"/>
    <col min="4" max="4" width="17.44140625" customWidth="1"/>
    <col min="5" max="5" width="17.6640625" customWidth="1"/>
    <col min="6" max="9" width="12.6640625" customWidth="1"/>
    <col min="10" max="10" width="8.88671875" customWidth="1"/>
    <col min="11" max="11" width="18.88671875" customWidth="1"/>
    <col min="12" max="14" width="8.88671875" customWidth="1"/>
    <col min="15" max="25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 t="s">
        <v>289</v>
      </c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290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'KON PIA(16)'!A5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68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302">
        <v>352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120.07</v>
      </c>
      <c r="E9" s="17">
        <f t="shared" si="0"/>
        <v>126.14</v>
      </c>
      <c r="F9" s="17">
        <f t="shared" si="0"/>
        <v>107.50999999999999</v>
      </c>
      <c r="G9" s="17">
        <f t="shared" si="0"/>
        <v>107.50999999999999</v>
      </c>
      <c r="H9" s="17">
        <f t="shared" ref="H9:H23" si="1">F9/E9*100</f>
        <v>85.230696052005712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10.02</v>
      </c>
      <c r="F10" s="17">
        <f t="shared" si="2"/>
        <v>1.52</v>
      </c>
      <c r="G10" s="17">
        <f t="shared" si="2"/>
        <v>1.52</v>
      </c>
      <c r="H10" s="17">
        <f t="shared" si="1"/>
        <v>15.169660678642716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30.871770000000001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27.18177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9.02</v>
      </c>
      <c r="F13" s="17">
        <f t="shared" si="5"/>
        <v>0.52</v>
      </c>
      <c r="G13" s="17">
        <f t="shared" si="5"/>
        <v>0.52</v>
      </c>
      <c r="H13" s="17">
        <f t="shared" si="1"/>
        <v>5.7649667405764973</v>
      </c>
      <c r="I13" s="17"/>
      <c r="J13" s="137"/>
      <c r="K13" s="137"/>
      <c r="L13" s="137"/>
      <c r="M13" s="137"/>
      <c r="N13" s="1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27.18177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0.52</v>
      </c>
      <c r="F16" s="17">
        <v>0.52</v>
      </c>
      <c r="G16" s="17">
        <v>0.52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1.7420000000000002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8.5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28"/>
      <c r="O19" s="2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26.770000000000003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28"/>
      <c r="O20" s="2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22.7545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28"/>
      <c r="O21" s="2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2" t="s">
        <v>33</v>
      </c>
      <c r="C22" s="40" t="s">
        <v>18</v>
      </c>
      <c r="D22" s="17"/>
      <c r="E22" s="104">
        <v>6</v>
      </c>
      <c r="F22" s="104">
        <v>0</v>
      </c>
      <c r="G22" s="104">
        <v>0</v>
      </c>
      <c r="H22" s="17">
        <f t="shared" si="1"/>
        <v>0</v>
      </c>
      <c r="I22" s="17"/>
      <c r="J22" s="55"/>
      <c r="K22" s="55"/>
      <c r="L22" s="55"/>
      <c r="M22" s="55"/>
      <c r="N22" s="55"/>
      <c r="O22" s="33"/>
      <c r="P22" s="33"/>
      <c r="Q22" s="256"/>
      <c r="R22" s="256"/>
      <c r="S22" s="256"/>
      <c r="T22" s="256"/>
      <c r="U22" s="1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5"/>
      <c r="K23" s="55"/>
      <c r="L23" s="55"/>
      <c r="M23" s="55"/>
      <c r="N23" s="55"/>
      <c r="O23" s="33"/>
      <c r="P23" s="33"/>
      <c r="Q23" s="256"/>
      <c r="R23" s="256"/>
      <c r="S23" s="256"/>
      <c r="T23" s="256"/>
      <c r="U23" s="1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/>
      <c r="E24" s="31"/>
      <c r="F24" s="31"/>
      <c r="G24" s="31"/>
      <c r="H24" s="17"/>
      <c r="I24" s="31"/>
      <c r="J24" s="55"/>
      <c r="K24" s="55"/>
      <c r="L24" s="55"/>
      <c r="M24" s="55"/>
      <c r="N24" s="55"/>
      <c r="O24" s="33"/>
      <c r="P24" s="33"/>
      <c r="Q24" s="256"/>
      <c r="R24" s="256"/>
      <c r="S24" s="256"/>
      <c r="T24" s="256"/>
      <c r="U24" s="1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2" t="s">
        <v>34</v>
      </c>
      <c r="C25" s="40" t="s">
        <v>18</v>
      </c>
      <c r="D25" s="17"/>
      <c r="E25" s="104">
        <v>2.5</v>
      </c>
      <c r="F25" s="104">
        <v>0</v>
      </c>
      <c r="G25" s="104">
        <v>0</v>
      </c>
      <c r="H25" s="17">
        <f t="shared" ref="H25:H30" si="12">F25/E25*100</f>
        <v>0</v>
      </c>
      <c r="I25" s="17"/>
      <c r="J25" s="55"/>
      <c r="K25" s="55"/>
      <c r="L25" s="55"/>
      <c r="M25" s="55"/>
      <c r="N25" s="55"/>
      <c r="O25" s="33"/>
      <c r="P25" s="33"/>
      <c r="Q25" s="256"/>
      <c r="R25" s="256"/>
      <c r="S25" s="256"/>
      <c r="T25" s="256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 t="shared" si="12"/>
        <v>0</v>
      </c>
      <c r="I26" s="31"/>
      <c r="J26" s="55"/>
      <c r="K26" s="55"/>
      <c r="L26" s="55"/>
      <c r="M26" s="55"/>
      <c r="N26" s="55"/>
      <c r="O26" s="33"/>
      <c r="P26" s="33"/>
      <c r="Q26" s="256"/>
      <c r="R26" s="256"/>
      <c r="S26" s="256"/>
      <c r="T26" s="256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G27" si="13">D25*D26/10</f>
        <v>0</v>
      </c>
      <c r="E27" s="31">
        <f t="shared" si="13"/>
        <v>3.8</v>
      </c>
      <c r="F27" s="31">
        <f t="shared" si="13"/>
        <v>0</v>
      </c>
      <c r="G27" s="31">
        <f t="shared" si="13"/>
        <v>0</v>
      </c>
      <c r="H27" s="17">
        <f t="shared" si="12"/>
        <v>0</v>
      </c>
      <c r="I27" s="31"/>
      <c r="J27" s="55"/>
      <c r="K27" s="55"/>
      <c r="L27" s="55"/>
      <c r="M27" s="55"/>
      <c r="N27" s="55"/>
      <c r="O27" s="33"/>
      <c r="P27" s="33"/>
      <c r="Q27" s="256"/>
      <c r="R27" s="256"/>
      <c r="S27" s="256"/>
      <c r="T27" s="256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</v>
      </c>
      <c r="E28" s="17">
        <f t="shared" si="14"/>
        <v>1</v>
      </c>
      <c r="F28" s="17">
        <f t="shared" si="14"/>
        <v>1</v>
      </c>
      <c r="G28" s="17">
        <f t="shared" si="14"/>
        <v>1</v>
      </c>
      <c r="H28" s="17">
        <f t="shared" si="12"/>
        <v>100</v>
      </c>
      <c r="I28" s="17"/>
      <c r="J28" s="257"/>
      <c r="K28" s="257"/>
      <c r="L28" s="257"/>
      <c r="M28" s="257"/>
      <c r="N28" s="257"/>
      <c r="O28" s="256"/>
      <c r="P28" s="256"/>
      <c r="Q28" s="256"/>
      <c r="R28" s="256"/>
      <c r="S28" s="256"/>
      <c r="T28" s="256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G29" si="15">D35</f>
        <v>36.85</v>
      </c>
      <c r="E29" s="31">
        <f t="shared" si="15"/>
        <v>36.9</v>
      </c>
      <c r="F29" s="31">
        <f t="shared" si="15"/>
        <v>0</v>
      </c>
      <c r="G29" s="31">
        <f t="shared" si="15"/>
        <v>0</v>
      </c>
      <c r="H29" s="17">
        <f t="shared" si="12"/>
        <v>0</v>
      </c>
      <c r="I29" s="31"/>
      <c r="J29" s="257"/>
      <c r="K29" s="257"/>
      <c r="L29" s="257"/>
      <c r="M29" s="257"/>
      <c r="N29" s="257"/>
      <c r="O29" s="256"/>
      <c r="P29" s="256"/>
      <c r="Q29" s="256"/>
      <c r="R29" s="256"/>
      <c r="S29" s="256"/>
      <c r="T29" s="256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6">D28*D29/10</f>
        <v>3.6850000000000001</v>
      </c>
      <c r="E30" s="31">
        <f t="shared" si="16"/>
        <v>3.69</v>
      </c>
      <c r="F30" s="31">
        <f t="shared" si="16"/>
        <v>0</v>
      </c>
      <c r="G30" s="31">
        <f t="shared" si="16"/>
        <v>0</v>
      </c>
      <c r="H30" s="17">
        <f t="shared" si="12"/>
        <v>0</v>
      </c>
      <c r="I30" s="31"/>
      <c r="J30" s="257"/>
      <c r="K30" s="257"/>
      <c r="L30" s="257"/>
      <c r="M30" s="257"/>
      <c r="N30" s="257"/>
      <c r="O30" s="256"/>
      <c r="P30" s="256"/>
      <c r="Q30" s="256"/>
      <c r="R30" s="256"/>
      <c r="S30" s="256"/>
      <c r="T30" s="256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17"/>
      <c r="I31" s="17"/>
      <c r="J31" s="257"/>
      <c r="K31" s="240"/>
      <c r="L31" s="258"/>
      <c r="M31" s="258"/>
      <c r="N31" s="258"/>
      <c r="O31" s="258"/>
      <c r="P31" s="256"/>
      <c r="Q31" s="256"/>
      <c r="R31" s="256"/>
      <c r="S31" s="256"/>
      <c r="T31" s="256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257"/>
      <c r="K32" s="240"/>
      <c r="L32" s="258"/>
      <c r="M32" s="258"/>
      <c r="N32" s="258"/>
      <c r="O32" s="258"/>
      <c r="P32" s="256"/>
      <c r="Q32" s="256"/>
      <c r="R32" s="256"/>
      <c r="S32" s="256"/>
      <c r="T32" s="256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257"/>
      <c r="K33" s="240"/>
      <c r="L33" s="258"/>
      <c r="M33" s="258"/>
      <c r="N33" s="258"/>
      <c r="O33" s="258"/>
      <c r="P33" s="256"/>
      <c r="Q33" s="256"/>
      <c r="R33" s="256"/>
      <c r="S33" s="256"/>
      <c r="T33" s="256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17">
        <f t="shared" ref="H34:H53" si="17">F34/E34*100</f>
        <v>100</v>
      </c>
      <c r="I34" s="31"/>
      <c r="J34" s="257"/>
      <c r="K34" s="46"/>
      <c r="L34" s="46"/>
      <c r="M34" s="46"/>
      <c r="N34" s="46"/>
      <c r="O34" s="46"/>
      <c r="P34" s="256"/>
      <c r="Q34" s="256"/>
      <c r="R34" s="256"/>
      <c r="S34" s="256"/>
      <c r="T34" s="256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257"/>
      <c r="K35" s="46"/>
      <c r="L35" s="46"/>
      <c r="M35" s="46"/>
      <c r="N35" s="46"/>
      <c r="O35" s="46"/>
      <c r="P35" s="256"/>
      <c r="Q35" s="256"/>
      <c r="R35" s="256"/>
      <c r="S35" s="256"/>
      <c r="T35" s="256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3.6850000000000001</v>
      </c>
      <c r="E36" s="31">
        <f t="shared" si="18"/>
        <v>3.69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257"/>
      <c r="K36" s="46"/>
      <c r="L36" s="46"/>
      <c r="M36" s="46"/>
      <c r="N36" s="46"/>
      <c r="O36" s="46"/>
      <c r="P36" s="256"/>
      <c r="Q36" s="256"/>
      <c r="R36" s="256"/>
      <c r="S36" s="256"/>
      <c r="T36" s="256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76.8</v>
      </c>
      <c r="E37" s="17">
        <v>67.650000000000006</v>
      </c>
      <c r="F37" s="17">
        <v>67.650000000000006</v>
      </c>
      <c r="G37" s="17">
        <v>67.650000000000006</v>
      </c>
      <c r="H37" s="17">
        <f t="shared" si="17"/>
        <v>100</v>
      </c>
      <c r="I37" s="17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33"/>
      <c r="X37" s="33"/>
      <c r="Y37" s="33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7"/>
        <v>0</v>
      </c>
      <c r="I38" s="31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33"/>
      <c r="X38" s="33"/>
      <c r="Y38" s="33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19">D37*D38/10</f>
        <v>1056</v>
      </c>
      <c r="E39" s="31">
        <f t="shared" si="19"/>
        <v>947.1</v>
      </c>
      <c r="F39" s="31">
        <f t="shared" si="19"/>
        <v>0</v>
      </c>
      <c r="G39" s="31">
        <f t="shared" si="19"/>
        <v>0</v>
      </c>
      <c r="H39" s="17">
        <f t="shared" si="17"/>
        <v>0</v>
      </c>
      <c r="I39" s="31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33"/>
      <c r="X39" s="33"/>
      <c r="Y39" s="33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7"/>
        <v>0</v>
      </c>
      <c r="I40" s="31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33"/>
      <c r="X40" s="33"/>
      <c r="Y40" s="33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7"/>
        <v>0</v>
      </c>
      <c r="I41" s="31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33"/>
      <c r="X41" s="33"/>
      <c r="Y41" s="33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>
        <f t="shared" ref="D42:G42" si="20">D40*D41/10</f>
        <v>1.25</v>
      </c>
      <c r="E42" s="31">
        <f t="shared" si="20"/>
        <v>1.2050000000000001</v>
      </c>
      <c r="F42" s="31">
        <f t="shared" si="20"/>
        <v>0</v>
      </c>
      <c r="G42" s="31">
        <f t="shared" si="20"/>
        <v>0</v>
      </c>
      <c r="H42" s="17">
        <f t="shared" si="17"/>
        <v>0</v>
      </c>
      <c r="I42" s="31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33"/>
      <c r="X42" s="33"/>
      <c r="Y42" s="33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7"/>
        <v>54</v>
      </c>
      <c r="I43" s="17"/>
      <c r="J43" s="137"/>
      <c r="K43" s="35"/>
      <c r="L43" s="84"/>
      <c r="M43" s="84"/>
      <c r="N43" s="84"/>
      <c r="O43" s="84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7"/>
        <v>0</v>
      </c>
      <c r="I44" s="31"/>
      <c r="J44" s="137"/>
      <c r="K44" s="35"/>
      <c r="L44" s="28"/>
      <c r="M44" s="28"/>
      <c r="N44" s="28"/>
      <c r="O44" s="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9" t="s">
        <v>27</v>
      </c>
      <c r="C45" s="50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17">
        <f t="shared" si="17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19.87</v>
      </c>
      <c r="E46" s="17">
        <f t="shared" si="22"/>
        <v>28.97</v>
      </c>
      <c r="F46" s="17">
        <f t="shared" si="22"/>
        <v>19.27</v>
      </c>
      <c r="G46" s="17">
        <f t="shared" si="22"/>
        <v>19.27</v>
      </c>
      <c r="H46" s="17">
        <f t="shared" si="17"/>
        <v>66.517086641353131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3">D48+D49</f>
        <v>8.56</v>
      </c>
      <c r="E47" s="17">
        <f t="shared" si="23"/>
        <v>17.66</v>
      </c>
      <c r="F47" s="17">
        <f t="shared" si="23"/>
        <v>8.56</v>
      </c>
      <c r="G47" s="17">
        <f t="shared" si="23"/>
        <v>8.56</v>
      </c>
      <c r="H47" s="17">
        <f t="shared" si="17"/>
        <v>48.471121177802942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9" t="s">
        <v>32</v>
      </c>
      <c r="B48" s="60" t="s">
        <v>45</v>
      </c>
      <c r="C48" s="61" t="s">
        <v>18</v>
      </c>
      <c r="D48" s="31">
        <v>7.5</v>
      </c>
      <c r="E48" s="31">
        <f>D48+D49</f>
        <v>8.56</v>
      </c>
      <c r="F48" s="31">
        <v>8.56</v>
      </c>
      <c r="G48" s="31">
        <v>8.56</v>
      </c>
      <c r="H48" s="31">
        <f t="shared" si="17"/>
        <v>100</v>
      </c>
      <c r="I48" s="31"/>
      <c r="J48" s="55"/>
      <c r="K48" s="55"/>
      <c r="L48" s="55"/>
      <c r="M48" s="55"/>
      <c r="N48" s="55"/>
      <c r="O48" s="3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4">D50+D51</f>
        <v>1.06</v>
      </c>
      <c r="E49" s="17">
        <f t="shared" si="24"/>
        <v>9.1</v>
      </c>
      <c r="F49" s="17">
        <f t="shared" si="24"/>
        <v>0</v>
      </c>
      <c r="G49" s="17">
        <f t="shared" si="24"/>
        <v>0</v>
      </c>
      <c r="H49" s="17">
        <f t="shared" si="17"/>
        <v>0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61" t="s">
        <v>47</v>
      </c>
      <c r="B50" s="66" t="s">
        <v>269</v>
      </c>
      <c r="C50" s="61" t="s">
        <v>18</v>
      </c>
      <c r="D50" s="31"/>
      <c r="E50" s="31">
        <f>6.6</f>
        <v>6.6</v>
      </c>
      <c r="F50" s="31">
        <v>0</v>
      </c>
      <c r="G50" s="31">
        <v>0</v>
      </c>
      <c r="H50" s="17">
        <f t="shared" si="17"/>
        <v>0</v>
      </c>
      <c r="I50" s="31"/>
      <c r="J50" s="137"/>
      <c r="K50" s="137"/>
      <c r="L50" s="137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61" t="s">
        <v>47</v>
      </c>
      <c r="B51" s="66" t="s">
        <v>49</v>
      </c>
      <c r="C51" s="30" t="s">
        <v>18</v>
      </c>
      <c r="D51" s="31">
        <f>0.86+0.2</f>
        <v>1.06</v>
      </c>
      <c r="E51" s="31">
        <f>2+0.5</f>
        <v>2.5</v>
      </c>
      <c r="F51" s="31">
        <v>0</v>
      </c>
      <c r="G51" s="31">
        <v>0</v>
      </c>
      <c r="H51" s="17">
        <f t="shared" si="17"/>
        <v>0</v>
      </c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4.88</v>
      </c>
      <c r="E52" s="17">
        <f t="shared" si="25"/>
        <v>6.375</v>
      </c>
      <c r="F52" s="17">
        <f t="shared" si="25"/>
        <v>6.38</v>
      </c>
      <c r="G52" s="17">
        <f t="shared" si="25"/>
        <v>6.38</v>
      </c>
      <c r="H52" s="17">
        <f t="shared" si="17"/>
        <v>100.07843137254902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71" t="s">
        <v>47</v>
      </c>
      <c r="B53" s="66" t="s">
        <v>51</v>
      </c>
      <c r="C53" s="30" t="s">
        <v>18</v>
      </c>
      <c r="D53" s="31">
        <v>4.88</v>
      </c>
      <c r="E53" s="31">
        <f>D48*85%</f>
        <v>6.375</v>
      </c>
      <c r="F53" s="31">
        <v>6.38</v>
      </c>
      <c r="G53" s="31">
        <v>6.38</v>
      </c>
      <c r="H53" s="31">
        <f t="shared" si="17"/>
        <v>100.07843137254902</v>
      </c>
      <c r="I53" s="31"/>
      <c r="J53" s="137"/>
      <c r="K53" s="137"/>
      <c r="L53" s="238"/>
      <c r="M53" s="137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6" t="s">
        <v>52</v>
      </c>
      <c r="C54" s="30" t="s">
        <v>18</v>
      </c>
      <c r="D54" s="31"/>
      <c r="E54" s="31"/>
      <c r="F54" s="31"/>
      <c r="G54" s="31"/>
      <c r="H54" s="17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6">D56+D57</f>
        <v>5.56</v>
      </c>
      <c r="E55" s="17">
        <f t="shared" si="26"/>
        <v>5.5600000000000005</v>
      </c>
      <c r="F55" s="17">
        <f t="shared" si="26"/>
        <v>4.96</v>
      </c>
      <c r="G55" s="17">
        <f t="shared" si="26"/>
        <v>4.96</v>
      </c>
      <c r="H55" s="17">
        <f t="shared" ref="H55:H65" si="27">F55/E55*100</f>
        <v>89.208633093525165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60" t="s">
        <v>50</v>
      </c>
      <c r="C56" s="30" t="s">
        <v>18</v>
      </c>
      <c r="D56" s="31">
        <v>4.5599999999999996</v>
      </c>
      <c r="E56" s="31">
        <f>D56+E58</f>
        <v>4.96</v>
      </c>
      <c r="F56" s="31">
        <v>4.96</v>
      </c>
      <c r="G56" s="31">
        <v>4.96</v>
      </c>
      <c r="H56" s="31">
        <f t="shared" si="27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8">D58+D61</f>
        <v>1</v>
      </c>
      <c r="E57" s="31">
        <f t="shared" si="28"/>
        <v>0.60000000000000009</v>
      </c>
      <c r="F57" s="31">
        <f t="shared" si="28"/>
        <v>0</v>
      </c>
      <c r="G57" s="31">
        <f t="shared" si="28"/>
        <v>0</v>
      </c>
      <c r="H57" s="17">
        <f t="shared" si="27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29">D59+D60</f>
        <v>0</v>
      </c>
      <c r="E58" s="76">
        <f t="shared" si="29"/>
        <v>0.4</v>
      </c>
      <c r="F58" s="76">
        <f t="shared" si="29"/>
        <v>0</v>
      </c>
      <c r="G58" s="76">
        <f t="shared" si="29"/>
        <v>0</v>
      </c>
      <c r="H58" s="17">
        <f t="shared" si="27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1.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27"/>
        <v>0</v>
      </c>
      <c r="I59" s="31"/>
      <c r="J59" s="35"/>
      <c r="K59" s="240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0.2</v>
      </c>
      <c r="F60" s="31">
        <v>0</v>
      </c>
      <c r="G60" s="31">
        <v>0</v>
      </c>
      <c r="H60" s="17">
        <f t="shared" si="27"/>
        <v>0</v>
      </c>
      <c r="I60" s="31"/>
      <c r="J60" s="35"/>
      <c r="K60" s="240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0">D62+D63</f>
        <v>1</v>
      </c>
      <c r="E61" s="76">
        <f t="shared" si="30"/>
        <v>0.2</v>
      </c>
      <c r="F61" s="76">
        <f t="shared" si="30"/>
        <v>0</v>
      </c>
      <c r="G61" s="76">
        <f t="shared" si="30"/>
        <v>0</v>
      </c>
      <c r="H61" s="17">
        <f t="shared" si="27"/>
        <v>0</v>
      </c>
      <c r="I61" s="76"/>
      <c r="J61" s="35"/>
      <c r="K61" s="106"/>
      <c r="L61" s="241"/>
      <c r="M61" s="241"/>
      <c r="N61" s="24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1.5" customHeight="1" x14ac:dyDescent="0.25">
      <c r="A62" s="30" t="s">
        <v>47</v>
      </c>
      <c r="B62" s="60" t="s">
        <v>61</v>
      </c>
      <c r="C62" s="30" t="s">
        <v>18</v>
      </c>
      <c r="D62" s="31">
        <v>1</v>
      </c>
      <c r="E62" s="31">
        <v>0.1</v>
      </c>
      <c r="F62" s="31">
        <v>0</v>
      </c>
      <c r="G62" s="31">
        <v>0</v>
      </c>
      <c r="H62" s="17">
        <f t="shared" si="27"/>
        <v>0</v>
      </c>
      <c r="I62" s="31"/>
      <c r="J62" s="35"/>
      <c r="K62" s="240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7"/>
        <v>0</v>
      </c>
      <c r="I63" s="31"/>
      <c r="J63" s="35"/>
      <c r="K63" s="240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1">D65+D66</f>
        <v>5.75</v>
      </c>
      <c r="E64" s="17">
        <f t="shared" si="31"/>
        <v>5.75</v>
      </c>
      <c r="F64" s="17">
        <f t="shared" si="31"/>
        <v>5.75</v>
      </c>
      <c r="G64" s="17">
        <f t="shared" si="31"/>
        <v>5.75</v>
      </c>
      <c r="H64" s="17">
        <f t="shared" si="27"/>
        <v>100</v>
      </c>
      <c r="I64" s="17"/>
      <c r="J64" s="137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60" t="s">
        <v>45</v>
      </c>
      <c r="C65" s="30" t="s">
        <v>18</v>
      </c>
      <c r="D65" s="31">
        <v>5.75</v>
      </c>
      <c r="E65" s="31">
        <v>5.75</v>
      </c>
      <c r="F65" s="31">
        <v>5.75</v>
      </c>
      <c r="G65" s="31">
        <v>5.75</v>
      </c>
      <c r="H65" s="31">
        <f t="shared" si="27"/>
        <v>100</v>
      </c>
      <c r="I65" s="31"/>
      <c r="J65" s="137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2">D68+D71</f>
        <v>21.9</v>
      </c>
      <c r="E67" s="17">
        <f t="shared" si="32"/>
        <v>19</v>
      </c>
      <c r="F67" s="17">
        <f t="shared" si="32"/>
        <v>18.8</v>
      </c>
      <c r="G67" s="17">
        <f t="shared" si="32"/>
        <v>18.8</v>
      </c>
      <c r="H67" s="17">
        <f>F67/E67*100</f>
        <v>98.947368421052644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3">D69+D70</f>
        <v>0</v>
      </c>
      <c r="E68" s="17">
        <f t="shared" si="33"/>
        <v>0</v>
      </c>
      <c r="F68" s="17">
        <f t="shared" si="33"/>
        <v>0</v>
      </c>
      <c r="G68" s="17">
        <f t="shared" si="33"/>
        <v>0</v>
      </c>
      <c r="H68" s="17"/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17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60" t="s">
        <v>70</v>
      </c>
      <c r="C70" s="30" t="s">
        <v>18</v>
      </c>
      <c r="D70" s="31"/>
      <c r="E70" s="31"/>
      <c r="F70" s="31"/>
      <c r="G70" s="31"/>
      <c r="H70" s="17"/>
      <c r="I70" s="31"/>
      <c r="J70" s="137"/>
      <c r="K70" s="137"/>
      <c r="L70" s="137"/>
      <c r="M70" s="137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4">D72+D73</f>
        <v>21.9</v>
      </c>
      <c r="E71" s="17">
        <f t="shared" si="34"/>
        <v>19</v>
      </c>
      <c r="F71" s="17">
        <f t="shared" si="34"/>
        <v>18.8</v>
      </c>
      <c r="G71" s="17">
        <f t="shared" si="34"/>
        <v>18.8</v>
      </c>
      <c r="H71" s="17">
        <f t="shared" ref="H71:H75" si="35">F71/E71*100</f>
        <v>98.947368421052644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6">D75+D82</f>
        <v>21.4</v>
      </c>
      <c r="E72" s="91">
        <f t="shared" si="36"/>
        <v>18.8</v>
      </c>
      <c r="F72" s="91">
        <f t="shared" si="36"/>
        <v>18.8</v>
      </c>
      <c r="G72" s="91">
        <f t="shared" si="36"/>
        <v>18.8</v>
      </c>
      <c r="H72" s="17">
        <f t="shared" si="35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7">D76+D83</f>
        <v>0.5</v>
      </c>
      <c r="E73" s="17">
        <f t="shared" si="37"/>
        <v>0.2</v>
      </c>
      <c r="F73" s="17">
        <f t="shared" si="37"/>
        <v>0</v>
      </c>
      <c r="G73" s="17">
        <f t="shared" si="37"/>
        <v>0</v>
      </c>
      <c r="H73" s="17">
        <f t="shared" si="35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38">D75+D76</f>
        <v>17.8</v>
      </c>
      <c r="E74" s="96">
        <f t="shared" si="38"/>
        <v>15.8</v>
      </c>
      <c r="F74" s="96">
        <f t="shared" si="38"/>
        <v>15.8</v>
      </c>
      <c r="G74" s="96">
        <f t="shared" si="38"/>
        <v>15.8</v>
      </c>
      <c r="H74" s="104">
        <f t="shared" si="35"/>
        <v>100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9" t="s">
        <v>32</v>
      </c>
      <c r="B75" s="98" t="s">
        <v>45</v>
      </c>
      <c r="C75" s="30" t="s">
        <v>18</v>
      </c>
      <c r="D75" s="62">
        <f>11.34+5.96</f>
        <v>17.3</v>
      </c>
      <c r="E75" s="62">
        <f>17.8-2</f>
        <v>15.8</v>
      </c>
      <c r="F75" s="31">
        <v>15.8</v>
      </c>
      <c r="G75" s="31">
        <v>15.8</v>
      </c>
      <c r="H75" s="31">
        <f t="shared" si="35"/>
        <v>100</v>
      </c>
      <c r="I75" s="31"/>
      <c r="J75" s="137"/>
      <c r="K75" s="137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39">SUM(D77:D80)</f>
        <v>0.5</v>
      </c>
      <c r="E76" s="244">
        <f t="shared" si="39"/>
        <v>0</v>
      </c>
      <c r="F76" s="244">
        <f t="shared" si="39"/>
        <v>0</v>
      </c>
      <c r="G76" s="244">
        <f t="shared" si="39"/>
        <v>0</v>
      </c>
      <c r="H76" s="17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8" t="s">
        <v>47</v>
      </c>
      <c r="B77" s="101" t="s">
        <v>80</v>
      </c>
      <c r="C77" s="48" t="s">
        <v>18</v>
      </c>
      <c r="D77" s="31"/>
      <c r="E77" s="31"/>
      <c r="F77" s="31"/>
      <c r="G77" s="31"/>
      <c r="H77" s="17"/>
      <c r="I77" s="31"/>
      <c r="J77" s="241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31"/>
      <c r="H78" s="17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17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8" t="s">
        <v>47</v>
      </c>
      <c r="B80" s="247" t="s">
        <v>83</v>
      </c>
      <c r="C80" s="48" t="s">
        <v>18</v>
      </c>
      <c r="D80" s="31">
        <v>0.5</v>
      </c>
      <c r="E80" s="31"/>
      <c r="F80" s="31"/>
      <c r="G80" s="31"/>
      <c r="H80" s="17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0">D82+D83</f>
        <v>4.0999999999999996</v>
      </c>
      <c r="E81" s="96">
        <f t="shared" si="40"/>
        <v>3.2</v>
      </c>
      <c r="F81" s="96">
        <f t="shared" si="40"/>
        <v>3</v>
      </c>
      <c r="G81" s="96">
        <f t="shared" si="40"/>
        <v>3</v>
      </c>
      <c r="H81" s="104">
        <f t="shared" ref="H81:H83" si="41">F81/E81*100</f>
        <v>93.75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1.5" customHeight="1" x14ac:dyDescent="0.25">
      <c r="A82" s="117" t="s">
        <v>47</v>
      </c>
      <c r="B82" s="101" t="s">
        <v>85</v>
      </c>
      <c r="C82" s="48" t="s">
        <v>18</v>
      </c>
      <c r="D82" s="76">
        <v>4.0999999999999996</v>
      </c>
      <c r="E82" s="76">
        <v>3</v>
      </c>
      <c r="F82" s="76">
        <v>3</v>
      </c>
      <c r="G82" s="76">
        <v>3</v>
      </c>
      <c r="H82" s="76">
        <f t="shared" si="41"/>
        <v>100</v>
      </c>
      <c r="I82" s="76"/>
      <c r="J82" s="241"/>
      <c r="K82" s="241"/>
      <c r="L82" s="24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1.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2">SUM(D84:D87)</f>
        <v>0</v>
      </c>
      <c r="E83" s="62">
        <f t="shared" si="42"/>
        <v>0.2</v>
      </c>
      <c r="F83" s="62">
        <f t="shared" si="42"/>
        <v>0</v>
      </c>
      <c r="G83" s="62">
        <f t="shared" si="42"/>
        <v>0</v>
      </c>
      <c r="H83" s="17">
        <f t="shared" si="41"/>
        <v>0</v>
      </c>
      <c r="I83" s="62"/>
      <c r="J83" s="241"/>
      <c r="K83" s="241"/>
      <c r="L83" s="241"/>
      <c r="M83" s="241"/>
      <c r="N83" s="24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17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17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17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17" t="s">
        <v>47</v>
      </c>
      <c r="B87" s="101" t="s">
        <v>89</v>
      </c>
      <c r="C87" s="48" t="s">
        <v>18</v>
      </c>
      <c r="D87" s="31"/>
      <c r="E87" s="31">
        <v>0.2</v>
      </c>
      <c r="F87" s="31">
        <v>0</v>
      </c>
      <c r="G87" s="31">
        <v>0</v>
      </c>
      <c r="H87" s="17">
        <f t="shared" ref="H87:H96" si="43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38"/>
      <c r="S87" s="2"/>
      <c r="T87" s="2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4">SUM(D89:D93)</f>
        <v>473</v>
      </c>
      <c r="E88" s="17">
        <f t="shared" si="44"/>
        <v>524</v>
      </c>
      <c r="F88" s="17">
        <f t="shared" si="44"/>
        <v>470</v>
      </c>
      <c r="G88" s="17">
        <f t="shared" si="44"/>
        <v>470</v>
      </c>
      <c r="H88" s="17">
        <f t="shared" si="43"/>
        <v>89.694656488549612</v>
      </c>
      <c r="I88" s="17"/>
      <c r="J88" s="28"/>
      <c r="K88" s="28"/>
      <c r="L88" s="28"/>
      <c r="M88" s="28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42</v>
      </c>
      <c r="E89" s="31">
        <f>70+11</f>
        <v>81</v>
      </c>
      <c r="F89" s="31">
        <v>79</v>
      </c>
      <c r="G89" s="31">
        <f t="shared" ref="G89:G93" si="45">F89</f>
        <v>79</v>
      </c>
      <c r="H89" s="31">
        <f t="shared" si="43"/>
        <v>97.53086419753086</v>
      </c>
      <c r="I89" s="31"/>
      <c r="J89" s="57"/>
      <c r="K89" s="84"/>
      <c r="L89" s="303"/>
      <c r="M89" s="57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71</v>
      </c>
      <c r="E90" s="31">
        <f>75+12</f>
        <v>87</v>
      </c>
      <c r="F90" s="31">
        <v>85</v>
      </c>
      <c r="G90" s="31">
        <f t="shared" si="45"/>
        <v>85</v>
      </c>
      <c r="H90" s="31">
        <f t="shared" si="43"/>
        <v>97.701149425287355</v>
      </c>
      <c r="I90" s="31"/>
      <c r="J90" s="57"/>
      <c r="K90" s="84"/>
      <c r="L90" s="303"/>
      <c r="M90" s="57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41</v>
      </c>
      <c r="E91" s="31">
        <f>44+14</f>
        <v>58</v>
      </c>
      <c r="F91" s="31">
        <v>54</v>
      </c>
      <c r="G91" s="31">
        <f t="shared" si="45"/>
        <v>54</v>
      </c>
      <c r="H91" s="31">
        <f t="shared" si="43"/>
        <v>93.103448275862064</v>
      </c>
      <c r="I91" s="31"/>
      <c r="J91" s="57"/>
      <c r="K91" s="84"/>
      <c r="L91" s="303"/>
      <c r="M91" s="57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1.5" customHeight="1" x14ac:dyDescent="0.25">
      <c r="A92" s="30">
        <v>4</v>
      </c>
      <c r="B92" s="27" t="s">
        <v>99</v>
      </c>
      <c r="C92" s="30" t="s">
        <v>93</v>
      </c>
      <c r="D92" s="31">
        <v>7</v>
      </c>
      <c r="E92" s="31">
        <f>9+2</f>
        <v>11</v>
      </c>
      <c r="F92" s="31">
        <v>9</v>
      </c>
      <c r="G92" s="31">
        <f t="shared" si="45"/>
        <v>9</v>
      </c>
      <c r="H92" s="31">
        <f t="shared" si="43"/>
        <v>81.818181818181827</v>
      </c>
      <c r="I92" s="31"/>
      <c r="J92" s="57"/>
      <c r="K92" s="84"/>
      <c r="L92" s="57"/>
      <c r="M92" s="57"/>
      <c r="N92" s="57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31.5" customHeight="1" x14ac:dyDescent="0.25">
      <c r="A93" s="30">
        <v>5</v>
      </c>
      <c r="B93" s="27" t="s">
        <v>100</v>
      </c>
      <c r="C93" s="30" t="s">
        <v>93</v>
      </c>
      <c r="D93" s="31">
        <v>312</v>
      </c>
      <c r="E93" s="31">
        <f>318-31</f>
        <v>287</v>
      </c>
      <c r="F93" s="31">
        <v>243</v>
      </c>
      <c r="G93" s="31">
        <f t="shared" si="45"/>
        <v>243</v>
      </c>
      <c r="H93" s="31">
        <f t="shared" si="43"/>
        <v>84.668989547038336</v>
      </c>
      <c r="I93" s="31"/>
      <c r="J93" s="84"/>
      <c r="K93" s="84"/>
      <c r="L93" s="301"/>
      <c r="M93" s="57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1.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6">D95</f>
        <v>3.5</v>
      </c>
      <c r="E94" s="17">
        <f t="shared" si="46"/>
        <v>3.5</v>
      </c>
      <c r="F94" s="17">
        <f t="shared" si="46"/>
        <v>3.5</v>
      </c>
      <c r="G94" s="17">
        <f t="shared" si="46"/>
        <v>3.5</v>
      </c>
      <c r="H94" s="17">
        <f t="shared" si="43"/>
        <v>100</v>
      </c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8" t="s">
        <v>47</v>
      </c>
      <c r="B95" s="81" t="s">
        <v>103</v>
      </c>
      <c r="C95" s="48" t="s">
        <v>18</v>
      </c>
      <c r="D95" s="31">
        <v>3.5</v>
      </c>
      <c r="E95" s="31">
        <v>3.5</v>
      </c>
      <c r="F95" s="31">
        <v>3.5</v>
      </c>
      <c r="G95" s="31">
        <v>3.5</v>
      </c>
      <c r="H95" s="31">
        <f t="shared" si="43"/>
        <v>100</v>
      </c>
      <c r="I95" s="31"/>
      <c r="J95" s="35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7">D97+D98</f>
        <v>5.6</v>
      </c>
      <c r="E96" s="17">
        <f t="shared" si="47"/>
        <v>3.55</v>
      </c>
      <c r="F96" s="17">
        <f t="shared" si="47"/>
        <v>0</v>
      </c>
      <c r="G96" s="17">
        <f t="shared" si="47"/>
        <v>0</v>
      </c>
      <c r="H96" s="17">
        <f t="shared" si="43"/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8" t="s">
        <v>270</v>
      </c>
      <c r="C97" s="48" t="s">
        <v>18</v>
      </c>
      <c r="D97" s="31"/>
      <c r="E97" s="31">
        <v>0</v>
      </c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33" t="s">
        <v>47</v>
      </c>
      <c r="B98" s="98" t="s">
        <v>110</v>
      </c>
      <c r="C98" s="48" t="s">
        <v>18</v>
      </c>
      <c r="D98" s="31">
        <v>5.6</v>
      </c>
      <c r="E98" s="31">
        <v>3.55</v>
      </c>
      <c r="F98" s="31"/>
      <c r="G98" s="31"/>
      <c r="H98" s="17">
        <f>F98/E98*100</f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62992125984251968" bottom="0.51181102362204722" header="0" footer="0"/>
  <pageSetup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pane ySplit="7" topLeftCell="A54" activePane="bottomLeft" state="frozen"/>
      <selection pane="bottomLeft" activeCell="S91" sqref="S91"/>
    </sheetView>
  </sheetViews>
  <sheetFormatPr defaultColWidth="11.21875" defaultRowHeight="15" customHeight="1" x14ac:dyDescent="0.25"/>
  <cols>
    <col min="1" max="1" width="4.88671875" customWidth="1"/>
    <col min="2" max="2" width="46.6640625" customWidth="1"/>
    <col min="3" max="3" width="9.21875" customWidth="1"/>
    <col min="4" max="4" width="10.88671875" customWidth="1"/>
    <col min="5" max="5" width="9.77734375" customWidth="1"/>
    <col min="6" max="9" width="9.21875" customWidth="1"/>
    <col min="10" max="10" width="8" customWidth="1"/>
    <col min="11" max="14" width="8.88671875" hidden="1" customWidth="1"/>
    <col min="15" max="17" width="11.21875" hidden="1" customWidth="1"/>
  </cols>
  <sheetData>
    <row r="1" spans="1:22" ht="15.75" customHeight="1" x14ac:dyDescent="0.25">
      <c r="A1" s="316">
        <v>90</v>
      </c>
      <c r="B1" s="311"/>
      <c r="C1" s="139"/>
      <c r="D1" s="139"/>
      <c r="E1" s="139"/>
      <c r="F1" s="317"/>
      <c r="G1" s="311"/>
      <c r="H1" s="311"/>
      <c r="I1" s="311"/>
      <c r="J1" s="311"/>
      <c r="K1" s="140"/>
      <c r="L1" s="140"/>
      <c r="M1" s="140"/>
      <c r="N1" s="140"/>
      <c r="O1" s="1"/>
      <c r="P1" s="1"/>
      <c r="Q1" s="1"/>
      <c r="R1" s="1"/>
      <c r="S1" s="1"/>
      <c r="T1" s="1"/>
      <c r="U1" s="1"/>
      <c r="V1" s="1"/>
    </row>
    <row r="2" spans="1:22" ht="16.5" customHeight="1" x14ac:dyDescent="0.25">
      <c r="A2" s="318" t="s">
        <v>113</v>
      </c>
      <c r="B2" s="311"/>
      <c r="C2" s="311"/>
      <c r="D2" s="311"/>
      <c r="E2" s="311"/>
      <c r="F2" s="311"/>
      <c r="G2" s="311"/>
      <c r="H2" s="311"/>
      <c r="I2" s="311"/>
      <c r="J2" s="311"/>
      <c r="K2" s="140"/>
      <c r="L2" s="140"/>
      <c r="M2" s="140"/>
      <c r="N2" s="140"/>
      <c r="O2" s="1"/>
      <c r="P2" s="1"/>
      <c r="Q2" s="1"/>
      <c r="R2" s="1"/>
      <c r="S2" s="1"/>
      <c r="T2" s="1"/>
      <c r="U2" s="1"/>
      <c r="V2" s="1"/>
    </row>
    <row r="3" spans="1:22" ht="16.5" customHeight="1" x14ac:dyDescent="0.25">
      <c r="A3" s="317" t="str">
        <f>'PL 01'!A3:J3</f>
        <v>(Kèm theo Báo cáo số        /BC-UBND, Ngày      tháng 7 năm 2026 của UBND xã Tu Mơ Rông)</v>
      </c>
      <c r="B3" s="311"/>
      <c r="C3" s="311"/>
      <c r="D3" s="311"/>
      <c r="E3" s="311"/>
      <c r="F3" s="311"/>
      <c r="G3" s="311"/>
      <c r="H3" s="311"/>
      <c r="I3" s="311"/>
      <c r="J3" s="311"/>
      <c r="K3" s="140"/>
      <c r="L3" s="140"/>
      <c r="M3" s="140"/>
      <c r="N3" s="140"/>
      <c r="O3" s="1"/>
      <c r="P3" s="1"/>
      <c r="Q3" s="1"/>
      <c r="R3" s="1"/>
      <c r="S3" s="1"/>
      <c r="T3" s="1"/>
      <c r="U3" s="1"/>
      <c r="V3" s="1"/>
    </row>
    <row r="4" spans="1:22" ht="16.5" customHeight="1" x14ac:dyDescent="0.25">
      <c r="A4" s="141"/>
      <c r="B4" s="141"/>
      <c r="C4" s="141"/>
      <c r="D4" s="141"/>
      <c r="E4" s="141"/>
      <c r="F4" s="142"/>
      <c r="G4" s="142"/>
      <c r="H4" s="142"/>
      <c r="I4" s="142"/>
      <c r="J4" s="143"/>
      <c r="K4" s="140"/>
      <c r="L4" s="140"/>
      <c r="M4" s="140"/>
      <c r="N4" s="140"/>
      <c r="O4" s="1"/>
      <c r="P4" s="1"/>
      <c r="Q4" s="1"/>
      <c r="R4" s="1"/>
      <c r="S4" s="1"/>
      <c r="T4" s="1"/>
      <c r="U4" s="1"/>
      <c r="V4" s="1"/>
    </row>
    <row r="5" spans="1:22" ht="24.75" customHeight="1" x14ac:dyDescent="0.25">
      <c r="A5" s="305" t="s">
        <v>114</v>
      </c>
      <c r="B5" s="319" t="s">
        <v>4</v>
      </c>
      <c r="C5" s="319" t="s">
        <v>115</v>
      </c>
      <c r="D5" s="305" t="s">
        <v>6</v>
      </c>
      <c r="E5" s="305" t="s">
        <v>116</v>
      </c>
      <c r="F5" s="307" t="s">
        <v>8</v>
      </c>
      <c r="G5" s="308"/>
      <c r="H5" s="308"/>
      <c r="I5" s="309"/>
      <c r="J5" s="320" t="s">
        <v>117</v>
      </c>
      <c r="K5" s="140"/>
      <c r="L5" s="140"/>
      <c r="M5" s="140"/>
      <c r="N5" s="140"/>
      <c r="O5" s="1"/>
      <c r="P5" s="1"/>
      <c r="Q5" s="1"/>
      <c r="R5" s="1"/>
      <c r="S5" s="1"/>
      <c r="T5" s="1"/>
      <c r="U5" s="1"/>
      <c r="V5" s="1"/>
    </row>
    <row r="6" spans="1:22" ht="64.5" customHeight="1" x14ac:dyDescent="0.25">
      <c r="A6" s="306"/>
      <c r="B6" s="306"/>
      <c r="C6" s="306"/>
      <c r="D6" s="315"/>
      <c r="E6" s="306"/>
      <c r="F6" s="14" t="s">
        <v>11</v>
      </c>
      <c r="G6" s="14" t="s">
        <v>12</v>
      </c>
      <c r="H6" s="14" t="s">
        <v>13</v>
      </c>
      <c r="I6" s="14" t="s">
        <v>14</v>
      </c>
      <c r="J6" s="321"/>
      <c r="K6" s="140"/>
      <c r="L6" s="140"/>
      <c r="M6" s="140"/>
      <c r="N6" s="140"/>
      <c r="O6" s="1"/>
      <c r="P6" s="1"/>
      <c r="Q6" s="1"/>
      <c r="R6" s="1"/>
      <c r="S6" s="1"/>
      <c r="T6" s="1"/>
      <c r="U6" s="1"/>
      <c r="V6" s="1"/>
    </row>
    <row r="7" spans="1:22" ht="16.5" customHeight="1" x14ac:dyDescent="0.25">
      <c r="A7" s="144">
        <v>1</v>
      </c>
      <c r="B7" s="145" t="s">
        <v>118</v>
      </c>
      <c r="C7" s="144" t="s">
        <v>119</v>
      </c>
      <c r="D7" s="146">
        <v>45000</v>
      </c>
      <c r="E7" s="146"/>
      <c r="F7" s="147">
        <v>25425</v>
      </c>
      <c r="G7" s="146"/>
      <c r="H7" s="144"/>
      <c r="I7" s="146">
        <f>G7/F7*100</f>
        <v>0</v>
      </c>
      <c r="J7" s="148"/>
      <c r="K7" s="149"/>
      <c r="L7" s="149"/>
      <c r="M7" s="149"/>
      <c r="N7" s="149"/>
      <c r="O7" s="150"/>
      <c r="P7" s="150"/>
      <c r="Q7" s="150"/>
      <c r="R7" s="150"/>
      <c r="S7" s="150"/>
      <c r="T7" s="150"/>
      <c r="U7" s="150"/>
      <c r="V7" s="150"/>
    </row>
    <row r="8" spans="1:22" ht="26.25" customHeight="1" x14ac:dyDescent="0.25">
      <c r="A8" s="151" t="s">
        <v>47</v>
      </c>
      <c r="B8" s="152" t="s">
        <v>120</v>
      </c>
      <c r="C8" s="151" t="s">
        <v>96</v>
      </c>
      <c r="D8" s="153">
        <v>0.02</v>
      </c>
      <c r="E8" s="153"/>
      <c r="F8" s="154" t="s">
        <v>121</v>
      </c>
      <c r="G8" s="155"/>
      <c r="H8" s="156"/>
      <c r="I8" s="157"/>
      <c r="J8" s="158" t="s">
        <v>122</v>
      </c>
      <c r="K8" s="159"/>
      <c r="L8" s="159"/>
      <c r="M8" s="159"/>
      <c r="N8" s="159"/>
      <c r="O8" s="160"/>
      <c r="P8" s="160"/>
      <c r="Q8" s="160"/>
      <c r="R8" s="160"/>
      <c r="S8" s="160"/>
      <c r="T8" s="160"/>
      <c r="U8" s="160"/>
      <c r="V8" s="160"/>
    </row>
    <row r="9" spans="1:22" ht="16.5" customHeight="1" x14ac:dyDescent="0.25">
      <c r="A9" s="161">
        <v>2</v>
      </c>
      <c r="B9" s="162" t="s">
        <v>123</v>
      </c>
      <c r="C9" s="144" t="s">
        <v>96</v>
      </c>
      <c r="D9" s="163">
        <v>0.1</v>
      </c>
      <c r="E9" s="163"/>
      <c r="F9" s="163">
        <v>0.1</v>
      </c>
      <c r="G9" s="146"/>
      <c r="H9" s="144"/>
      <c r="I9" s="157">
        <f>G9/F9*100</f>
        <v>0</v>
      </c>
      <c r="J9" s="157"/>
      <c r="K9" s="164"/>
      <c r="L9" s="164"/>
      <c r="M9" s="164"/>
      <c r="N9" s="164"/>
      <c r="O9" s="165"/>
      <c r="P9" s="165"/>
      <c r="Q9" s="165"/>
      <c r="R9" s="165"/>
      <c r="S9" s="165"/>
      <c r="T9" s="165"/>
      <c r="U9" s="165"/>
      <c r="V9" s="165"/>
    </row>
    <row r="10" spans="1:22" ht="16.5" customHeight="1" x14ac:dyDescent="0.25">
      <c r="A10" s="144">
        <v>3</v>
      </c>
      <c r="B10" s="166" t="s">
        <v>124</v>
      </c>
      <c r="C10" s="167"/>
      <c r="D10" s="168"/>
      <c r="E10" s="168"/>
      <c r="F10" s="169"/>
      <c r="G10" s="170"/>
      <c r="H10" s="171"/>
      <c r="I10" s="146"/>
      <c r="J10" s="148"/>
      <c r="K10" s="149"/>
      <c r="L10" s="149"/>
      <c r="M10" s="149"/>
      <c r="N10" s="149"/>
      <c r="O10" s="172"/>
      <c r="P10" s="172"/>
      <c r="Q10" s="172"/>
      <c r="R10" s="172"/>
      <c r="S10" s="172"/>
      <c r="T10" s="172"/>
      <c r="U10" s="172"/>
      <c r="V10" s="172"/>
    </row>
    <row r="11" spans="1:22" ht="16.5" customHeight="1" x14ac:dyDescent="0.25">
      <c r="A11" s="173" t="s">
        <v>47</v>
      </c>
      <c r="B11" s="174" t="s">
        <v>125</v>
      </c>
      <c r="C11" s="175" t="s">
        <v>126</v>
      </c>
      <c r="D11" s="176">
        <v>6413</v>
      </c>
      <c r="E11" s="176"/>
      <c r="F11" s="176">
        <v>6500</v>
      </c>
      <c r="G11" s="177">
        <v>6212</v>
      </c>
      <c r="H11" s="176">
        <v>6212</v>
      </c>
      <c r="I11" s="157">
        <f t="shared" ref="I11:I15" si="0">G11/F11*100</f>
        <v>95.569230769230771</v>
      </c>
      <c r="J11" s="178"/>
      <c r="K11" s="179"/>
      <c r="L11" s="179"/>
      <c r="M11" s="179"/>
      <c r="N11" s="179"/>
      <c r="O11" s="172"/>
      <c r="P11" s="172"/>
      <c r="Q11" s="172"/>
      <c r="R11" s="172"/>
      <c r="S11" s="172"/>
      <c r="T11" s="172"/>
      <c r="U11" s="172"/>
      <c r="V11" s="172"/>
    </row>
    <row r="12" spans="1:22" ht="16.5" customHeight="1" x14ac:dyDescent="0.25">
      <c r="A12" s="173" t="s">
        <v>47</v>
      </c>
      <c r="B12" s="174" t="s">
        <v>127</v>
      </c>
      <c r="C12" s="173" t="s">
        <v>112</v>
      </c>
      <c r="D12" s="176">
        <v>6399</v>
      </c>
      <c r="E12" s="176"/>
      <c r="F12" s="176">
        <v>6584</v>
      </c>
      <c r="G12" s="177">
        <v>6288</v>
      </c>
      <c r="H12" s="176">
        <v>6364</v>
      </c>
      <c r="I12" s="157">
        <f t="shared" si="0"/>
        <v>95.504252733900358</v>
      </c>
      <c r="J12" s="178"/>
      <c r="K12" s="179"/>
      <c r="L12" s="179"/>
      <c r="M12" s="179"/>
      <c r="N12" s="179"/>
      <c r="O12" s="172"/>
      <c r="P12" s="172"/>
      <c r="Q12" s="172"/>
      <c r="R12" s="172"/>
      <c r="S12" s="172"/>
      <c r="T12" s="172"/>
      <c r="U12" s="172"/>
      <c r="V12" s="172"/>
    </row>
    <row r="13" spans="1:22" ht="16.5" customHeight="1" x14ac:dyDescent="0.25">
      <c r="A13" s="173" t="s">
        <v>47</v>
      </c>
      <c r="B13" s="174" t="s">
        <v>128</v>
      </c>
      <c r="C13" s="173" t="s">
        <v>112</v>
      </c>
      <c r="D13" s="176">
        <f>(D11+D12)/2</f>
        <v>6406</v>
      </c>
      <c r="E13" s="176">
        <v>6542</v>
      </c>
      <c r="F13" s="176">
        <v>6542</v>
      </c>
      <c r="G13" s="177">
        <f t="shared" ref="G13:H13" si="1">(G11+G12)/2</f>
        <v>6250</v>
      </c>
      <c r="H13" s="177">
        <f t="shared" si="1"/>
        <v>6288</v>
      </c>
      <c r="I13" s="157">
        <f t="shared" si="0"/>
        <v>95.536533170284315</v>
      </c>
      <c r="J13" s="178"/>
      <c r="K13" s="179"/>
      <c r="L13" s="179"/>
      <c r="M13" s="179"/>
      <c r="N13" s="179"/>
      <c r="O13" s="172"/>
      <c r="P13" s="172"/>
      <c r="Q13" s="172"/>
      <c r="R13" s="172"/>
      <c r="S13" s="172"/>
      <c r="T13" s="172"/>
      <c r="U13" s="172"/>
      <c r="V13" s="172"/>
    </row>
    <row r="14" spans="1:22" ht="16.5" hidden="1" customHeight="1" x14ac:dyDescent="0.25">
      <c r="A14" s="173" t="s">
        <v>47</v>
      </c>
      <c r="B14" s="178" t="s">
        <v>20</v>
      </c>
      <c r="C14" s="173" t="s">
        <v>21</v>
      </c>
      <c r="D14" s="176">
        <v>777.87</v>
      </c>
      <c r="E14" s="176"/>
      <c r="F14" s="176">
        <v>1.3</v>
      </c>
      <c r="G14" s="177"/>
      <c r="H14" s="176"/>
      <c r="I14" s="157">
        <f t="shared" si="0"/>
        <v>0</v>
      </c>
      <c r="J14" s="322"/>
      <c r="K14" s="179"/>
      <c r="L14" s="179"/>
      <c r="M14" s="179"/>
      <c r="N14" s="179"/>
      <c r="O14" s="172"/>
      <c r="P14" s="165"/>
      <c r="Q14" s="165"/>
      <c r="R14" s="172"/>
      <c r="S14" s="172"/>
      <c r="T14" s="172"/>
      <c r="U14" s="172"/>
      <c r="V14" s="172"/>
    </row>
    <row r="15" spans="1:22" ht="16.5" hidden="1" customHeight="1" x14ac:dyDescent="0.25">
      <c r="A15" s="173" t="s">
        <v>47</v>
      </c>
      <c r="B15" s="174" t="s">
        <v>129</v>
      </c>
      <c r="C15" s="173" t="s">
        <v>130</v>
      </c>
      <c r="D15" s="176">
        <f>D14/D13*1000</f>
        <v>121.42834842335311</v>
      </c>
      <c r="E15" s="176"/>
      <c r="F15" s="176">
        <v>789.0181</v>
      </c>
      <c r="G15" s="177"/>
      <c r="H15" s="176"/>
      <c r="I15" s="157">
        <f t="shared" si="0"/>
        <v>0</v>
      </c>
      <c r="J15" s="306"/>
      <c r="K15" s="179"/>
      <c r="L15" s="179"/>
      <c r="M15" s="179"/>
      <c r="N15" s="179"/>
      <c r="O15" s="172"/>
      <c r="P15" s="165"/>
      <c r="Q15" s="165"/>
      <c r="R15" s="172"/>
      <c r="S15" s="172"/>
      <c r="T15" s="172"/>
      <c r="U15" s="172"/>
      <c r="V15" s="172"/>
    </row>
    <row r="16" spans="1:22" ht="16.5" hidden="1" customHeight="1" x14ac:dyDescent="0.25">
      <c r="A16" s="173" t="s">
        <v>47</v>
      </c>
      <c r="B16" s="174" t="s">
        <v>131</v>
      </c>
      <c r="C16" s="173" t="s">
        <v>132</v>
      </c>
      <c r="D16" s="176">
        <v>70</v>
      </c>
      <c r="E16" s="176"/>
      <c r="F16" s="176"/>
      <c r="G16" s="177"/>
      <c r="H16" s="176"/>
      <c r="I16" s="157"/>
      <c r="J16" s="322"/>
      <c r="K16" s="179"/>
      <c r="L16" s="179"/>
      <c r="M16" s="179"/>
      <c r="N16" s="179"/>
      <c r="O16" s="172"/>
      <c r="P16" s="172"/>
      <c r="Q16" s="172"/>
      <c r="R16" s="172"/>
      <c r="S16" s="172"/>
      <c r="T16" s="172"/>
      <c r="U16" s="172"/>
      <c r="V16" s="172"/>
    </row>
    <row r="17" spans="1:22" ht="16.5" hidden="1" customHeight="1" x14ac:dyDescent="0.25">
      <c r="A17" s="173" t="s">
        <v>47</v>
      </c>
      <c r="B17" s="174" t="s">
        <v>133</v>
      </c>
      <c r="C17" s="173" t="s">
        <v>96</v>
      </c>
      <c r="D17" s="176">
        <v>106</v>
      </c>
      <c r="E17" s="176"/>
      <c r="F17" s="176">
        <v>70</v>
      </c>
      <c r="G17" s="177"/>
      <c r="H17" s="176"/>
      <c r="I17" s="157">
        <f>G17/F17*100</f>
        <v>0</v>
      </c>
      <c r="J17" s="306"/>
      <c r="K17" s="179"/>
      <c r="L17" s="179"/>
      <c r="M17" s="179"/>
      <c r="N17" s="179"/>
      <c r="O17" s="172"/>
      <c r="P17" s="172"/>
      <c r="Q17" s="172"/>
      <c r="R17" s="172"/>
      <c r="S17" s="172"/>
      <c r="T17" s="172"/>
      <c r="U17" s="172"/>
      <c r="V17" s="172"/>
    </row>
    <row r="18" spans="1:22" ht="16.5" customHeight="1" x14ac:dyDescent="0.25">
      <c r="A18" s="144">
        <v>4</v>
      </c>
      <c r="B18" s="180" t="s">
        <v>134</v>
      </c>
      <c r="C18" s="169"/>
      <c r="D18" s="176"/>
      <c r="E18" s="176"/>
      <c r="F18" s="176"/>
      <c r="G18" s="176"/>
      <c r="H18" s="176"/>
      <c r="I18" s="157"/>
      <c r="J18" s="178"/>
      <c r="K18" s="179"/>
      <c r="L18" s="179"/>
      <c r="M18" s="179"/>
      <c r="N18" s="179"/>
      <c r="O18" s="172"/>
      <c r="P18" s="172"/>
      <c r="Q18" s="172"/>
      <c r="R18" s="172"/>
      <c r="S18" s="172"/>
      <c r="T18" s="172"/>
      <c r="U18" s="172"/>
      <c r="V18" s="172"/>
    </row>
    <row r="19" spans="1:22" ht="16.5" customHeight="1" x14ac:dyDescent="0.25">
      <c r="A19" s="173" t="s">
        <v>47</v>
      </c>
      <c r="B19" s="181" t="s">
        <v>135</v>
      </c>
      <c r="C19" s="173" t="s">
        <v>96</v>
      </c>
      <c r="D19" s="176">
        <v>65</v>
      </c>
      <c r="E19" s="176"/>
      <c r="F19" s="176">
        <v>62</v>
      </c>
      <c r="G19" s="176">
        <v>23</v>
      </c>
      <c r="H19" s="176">
        <v>40</v>
      </c>
      <c r="I19" s="157">
        <f t="shared" ref="I19:I22" si="2">G19/F19*100</f>
        <v>37.096774193548384</v>
      </c>
      <c r="J19" s="323"/>
      <c r="K19" s="179"/>
      <c r="L19" s="179"/>
      <c r="M19" s="179"/>
      <c r="N19" s="179"/>
      <c r="O19" s="172"/>
      <c r="P19" s="172"/>
      <c r="Q19" s="172"/>
      <c r="R19" s="172"/>
      <c r="S19" s="172"/>
      <c r="T19" s="172"/>
      <c r="U19" s="172"/>
      <c r="V19" s="172"/>
    </row>
    <row r="20" spans="1:22" ht="16.5" customHeight="1" x14ac:dyDescent="0.25">
      <c r="A20" s="151"/>
      <c r="B20" s="182" t="s">
        <v>136</v>
      </c>
      <c r="C20" s="151" t="s">
        <v>96</v>
      </c>
      <c r="D20" s="176">
        <v>18</v>
      </c>
      <c r="E20" s="176"/>
      <c r="F20" s="176">
        <v>18</v>
      </c>
      <c r="G20" s="176">
        <v>0</v>
      </c>
      <c r="H20" s="176">
        <v>0</v>
      </c>
      <c r="I20" s="157">
        <f t="shared" si="2"/>
        <v>0</v>
      </c>
      <c r="J20" s="315"/>
      <c r="K20" s="179"/>
      <c r="L20" s="179"/>
      <c r="M20" s="179"/>
      <c r="N20" s="179"/>
      <c r="O20" s="172"/>
      <c r="P20" s="172"/>
      <c r="Q20" s="172"/>
      <c r="R20" s="172"/>
      <c r="S20" s="172"/>
      <c r="T20" s="172"/>
      <c r="U20" s="172"/>
      <c r="V20" s="172"/>
    </row>
    <row r="21" spans="1:22" ht="16.5" customHeight="1" x14ac:dyDescent="0.25">
      <c r="A21" s="173" t="s">
        <v>47</v>
      </c>
      <c r="B21" s="181" t="s">
        <v>137</v>
      </c>
      <c r="C21" s="173" t="s">
        <v>126</v>
      </c>
      <c r="D21" s="176">
        <v>3605</v>
      </c>
      <c r="E21" s="176"/>
      <c r="F21" s="176">
        <v>3630</v>
      </c>
      <c r="G21" s="176">
        <v>3630</v>
      </c>
      <c r="H21" s="176">
        <v>3630</v>
      </c>
      <c r="I21" s="157">
        <f t="shared" si="2"/>
        <v>100</v>
      </c>
      <c r="J21" s="315"/>
      <c r="K21" s="179"/>
      <c r="L21" s="179"/>
      <c r="M21" s="179"/>
      <c r="N21" s="179"/>
      <c r="O21" s="172"/>
      <c r="P21" s="172"/>
      <c r="Q21" s="172"/>
      <c r="R21" s="172"/>
      <c r="S21" s="172"/>
      <c r="T21" s="172"/>
      <c r="U21" s="172"/>
      <c r="V21" s="172"/>
    </row>
    <row r="22" spans="1:22" ht="18" customHeight="1" x14ac:dyDescent="0.25">
      <c r="A22" s="173" t="s">
        <v>47</v>
      </c>
      <c r="B22" s="183" t="s">
        <v>138</v>
      </c>
      <c r="C22" s="173" t="s">
        <v>96</v>
      </c>
      <c r="D22" s="176">
        <f>D21/D13*100</f>
        <v>56.275366843584138</v>
      </c>
      <c r="E22" s="176"/>
      <c r="F22" s="176">
        <v>55.13</v>
      </c>
      <c r="G22" s="176">
        <v>55</v>
      </c>
      <c r="H22" s="176">
        <v>56</v>
      </c>
      <c r="I22" s="157">
        <f t="shared" si="2"/>
        <v>99.76419372392526</v>
      </c>
      <c r="J22" s="306"/>
      <c r="K22" s="179"/>
      <c r="L22" s="179"/>
      <c r="M22" s="179"/>
      <c r="N22" s="179"/>
      <c r="O22" s="184"/>
      <c r="P22" s="184"/>
      <c r="Q22" s="184"/>
      <c r="R22" s="184"/>
      <c r="S22" s="184"/>
      <c r="T22" s="184"/>
      <c r="U22" s="184"/>
      <c r="V22" s="184"/>
    </row>
    <row r="23" spans="1:22" ht="16.5" customHeight="1" x14ac:dyDescent="0.25">
      <c r="A23" s="169">
        <v>5</v>
      </c>
      <c r="B23" s="185" t="s">
        <v>139</v>
      </c>
      <c r="C23" s="169"/>
      <c r="D23" s="176"/>
      <c r="E23" s="176"/>
      <c r="F23" s="176"/>
      <c r="G23" s="186"/>
      <c r="H23" s="176"/>
      <c r="I23" s="157"/>
      <c r="J23" s="178"/>
      <c r="K23" s="179"/>
      <c r="L23" s="179"/>
      <c r="M23" s="179"/>
      <c r="N23" s="179"/>
      <c r="O23" s="172"/>
      <c r="P23" s="172"/>
      <c r="Q23" s="172"/>
      <c r="R23" s="172"/>
      <c r="S23" s="172"/>
      <c r="T23" s="172"/>
      <c r="U23" s="172"/>
      <c r="V23" s="172"/>
    </row>
    <row r="24" spans="1:22" ht="16.5" customHeight="1" x14ac:dyDescent="0.25">
      <c r="A24" s="187" t="s">
        <v>32</v>
      </c>
      <c r="B24" s="188" t="s">
        <v>10</v>
      </c>
      <c r="C24" s="173" t="s">
        <v>140</v>
      </c>
      <c r="D24" s="189">
        <v>1329</v>
      </c>
      <c r="E24" s="189">
        <v>1341</v>
      </c>
      <c r="F24" s="176"/>
      <c r="G24" s="186"/>
      <c r="H24" s="176"/>
      <c r="I24" s="157"/>
      <c r="J24" s="322"/>
      <c r="K24" s="179"/>
      <c r="L24" s="179"/>
      <c r="M24" s="179"/>
      <c r="N24" s="179"/>
      <c r="O24" s="172"/>
      <c r="P24" s="172"/>
      <c r="Q24" s="172"/>
      <c r="R24" s="172"/>
      <c r="S24" s="172"/>
      <c r="T24" s="172"/>
      <c r="U24" s="172"/>
      <c r="V24" s="172"/>
    </row>
    <row r="25" spans="1:22" ht="16.5" customHeight="1" x14ac:dyDescent="0.25">
      <c r="A25" s="175" t="s">
        <v>47</v>
      </c>
      <c r="B25" s="181" t="s">
        <v>141</v>
      </c>
      <c r="C25" s="175" t="s">
        <v>140</v>
      </c>
      <c r="D25" s="176">
        <f>236-21</f>
        <v>215</v>
      </c>
      <c r="E25" s="176">
        <v>121</v>
      </c>
      <c r="F25" s="189">
        <v>1341</v>
      </c>
      <c r="G25" s="176">
        <v>215</v>
      </c>
      <c r="H25" s="176">
        <f>G25-94</f>
        <v>121</v>
      </c>
      <c r="I25" s="157">
        <f t="shared" ref="I25:I26" si="3">G25/F25*100</f>
        <v>16.032811334824757</v>
      </c>
      <c r="J25" s="315"/>
      <c r="K25" s="179"/>
      <c r="L25" s="179"/>
      <c r="M25" s="179"/>
      <c r="N25" s="179"/>
      <c r="O25" s="172"/>
      <c r="P25" s="172"/>
      <c r="Q25" s="172"/>
      <c r="R25" s="172"/>
      <c r="S25" s="172"/>
      <c r="T25" s="172"/>
      <c r="U25" s="172"/>
      <c r="V25" s="172"/>
    </row>
    <row r="26" spans="1:22" ht="16.5" customHeight="1" x14ac:dyDescent="0.25">
      <c r="A26" s="175" t="s">
        <v>47</v>
      </c>
      <c r="B26" s="181" t="s">
        <v>142</v>
      </c>
      <c r="C26" s="175" t="s">
        <v>140</v>
      </c>
      <c r="D26" s="176">
        <v>21</v>
      </c>
      <c r="E26" s="176">
        <v>94</v>
      </c>
      <c r="F26" s="176">
        <v>121</v>
      </c>
      <c r="G26" s="176">
        <v>0</v>
      </c>
      <c r="H26" s="176">
        <v>94</v>
      </c>
      <c r="I26" s="157">
        <f t="shared" si="3"/>
        <v>0</v>
      </c>
      <c r="J26" s="315"/>
      <c r="K26" s="179"/>
      <c r="L26" s="179"/>
      <c r="M26" s="179"/>
      <c r="N26" s="179"/>
      <c r="O26" s="172"/>
      <c r="P26" s="172"/>
      <c r="Q26" s="172"/>
      <c r="R26" s="172"/>
      <c r="S26" s="172"/>
      <c r="T26" s="172"/>
      <c r="U26" s="172"/>
      <c r="V26" s="172"/>
    </row>
    <row r="27" spans="1:22" ht="16.5" customHeight="1" x14ac:dyDescent="0.25">
      <c r="A27" s="175" t="s">
        <v>47</v>
      </c>
      <c r="B27" s="181" t="s">
        <v>143</v>
      </c>
      <c r="C27" s="173" t="s">
        <v>96</v>
      </c>
      <c r="D27" s="176">
        <f t="shared" ref="D27:E27" si="4">D25/D24*100</f>
        <v>16.177577125658392</v>
      </c>
      <c r="E27" s="176">
        <f t="shared" si="4"/>
        <v>9.0231170768083508</v>
      </c>
      <c r="F27" s="176">
        <v>9.1</v>
      </c>
      <c r="G27" s="176">
        <v>16.18</v>
      </c>
      <c r="H27" s="176">
        <v>9.1</v>
      </c>
      <c r="I27" s="157">
        <f>F27/G27*100</f>
        <v>56.242274412855373</v>
      </c>
      <c r="J27" s="306"/>
      <c r="K27" s="179"/>
      <c r="L27" s="179"/>
      <c r="M27" s="179"/>
      <c r="N27" s="179"/>
      <c r="O27" s="172"/>
      <c r="P27" s="172"/>
      <c r="Q27" s="172"/>
      <c r="R27" s="172"/>
      <c r="S27" s="172"/>
      <c r="T27" s="172"/>
      <c r="U27" s="172"/>
      <c r="V27" s="172"/>
    </row>
    <row r="28" spans="1:22" ht="16.5" customHeight="1" x14ac:dyDescent="0.25">
      <c r="A28" s="169">
        <v>6</v>
      </c>
      <c r="B28" s="185" t="s">
        <v>144</v>
      </c>
      <c r="C28" s="144"/>
      <c r="D28" s="176"/>
      <c r="E28" s="176"/>
      <c r="F28" s="176">
        <f>F26/F25*100</f>
        <v>9.0231170768083508</v>
      </c>
      <c r="G28" s="177"/>
      <c r="H28" s="176"/>
      <c r="I28" s="157">
        <f t="shared" ref="I28:I36" si="5">G28/F28*100</f>
        <v>0</v>
      </c>
      <c r="J28" s="178"/>
      <c r="K28" s="159"/>
      <c r="L28" s="159"/>
      <c r="M28" s="159"/>
      <c r="N28" s="159"/>
      <c r="O28" s="172"/>
      <c r="P28" s="172"/>
      <c r="Q28" s="172"/>
      <c r="R28" s="172"/>
      <c r="S28" s="172"/>
      <c r="T28" s="172"/>
      <c r="U28" s="172"/>
      <c r="V28" s="172"/>
    </row>
    <row r="29" spans="1:22" ht="16.5" customHeight="1" x14ac:dyDescent="0.25">
      <c r="A29" s="190" t="s">
        <v>47</v>
      </c>
      <c r="B29" s="191" t="s">
        <v>145</v>
      </c>
      <c r="C29" s="173" t="s">
        <v>146</v>
      </c>
      <c r="D29" s="176">
        <f t="shared" ref="D29:F29" si="6">SUM(D30:D33)</f>
        <v>2217</v>
      </c>
      <c r="E29" s="176">
        <f t="shared" si="6"/>
        <v>2263</v>
      </c>
      <c r="F29" s="176">
        <f t="shared" si="6"/>
        <v>1594</v>
      </c>
      <c r="G29" s="176">
        <v>2255</v>
      </c>
      <c r="H29" s="176">
        <v>2316</v>
      </c>
      <c r="I29" s="157">
        <f t="shared" si="5"/>
        <v>141.46800501882058</v>
      </c>
      <c r="J29" s="322"/>
      <c r="K29" s="159"/>
      <c r="L29" s="159"/>
      <c r="M29" s="159"/>
      <c r="N29" s="159"/>
      <c r="O29" s="172"/>
      <c r="P29" s="192">
        <v>1.3</v>
      </c>
      <c r="Q29" s="192">
        <v>1.25</v>
      </c>
      <c r="R29" s="172"/>
      <c r="S29" s="172"/>
      <c r="T29" s="172"/>
      <c r="U29" s="172"/>
      <c r="V29" s="172"/>
    </row>
    <row r="30" spans="1:22" ht="16.5" customHeight="1" x14ac:dyDescent="0.25">
      <c r="A30" s="190" t="s">
        <v>78</v>
      </c>
      <c r="B30" s="181" t="s">
        <v>147</v>
      </c>
      <c r="C30" s="173" t="s">
        <v>146</v>
      </c>
      <c r="D30" s="176">
        <v>34</v>
      </c>
      <c r="E30" s="176">
        <v>61</v>
      </c>
      <c r="F30" s="176">
        <v>61</v>
      </c>
      <c r="G30" s="176">
        <v>63</v>
      </c>
      <c r="H30" s="176">
        <v>63</v>
      </c>
      <c r="I30" s="157">
        <f t="shared" si="5"/>
        <v>103.27868852459017</v>
      </c>
      <c r="J30" s="315"/>
      <c r="K30" s="159"/>
      <c r="L30" s="159"/>
      <c r="M30" s="159"/>
      <c r="N30" s="159"/>
      <c r="O30" s="172"/>
      <c r="P30" s="193" t="e">
        <f>D29+#REF!</f>
        <v>#REF!</v>
      </c>
      <c r="Q30" s="172"/>
      <c r="R30" s="172"/>
      <c r="S30" s="172"/>
      <c r="T30" s="172"/>
      <c r="U30" s="172"/>
      <c r="V30" s="172"/>
    </row>
    <row r="31" spans="1:22" ht="16.5" customHeight="1" x14ac:dyDescent="0.25">
      <c r="A31" s="190" t="s">
        <v>78</v>
      </c>
      <c r="B31" s="181" t="s">
        <v>148</v>
      </c>
      <c r="C31" s="173" t="s">
        <v>146</v>
      </c>
      <c r="D31" s="176">
        <v>600</v>
      </c>
      <c r="E31" s="176">
        <v>609</v>
      </c>
      <c r="F31" s="176">
        <v>61</v>
      </c>
      <c r="G31" s="176">
        <v>625</v>
      </c>
      <c r="H31" s="176">
        <v>668</v>
      </c>
      <c r="I31" s="157">
        <f t="shared" si="5"/>
        <v>1024.5901639344263</v>
      </c>
      <c r="J31" s="315"/>
      <c r="K31" s="159"/>
      <c r="L31" s="159"/>
      <c r="M31" s="159"/>
      <c r="N31" s="159"/>
      <c r="O31" s="172"/>
      <c r="P31" s="172"/>
      <c r="Q31" s="172"/>
      <c r="R31" s="172"/>
      <c r="S31" s="172"/>
      <c r="T31" s="172"/>
      <c r="U31" s="172"/>
      <c r="V31" s="172"/>
    </row>
    <row r="32" spans="1:22" ht="16.5" customHeight="1" x14ac:dyDescent="0.25">
      <c r="A32" s="190" t="s">
        <v>78</v>
      </c>
      <c r="B32" s="181" t="s">
        <v>149</v>
      </c>
      <c r="C32" s="173" t="s">
        <v>146</v>
      </c>
      <c r="D32" s="176">
        <v>858</v>
      </c>
      <c r="E32" s="176">
        <v>863</v>
      </c>
      <c r="F32" s="176">
        <v>609</v>
      </c>
      <c r="G32" s="176">
        <v>868</v>
      </c>
      <c r="H32" s="176">
        <v>864</v>
      </c>
      <c r="I32" s="157">
        <f t="shared" si="5"/>
        <v>142.52873563218392</v>
      </c>
      <c r="J32" s="315"/>
      <c r="K32" s="159"/>
      <c r="L32" s="159"/>
      <c r="M32" s="159"/>
      <c r="N32" s="159"/>
      <c r="O32" s="172"/>
      <c r="P32" s="172"/>
      <c r="Q32" s="172"/>
      <c r="R32" s="172"/>
      <c r="S32" s="172"/>
      <c r="T32" s="172"/>
      <c r="U32" s="172"/>
      <c r="V32" s="172"/>
    </row>
    <row r="33" spans="1:22" ht="16.5" customHeight="1" x14ac:dyDescent="0.25">
      <c r="A33" s="190" t="s">
        <v>78</v>
      </c>
      <c r="B33" s="181" t="s">
        <v>150</v>
      </c>
      <c r="C33" s="173" t="s">
        <v>146</v>
      </c>
      <c r="D33" s="176">
        <v>725</v>
      </c>
      <c r="E33" s="176">
        <v>730</v>
      </c>
      <c r="F33" s="176">
        <v>863</v>
      </c>
      <c r="G33" s="176">
        <v>699</v>
      </c>
      <c r="H33" s="176">
        <v>721</v>
      </c>
      <c r="I33" s="157">
        <f t="shared" si="5"/>
        <v>80.996523754345304</v>
      </c>
      <c r="J33" s="315"/>
      <c r="K33" s="159"/>
      <c r="L33" s="159"/>
      <c r="M33" s="159"/>
      <c r="N33" s="159"/>
      <c r="O33" s="172"/>
      <c r="P33" s="172"/>
      <c r="Q33" s="172"/>
      <c r="R33" s="172"/>
      <c r="S33" s="172"/>
      <c r="T33" s="172"/>
      <c r="U33" s="172"/>
      <c r="V33" s="172"/>
    </row>
    <row r="34" spans="1:22" ht="16.5" customHeight="1" x14ac:dyDescent="0.25">
      <c r="A34" s="173" t="s">
        <v>47</v>
      </c>
      <c r="B34" s="181" t="s">
        <v>151</v>
      </c>
      <c r="C34" s="173" t="s">
        <v>96</v>
      </c>
      <c r="D34" s="176">
        <v>100</v>
      </c>
      <c r="E34" s="176"/>
      <c r="F34" s="176">
        <v>730</v>
      </c>
      <c r="G34" s="177">
        <v>100</v>
      </c>
      <c r="H34" s="176">
        <v>100</v>
      </c>
      <c r="I34" s="157">
        <f t="shared" si="5"/>
        <v>13.698630136986301</v>
      </c>
      <c r="J34" s="315"/>
      <c r="K34" s="179"/>
      <c r="L34" s="179"/>
      <c r="M34" s="179"/>
      <c r="N34" s="179"/>
      <c r="O34" s="172"/>
      <c r="P34" s="172"/>
      <c r="Q34" s="172"/>
      <c r="R34" s="172"/>
      <c r="S34" s="172"/>
      <c r="T34" s="172"/>
      <c r="U34" s="172"/>
      <c r="V34" s="172"/>
    </row>
    <row r="35" spans="1:22" ht="16.5" customHeight="1" x14ac:dyDescent="0.25">
      <c r="A35" s="173" t="s">
        <v>78</v>
      </c>
      <c r="B35" s="181" t="s">
        <v>149</v>
      </c>
      <c r="C35" s="173" t="s">
        <v>96</v>
      </c>
      <c r="D35" s="176">
        <v>100</v>
      </c>
      <c r="E35" s="176"/>
      <c r="F35" s="176">
        <v>100</v>
      </c>
      <c r="G35" s="176">
        <v>100</v>
      </c>
      <c r="H35" s="176">
        <v>100</v>
      </c>
      <c r="I35" s="157">
        <f t="shared" si="5"/>
        <v>100</v>
      </c>
      <c r="J35" s="315"/>
      <c r="K35" s="179"/>
      <c r="L35" s="179"/>
      <c r="M35" s="179"/>
      <c r="N35" s="179"/>
      <c r="O35" s="172"/>
      <c r="P35" s="172"/>
      <c r="Q35" s="172"/>
      <c r="R35" s="172"/>
      <c r="S35" s="172"/>
      <c r="T35" s="172"/>
      <c r="U35" s="172"/>
      <c r="V35" s="172"/>
    </row>
    <row r="36" spans="1:22" ht="16.5" customHeight="1" x14ac:dyDescent="0.25">
      <c r="A36" s="173" t="s">
        <v>78</v>
      </c>
      <c r="B36" s="181" t="s">
        <v>150</v>
      </c>
      <c r="C36" s="173" t="s">
        <v>96</v>
      </c>
      <c r="D36" s="176">
        <v>99</v>
      </c>
      <c r="E36" s="176"/>
      <c r="F36" s="176">
        <v>100</v>
      </c>
      <c r="G36" s="176">
        <v>100</v>
      </c>
      <c r="H36" s="176">
        <v>100</v>
      </c>
      <c r="I36" s="157">
        <f t="shared" si="5"/>
        <v>100</v>
      </c>
      <c r="J36" s="315"/>
      <c r="K36" s="179"/>
      <c r="L36" s="179"/>
      <c r="M36" s="179"/>
      <c r="N36" s="179"/>
      <c r="O36" s="172"/>
      <c r="P36" s="172"/>
      <c r="Q36" s="172"/>
      <c r="R36" s="172"/>
      <c r="S36" s="172"/>
      <c r="T36" s="172"/>
      <c r="U36" s="172"/>
      <c r="V36" s="172"/>
    </row>
    <row r="37" spans="1:22" ht="32.25" customHeight="1" x14ac:dyDescent="0.25">
      <c r="A37" s="173" t="s">
        <v>78</v>
      </c>
      <c r="B37" s="181" t="s">
        <v>152</v>
      </c>
      <c r="C37" s="173" t="s">
        <v>96</v>
      </c>
      <c r="D37" s="176">
        <v>93</v>
      </c>
      <c r="E37" s="176"/>
      <c r="F37" s="176">
        <v>99</v>
      </c>
      <c r="G37" s="176"/>
      <c r="H37" s="176"/>
      <c r="I37" s="194" t="s">
        <v>153</v>
      </c>
      <c r="J37" s="315"/>
      <c r="K37" s="179"/>
      <c r="L37" s="179"/>
      <c r="M37" s="179"/>
      <c r="N37" s="179"/>
      <c r="O37" s="172"/>
      <c r="P37" s="172"/>
      <c r="Q37" s="172"/>
      <c r="R37" s="172"/>
      <c r="S37" s="172"/>
      <c r="T37" s="172"/>
      <c r="U37" s="172"/>
      <c r="V37" s="172"/>
    </row>
    <row r="38" spans="1:22" ht="16.5" customHeight="1" x14ac:dyDescent="0.25">
      <c r="A38" s="173" t="s">
        <v>47</v>
      </c>
      <c r="B38" s="181" t="s">
        <v>154</v>
      </c>
      <c r="C38" s="173" t="s">
        <v>96</v>
      </c>
      <c r="D38" s="176">
        <v>10</v>
      </c>
      <c r="E38" s="176"/>
      <c r="F38" s="176">
        <v>93</v>
      </c>
      <c r="G38" s="176">
        <v>100</v>
      </c>
      <c r="H38" s="176">
        <v>100</v>
      </c>
      <c r="I38" s="157">
        <f t="shared" ref="I38:I43" si="7">G38/F38*100</f>
        <v>107.5268817204301</v>
      </c>
      <c r="J38" s="315"/>
      <c r="K38" s="179"/>
      <c r="L38" s="179"/>
      <c r="M38" s="179"/>
      <c r="N38" s="179"/>
      <c r="O38" s="172"/>
      <c r="P38" s="172"/>
      <c r="Q38" s="172"/>
      <c r="R38" s="172"/>
      <c r="S38" s="172"/>
      <c r="T38" s="172"/>
      <c r="U38" s="172"/>
      <c r="V38" s="172"/>
    </row>
    <row r="39" spans="1:22" ht="16.5" customHeight="1" x14ac:dyDescent="0.25">
      <c r="A39" s="173" t="s">
        <v>47</v>
      </c>
      <c r="B39" s="181" t="s">
        <v>155</v>
      </c>
      <c r="C39" s="173" t="s">
        <v>96</v>
      </c>
      <c r="D39" s="176">
        <v>80</v>
      </c>
      <c r="E39" s="176"/>
      <c r="F39" s="176">
        <v>10</v>
      </c>
      <c r="G39" s="176">
        <v>80</v>
      </c>
      <c r="H39" s="176">
        <v>20</v>
      </c>
      <c r="I39" s="157">
        <f t="shared" si="7"/>
        <v>800</v>
      </c>
      <c r="J39" s="315"/>
      <c r="K39" s="179"/>
      <c r="L39" s="179"/>
      <c r="M39" s="179"/>
      <c r="N39" s="179"/>
      <c r="O39" s="172"/>
      <c r="P39" s="172"/>
      <c r="Q39" s="172"/>
      <c r="R39" s="172"/>
      <c r="S39" s="172"/>
      <c r="T39" s="172"/>
      <c r="U39" s="172"/>
      <c r="V39" s="172"/>
    </row>
    <row r="40" spans="1:22" ht="16.5" customHeight="1" x14ac:dyDescent="0.25">
      <c r="A40" s="173" t="s">
        <v>47</v>
      </c>
      <c r="B40" s="181" t="s">
        <v>156</v>
      </c>
      <c r="C40" s="173" t="s">
        <v>96</v>
      </c>
      <c r="D40" s="176">
        <v>95</v>
      </c>
      <c r="E40" s="176"/>
      <c r="F40" s="176">
        <v>80</v>
      </c>
      <c r="G40" s="176">
        <v>96.67</v>
      </c>
      <c r="H40" s="176">
        <v>96.67</v>
      </c>
      <c r="I40" s="157">
        <f t="shared" si="7"/>
        <v>120.83749999999999</v>
      </c>
      <c r="J40" s="315"/>
      <c r="K40" s="179"/>
      <c r="L40" s="179"/>
      <c r="M40" s="179"/>
      <c r="N40" s="179"/>
      <c r="O40" s="172"/>
      <c r="P40" s="172"/>
      <c r="Q40" s="172"/>
      <c r="R40" s="172"/>
      <c r="S40" s="172"/>
      <c r="T40" s="172"/>
      <c r="U40" s="172"/>
      <c r="V40" s="172"/>
    </row>
    <row r="41" spans="1:22" ht="16.5" customHeight="1" x14ac:dyDescent="0.25">
      <c r="A41" s="173" t="s">
        <v>78</v>
      </c>
      <c r="B41" s="181" t="s">
        <v>157</v>
      </c>
      <c r="C41" s="173" t="s">
        <v>96</v>
      </c>
      <c r="D41" s="176">
        <v>100</v>
      </c>
      <c r="E41" s="176"/>
      <c r="F41" s="176">
        <v>95</v>
      </c>
      <c r="G41" s="176">
        <v>93.31</v>
      </c>
      <c r="H41" s="176">
        <v>93.31</v>
      </c>
      <c r="I41" s="157">
        <f t="shared" si="7"/>
        <v>98.221052631578956</v>
      </c>
      <c r="J41" s="315"/>
      <c r="K41" s="179"/>
      <c r="L41" s="179"/>
      <c r="M41" s="179"/>
      <c r="N41" s="179"/>
      <c r="O41" s="172"/>
      <c r="P41" s="172"/>
      <c r="Q41" s="172"/>
      <c r="R41" s="172"/>
      <c r="S41" s="172"/>
      <c r="T41" s="172"/>
      <c r="U41" s="172"/>
      <c r="V41" s="172"/>
    </row>
    <row r="42" spans="1:22" ht="16.5" customHeight="1" x14ac:dyDescent="0.25">
      <c r="A42" s="173" t="s">
        <v>78</v>
      </c>
      <c r="B42" s="181" t="s">
        <v>149</v>
      </c>
      <c r="C42" s="173" t="s">
        <v>96</v>
      </c>
      <c r="D42" s="176">
        <v>100</v>
      </c>
      <c r="E42" s="176"/>
      <c r="F42" s="176">
        <v>100</v>
      </c>
      <c r="G42" s="176">
        <v>100</v>
      </c>
      <c r="H42" s="176">
        <v>100</v>
      </c>
      <c r="I42" s="157">
        <f t="shared" si="7"/>
        <v>100</v>
      </c>
      <c r="J42" s="315"/>
      <c r="K42" s="179"/>
      <c r="L42" s="179"/>
      <c r="M42" s="179"/>
      <c r="N42" s="179"/>
      <c r="O42" s="172"/>
      <c r="P42" s="172"/>
      <c r="Q42" s="172"/>
      <c r="R42" s="172"/>
      <c r="S42" s="172"/>
      <c r="T42" s="172"/>
      <c r="U42" s="172"/>
      <c r="V42" s="172"/>
    </row>
    <row r="43" spans="1:22" ht="16.5" customHeight="1" x14ac:dyDescent="0.25">
      <c r="A43" s="173" t="s">
        <v>78</v>
      </c>
      <c r="B43" s="181" t="s">
        <v>150</v>
      </c>
      <c r="C43" s="173" t="s">
        <v>96</v>
      </c>
      <c r="D43" s="176">
        <v>100</v>
      </c>
      <c r="E43" s="176"/>
      <c r="F43" s="176">
        <v>100</v>
      </c>
      <c r="G43" s="176">
        <v>96.62</v>
      </c>
      <c r="H43" s="176">
        <v>96.62</v>
      </c>
      <c r="I43" s="157">
        <f t="shared" si="7"/>
        <v>96.62</v>
      </c>
      <c r="J43" s="315"/>
      <c r="K43" s="179"/>
      <c r="L43" s="179"/>
      <c r="M43" s="179"/>
      <c r="N43" s="179"/>
      <c r="O43" s="172"/>
      <c r="P43" s="172"/>
      <c r="Q43" s="172"/>
      <c r="R43" s="172"/>
      <c r="S43" s="172"/>
      <c r="T43" s="172"/>
      <c r="U43" s="172"/>
      <c r="V43" s="172"/>
    </row>
    <row r="44" spans="1:22" ht="24" customHeight="1" x14ac:dyDescent="0.25">
      <c r="A44" s="173" t="s">
        <v>78</v>
      </c>
      <c r="B44" s="181" t="s">
        <v>152</v>
      </c>
      <c r="C44" s="173" t="s">
        <v>96</v>
      </c>
      <c r="D44" s="176">
        <v>99</v>
      </c>
      <c r="E44" s="176"/>
      <c r="F44" s="176">
        <v>100</v>
      </c>
      <c r="G44" s="177"/>
      <c r="H44" s="177"/>
      <c r="I44" s="194" t="s">
        <v>153</v>
      </c>
      <c r="J44" s="315"/>
      <c r="K44" s="179"/>
      <c r="L44" s="179"/>
      <c r="M44" s="179"/>
      <c r="N44" s="179"/>
      <c r="O44" s="172"/>
      <c r="P44" s="172"/>
      <c r="Q44" s="172"/>
      <c r="R44" s="172"/>
      <c r="S44" s="172"/>
      <c r="T44" s="172"/>
      <c r="U44" s="172"/>
      <c r="V44" s="172"/>
    </row>
    <row r="45" spans="1:22" ht="32.25" customHeight="1" x14ac:dyDescent="0.25">
      <c r="A45" s="173" t="s">
        <v>47</v>
      </c>
      <c r="B45" s="181" t="s">
        <v>158</v>
      </c>
      <c r="C45" s="173" t="s">
        <v>159</v>
      </c>
      <c r="D45" s="176"/>
      <c r="E45" s="176"/>
      <c r="F45" s="176">
        <v>99</v>
      </c>
      <c r="G45" s="177">
        <v>95.77</v>
      </c>
      <c r="H45" s="177">
        <v>95.77</v>
      </c>
      <c r="I45" s="157">
        <f>G45/F45*100</f>
        <v>96.73737373737373</v>
      </c>
      <c r="J45" s="306"/>
      <c r="K45" s="179"/>
      <c r="L45" s="179"/>
      <c r="M45" s="179"/>
      <c r="N45" s="179"/>
      <c r="O45" s="172"/>
      <c r="P45" s="172"/>
      <c r="Q45" s="172"/>
      <c r="R45" s="172"/>
      <c r="S45" s="172"/>
      <c r="T45" s="172"/>
      <c r="U45" s="172"/>
      <c r="V45" s="172"/>
    </row>
    <row r="46" spans="1:22" ht="16.5" customHeight="1" x14ac:dyDescent="0.25">
      <c r="A46" s="169">
        <v>7</v>
      </c>
      <c r="B46" s="185" t="s">
        <v>160</v>
      </c>
      <c r="C46" s="144"/>
      <c r="D46" s="176"/>
      <c r="E46" s="176"/>
      <c r="F46" s="176">
        <v>0</v>
      </c>
      <c r="G46" s="195"/>
      <c r="H46" s="176"/>
      <c r="I46" s="157"/>
      <c r="J46" s="148"/>
      <c r="K46" s="149"/>
      <c r="L46" s="149"/>
      <c r="M46" s="149"/>
      <c r="N46" s="149"/>
      <c r="O46" s="172"/>
      <c r="P46" s="172"/>
      <c r="Q46" s="172"/>
      <c r="R46" s="172"/>
      <c r="S46" s="172"/>
      <c r="T46" s="172"/>
      <c r="U46" s="172"/>
      <c r="V46" s="172"/>
    </row>
    <row r="47" spans="1:22" ht="16.5" customHeight="1" x14ac:dyDescent="0.25">
      <c r="A47" s="169" t="s">
        <v>47</v>
      </c>
      <c r="B47" s="191" t="s">
        <v>161</v>
      </c>
      <c r="C47" s="173" t="s">
        <v>96</v>
      </c>
      <c r="D47" s="176">
        <v>100</v>
      </c>
      <c r="E47" s="176"/>
      <c r="F47" s="176">
        <v>100</v>
      </c>
      <c r="G47" s="176">
        <v>100</v>
      </c>
      <c r="H47" s="176">
        <v>100</v>
      </c>
      <c r="I47" s="157">
        <f t="shared" ref="I47:I60" si="8">G47/F47*100</f>
        <v>100</v>
      </c>
      <c r="J47" s="322"/>
      <c r="K47" s="196"/>
      <c r="L47" s="196"/>
      <c r="M47" s="196"/>
      <c r="N47" s="196"/>
      <c r="O47" s="172"/>
      <c r="P47" s="172"/>
      <c r="Q47" s="172"/>
      <c r="R47" s="172"/>
      <c r="S47" s="172"/>
      <c r="T47" s="172"/>
      <c r="U47" s="172"/>
      <c r="V47" s="172"/>
    </row>
    <row r="48" spans="1:22" ht="16.5" customHeight="1" x14ac:dyDescent="0.25">
      <c r="A48" s="169" t="s">
        <v>47</v>
      </c>
      <c r="B48" s="191" t="s">
        <v>162</v>
      </c>
      <c r="C48" s="173" t="s">
        <v>96</v>
      </c>
      <c r="D48" s="176">
        <v>1</v>
      </c>
      <c r="E48" s="176"/>
      <c r="F48" s="176">
        <v>100</v>
      </c>
      <c r="G48" s="176">
        <v>100</v>
      </c>
      <c r="H48" s="176">
        <v>100</v>
      </c>
      <c r="I48" s="157">
        <f t="shared" si="8"/>
        <v>100</v>
      </c>
      <c r="J48" s="315"/>
      <c r="K48" s="196"/>
      <c r="L48" s="196"/>
      <c r="M48" s="196"/>
      <c r="N48" s="196"/>
      <c r="O48" s="172"/>
      <c r="P48" s="172"/>
      <c r="Q48" s="172"/>
      <c r="R48" s="172"/>
      <c r="S48" s="172"/>
      <c r="T48" s="172"/>
      <c r="U48" s="172"/>
      <c r="V48" s="172"/>
    </row>
    <row r="49" spans="1:22" ht="21.75" customHeight="1" x14ac:dyDescent="0.25">
      <c r="A49" s="169"/>
      <c r="B49" s="197" t="s">
        <v>163</v>
      </c>
      <c r="C49" s="173" t="s">
        <v>96</v>
      </c>
      <c r="D49" s="176">
        <v>9.31</v>
      </c>
      <c r="E49" s="176"/>
      <c r="F49" s="176">
        <v>1</v>
      </c>
      <c r="G49" s="176"/>
      <c r="H49" s="176"/>
      <c r="I49" s="157">
        <f t="shared" si="8"/>
        <v>0</v>
      </c>
      <c r="J49" s="315"/>
      <c r="K49" s="196"/>
      <c r="L49" s="196"/>
      <c r="M49" s="196"/>
      <c r="N49" s="196"/>
      <c r="O49" s="172"/>
      <c r="P49" s="172"/>
      <c r="Q49" s="172"/>
      <c r="R49" s="172"/>
      <c r="S49" s="172"/>
      <c r="T49" s="172"/>
      <c r="U49" s="172"/>
      <c r="V49" s="172"/>
    </row>
    <row r="50" spans="1:22" ht="17.25" customHeight="1" x14ac:dyDescent="0.25">
      <c r="A50" s="169" t="s">
        <v>47</v>
      </c>
      <c r="B50" s="191" t="s">
        <v>164</v>
      </c>
      <c r="C50" s="173" t="s">
        <v>96</v>
      </c>
      <c r="D50" s="176"/>
      <c r="E50" s="176"/>
      <c r="F50" s="176">
        <f>D50-0.44</f>
        <v>-0.44</v>
      </c>
      <c r="G50" s="176"/>
      <c r="H50" s="176"/>
      <c r="I50" s="157">
        <f t="shared" si="8"/>
        <v>0</v>
      </c>
      <c r="J50" s="315"/>
      <c r="K50" s="196"/>
      <c r="L50" s="196"/>
      <c r="M50" s="196"/>
      <c r="N50" s="196"/>
      <c r="O50" s="172"/>
      <c r="P50" s="172"/>
      <c r="Q50" s="172"/>
      <c r="R50" s="172"/>
      <c r="S50" s="172"/>
      <c r="T50" s="172"/>
      <c r="U50" s="172"/>
      <c r="V50" s="172"/>
    </row>
    <row r="51" spans="1:22" ht="16.5" customHeight="1" x14ac:dyDescent="0.25">
      <c r="A51" s="169" t="s">
        <v>47</v>
      </c>
      <c r="B51" s="181" t="s">
        <v>165</v>
      </c>
      <c r="C51" s="175" t="s">
        <v>166</v>
      </c>
      <c r="D51" s="176">
        <v>10</v>
      </c>
      <c r="E51" s="176"/>
      <c r="F51" s="176">
        <v>10</v>
      </c>
      <c r="G51" s="176">
        <v>10</v>
      </c>
      <c r="H51" s="176">
        <v>10</v>
      </c>
      <c r="I51" s="157">
        <f t="shared" si="8"/>
        <v>100</v>
      </c>
      <c r="J51" s="315"/>
      <c r="K51" s="196"/>
      <c r="L51" s="196"/>
      <c r="M51" s="196"/>
      <c r="N51" s="196"/>
      <c r="O51" s="172"/>
      <c r="P51" s="172"/>
      <c r="Q51" s="172"/>
      <c r="R51" s="172"/>
      <c r="S51" s="172"/>
      <c r="T51" s="172"/>
      <c r="U51" s="172"/>
      <c r="V51" s="172"/>
    </row>
    <row r="52" spans="1:22" ht="16.5" customHeight="1" x14ac:dyDescent="0.25">
      <c r="A52" s="169" t="s">
        <v>78</v>
      </c>
      <c r="B52" s="181" t="s">
        <v>167</v>
      </c>
      <c r="C52" s="175" t="s">
        <v>166</v>
      </c>
      <c r="D52" s="176"/>
      <c r="E52" s="176"/>
      <c r="F52" s="176">
        <v>10</v>
      </c>
      <c r="G52" s="176"/>
      <c r="H52" s="176"/>
      <c r="I52" s="157">
        <f t="shared" si="8"/>
        <v>0</v>
      </c>
      <c r="J52" s="315"/>
      <c r="K52" s="196"/>
      <c r="L52" s="196"/>
      <c r="M52" s="196"/>
      <c r="N52" s="196"/>
      <c r="O52" s="172"/>
      <c r="P52" s="172"/>
      <c r="Q52" s="172"/>
      <c r="R52" s="172"/>
      <c r="S52" s="172"/>
      <c r="T52" s="172"/>
      <c r="U52" s="172"/>
      <c r="V52" s="172"/>
    </row>
    <row r="53" spans="1:22" ht="16.5" customHeight="1" x14ac:dyDescent="0.25">
      <c r="A53" s="169" t="s">
        <v>78</v>
      </c>
      <c r="B53" s="181" t="s">
        <v>168</v>
      </c>
      <c r="C53" s="175" t="s">
        <v>166</v>
      </c>
      <c r="D53" s="176">
        <v>6</v>
      </c>
      <c r="E53" s="176"/>
      <c r="F53" s="176">
        <v>6</v>
      </c>
      <c r="G53" s="176">
        <v>10</v>
      </c>
      <c r="H53" s="176">
        <v>10</v>
      </c>
      <c r="I53" s="157">
        <f t="shared" si="8"/>
        <v>166.66666666666669</v>
      </c>
      <c r="J53" s="315"/>
      <c r="K53" s="196"/>
      <c r="L53" s="196"/>
      <c r="M53" s="196"/>
      <c r="N53" s="196"/>
      <c r="O53" s="172"/>
      <c r="P53" s="172"/>
      <c r="Q53" s="172"/>
      <c r="R53" s="172"/>
      <c r="S53" s="172"/>
      <c r="T53" s="172"/>
      <c r="U53" s="172"/>
      <c r="V53" s="172"/>
    </row>
    <row r="54" spans="1:22" ht="16.5" customHeight="1" x14ac:dyDescent="0.25">
      <c r="A54" s="169" t="s">
        <v>47</v>
      </c>
      <c r="B54" s="181" t="s">
        <v>169</v>
      </c>
      <c r="C54" s="173" t="s">
        <v>96</v>
      </c>
      <c r="D54" s="176">
        <v>100</v>
      </c>
      <c r="E54" s="176"/>
      <c r="F54" s="176">
        <v>100</v>
      </c>
      <c r="G54" s="176">
        <v>100</v>
      </c>
      <c r="H54" s="176">
        <v>100</v>
      </c>
      <c r="I54" s="157">
        <f t="shared" si="8"/>
        <v>100</v>
      </c>
      <c r="J54" s="315"/>
      <c r="K54" s="196"/>
      <c r="L54" s="196"/>
      <c r="M54" s="196"/>
      <c r="N54" s="196"/>
      <c r="O54" s="172"/>
      <c r="P54" s="172"/>
      <c r="Q54" s="172"/>
      <c r="R54" s="172"/>
      <c r="S54" s="172"/>
      <c r="T54" s="172"/>
      <c r="U54" s="172"/>
      <c r="V54" s="172"/>
    </row>
    <row r="55" spans="1:22" ht="16.5" customHeight="1" x14ac:dyDescent="0.25">
      <c r="A55" s="169" t="s">
        <v>47</v>
      </c>
      <c r="B55" s="181" t="s">
        <v>170</v>
      </c>
      <c r="C55" s="175" t="s">
        <v>96</v>
      </c>
      <c r="D55" s="176">
        <v>100</v>
      </c>
      <c r="E55" s="176"/>
      <c r="F55" s="176">
        <v>100</v>
      </c>
      <c r="G55" s="176">
        <v>100</v>
      </c>
      <c r="H55" s="176">
        <v>100</v>
      </c>
      <c r="I55" s="157">
        <f t="shared" si="8"/>
        <v>100</v>
      </c>
      <c r="J55" s="315"/>
      <c r="K55" s="179"/>
      <c r="L55" s="179"/>
      <c r="M55" s="179"/>
      <c r="N55" s="179"/>
      <c r="O55" s="172"/>
      <c r="P55" s="172"/>
      <c r="Q55" s="172"/>
      <c r="R55" s="172"/>
      <c r="S55" s="172"/>
      <c r="T55" s="172"/>
      <c r="U55" s="172"/>
      <c r="V55" s="172"/>
    </row>
    <row r="56" spans="1:22" ht="18" customHeight="1" x14ac:dyDescent="0.25">
      <c r="A56" s="169" t="s">
        <v>47</v>
      </c>
      <c r="B56" s="181" t="s">
        <v>171</v>
      </c>
      <c r="C56" s="175" t="s">
        <v>166</v>
      </c>
      <c r="D56" s="176">
        <v>10</v>
      </c>
      <c r="E56" s="176"/>
      <c r="F56" s="176">
        <v>10</v>
      </c>
      <c r="G56" s="176">
        <v>10</v>
      </c>
      <c r="H56" s="176">
        <v>10</v>
      </c>
      <c r="I56" s="157">
        <f t="shared" si="8"/>
        <v>100</v>
      </c>
      <c r="J56" s="315"/>
      <c r="K56" s="179"/>
      <c r="L56" s="179"/>
      <c r="M56" s="179"/>
      <c r="N56" s="179"/>
      <c r="O56" s="172"/>
      <c r="P56" s="172"/>
      <c r="Q56" s="172"/>
      <c r="R56" s="172"/>
      <c r="S56" s="172"/>
      <c r="T56" s="172"/>
      <c r="U56" s="172"/>
      <c r="V56" s="172"/>
    </row>
    <row r="57" spans="1:22" ht="16.5" customHeight="1" x14ac:dyDescent="0.25">
      <c r="A57" s="169" t="s">
        <v>47</v>
      </c>
      <c r="B57" s="181" t="s">
        <v>172</v>
      </c>
      <c r="C57" s="175" t="s">
        <v>96</v>
      </c>
      <c r="D57" s="176">
        <v>100</v>
      </c>
      <c r="E57" s="176"/>
      <c r="F57" s="176">
        <v>100</v>
      </c>
      <c r="G57" s="177">
        <v>100</v>
      </c>
      <c r="H57" s="176">
        <v>100</v>
      </c>
      <c r="I57" s="157">
        <f t="shared" si="8"/>
        <v>100</v>
      </c>
      <c r="J57" s="315"/>
      <c r="K57" s="179"/>
      <c r="L57" s="179"/>
      <c r="M57" s="179"/>
      <c r="N57" s="179"/>
      <c r="O57" s="172"/>
      <c r="P57" s="172"/>
      <c r="Q57" s="172"/>
      <c r="R57" s="172"/>
      <c r="S57" s="172"/>
      <c r="T57" s="172"/>
      <c r="U57" s="172"/>
      <c r="V57" s="172"/>
    </row>
    <row r="58" spans="1:22" ht="16.5" customHeight="1" x14ac:dyDescent="0.25">
      <c r="A58" s="169" t="s">
        <v>47</v>
      </c>
      <c r="B58" s="181" t="s">
        <v>173</v>
      </c>
      <c r="C58" s="175" t="s">
        <v>96</v>
      </c>
      <c r="D58" s="176">
        <v>100</v>
      </c>
      <c r="E58" s="176"/>
      <c r="F58" s="176">
        <v>100</v>
      </c>
      <c r="G58" s="177">
        <v>100</v>
      </c>
      <c r="H58" s="176">
        <v>100</v>
      </c>
      <c r="I58" s="157">
        <f t="shared" si="8"/>
        <v>100</v>
      </c>
      <c r="J58" s="315"/>
      <c r="K58" s="179"/>
      <c r="L58" s="179"/>
      <c r="M58" s="179"/>
      <c r="N58" s="179"/>
      <c r="O58" s="172"/>
      <c r="P58" s="172"/>
      <c r="Q58" s="172"/>
      <c r="R58" s="172"/>
      <c r="S58" s="172"/>
      <c r="T58" s="172"/>
      <c r="U58" s="172"/>
      <c r="V58" s="172"/>
    </row>
    <row r="59" spans="1:22" ht="16.5" customHeight="1" x14ac:dyDescent="0.25">
      <c r="A59" s="169" t="s">
        <v>47</v>
      </c>
      <c r="B59" s="191" t="s">
        <v>174</v>
      </c>
      <c r="C59" s="175" t="s">
        <v>96</v>
      </c>
      <c r="D59" s="173" t="s">
        <v>175</v>
      </c>
      <c r="E59" s="176"/>
      <c r="F59" s="198" t="s">
        <v>176</v>
      </c>
      <c r="G59" s="198" t="s">
        <v>177</v>
      </c>
      <c r="H59" s="198" t="s">
        <v>177</v>
      </c>
      <c r="I59" s="157">
        <f t="shared" si="8"/>
        <v>100.32679738562092</v>
      </c>
      <c r="J59" s="315"/>
      <c r="K59" s="179"/>
      <c r="L59" s="179"/>
      <c r="M59" s="179"/>
      <c r="N59" s="179"/>
      <c r="O59" s="172"/>
      <c r="P59" s="172"/>
      <c r="Q59" s="172"/>
      <c r="R59" s="172"/>
      <c r="S59" s="172"/>
      <c r="T59" s="172"/>
      <c r="U59" s="172"/>
      <c r="V59" s="172"/>
    </row>
    <row r="60" spans="1:22" ht="16.5" customHeight="1" x14ac:dyDescent="0.25">
      <c r="A60" s="169" t="s">
        <v>47</v>
      </c>
      <c r="B60" s="191" t="s">
        <v>178</v>
      </c>
      <c r="C60" s="175" t="s">
        <v>96</v>
      </c>
      <c r="D60" s="176">
        <v>17</v>
      </c>
      <c r="E60" s="176"/>
      <c r="F60" s="198" t="s">
        <v>179</v>
      </c>
      <c r="G60" s="198" t="s">
        <v>180</v>
      </c>
      <c r="H60" s="198" t="s">
        <v>180</v>
      </c>
      <c r="I60" s="157">
        <f t="shared" si="8"/>
        <v>100.60240963855421</v>
      </c>
      <c r="J60" s="315"/>
      <c r="K60" s="179"/>
      <c r="L60" s="179"/>
      <c r="M60" s="179"/>
      <c r="N60" s="179"/>
      <c r="O60" s="172"/>
      <c r="P60" s="172"/>
      <c r="Q60" s="172"/>
      <c r="R60" s="172"/>
      <c r="S60" s="172"/>
      <c r="T60" s="172"/>
      <c r="U60" s="172"/>
      <c r="V60" s="172"/>
    </row>
    <row r="61" spans="1:22" ht="30" customHeight="1" x14ac:dyDescent="0.25">
      <c r="A61" s="169" t="s">
        <v>47</v>
      </c>
      <c r="B61" s="191" t="s">
        <v>181</v>
      </c>
      <c r="C61" s="175" t="s">
        <v>182</v>
      </c>
      <c r="D61" s="176">
        <v>0</v>
      </c>
      <c r="E61" s="176"/>
      <c r="F61" s="176">
        <v>0</v>
      </c>
      <c r="G61" s="176">
        <v>0</v>
      </c>
      <c r="H61" s="176">
        <v>0</v>
      </c>
      <c r="I61" s="157"/>
      <c r="J61" s="315"/>
      <c r="K61" s="179"/>
      <c r="L61" s="179"/>
      <c r="M61" s="179"/>
      <c r="N61" s="179"/>
      <c r="O61" s="172"/>
      <c r="P61" s="172"/>
      <c r="Q61" s="172"/>
      <c r="R61" s="172"/>
      <c r="S61" s="172"/>
      <c r="T61" s="172"/>
      <c r="U61" s="172"/>
      <c r="V61" s="172"/>
    </row>
    <row r="62" spans="1:22" ht="17.25" customHeight="1" x14ac:dyDescent="0.25">
      <c r="A62" s="169" t="s">
        <v>47</v>
      </c>
      <c r="B62" s="199" t="s">
        <v>183</v>
      </c>
      <c r="C62" s="175" t="s">
        <v>96</v>
      </c>
      <c r="D62" s="176">
        <v>94</v>
      </c>
      <c r="E62" s="176"/>
      <c r="F62" s="176">
        <v>94</v>
      </c>
      <c r="G62" s="176">
        <v>63</v>
      </c>
      <c r="H62" s="176">
        <v>95</v>
      </c>
      <c r="I62" s="157">
        <f t="shared" ref="I62:I76" si="9">G62/F62*100</f>
        <v>67.021276595744681</v>
      </c>
      <c r="J62" s="315"/>
      <c r="K62" s="179"/>
      <c r="L62" s="179"/>
      <c r="M62" s="179"/>
      <c r="N62" s="179"/>
      <c r="O62" s="172"/>
      <c r="P62" s="172"/>
      <c r="Q62" s="172"/>
      <c r="R62" s="172"/>
      <c r="S62" s="172"/>
      <c r="T62" s="172"/>
      <c r="U62" s="172"/>
      <c r="V62" s="172"/>
    </row>
    <row r="63" spans="1:22" ht="17.25" customHeight="1" x14ac:dyDescent="0.25">
      <c r="A63" s="169" t="s">
        <v>47</v>
      </c>
      <c r="B63" s="191" t="s">
        <v>184</v>
      </c>
      <c r="C63" s="175" t="s">
        <v>96</v>
      </c>
      <c r="D63" s="176">
        <v>83.3</v>
      </c>
      <c r="E63" s="176"/>
      <c r="F63" s="176">
        <v>47</v>
      </c>
      <c r="G63" s="176">
        <v>47</v>
      </c>
      <c r="H63" s="176">
        <v>47</v>
      </c>
      <c r="I63" s="157">
        <f t="shared" si="9"/>
        <v>100</v>
      </c>
      <c r="J63" s="315"/>
      <c r="K63" s="179"/>
      <c r="L63" s="179"/>
      <c r="M63" s="179"/>
      <c r="N63" s="179"/>
      <c r="O63" s="172"/>
      <c r="P63" s="172"/>
      <c r="Q63" s="172"/>
      <c r="R63" s="172"/>
      <c r="S63" s="172"/>
      <c r="T63" s="172"/>
      <c r="U63" s="172"/>
      <c r="V63" s="172"/>
    </row>
    <row r="64" spans="1:22" ht="17.25" customHeight="1" x14ac:dyDescent="0.25">
      <c r="A64" s="169" t="s">
        <v>47</v>
      </c>
      <c r="B64" s="191" t="s">
        <v>185</v>
      </c>
      <c r="C64" s="175" t="s">
        <v>96</v>
      </c>
      <c r="D64" s="176">
        <v>86</v>
      </c>
      <c r="E64" s="176"/>
      <c r="F64" s="176">
        <v>86</v>
      </c>
      <c r="G64" s="176">
        <v>65</v>
      </c>
      <c r="H64" s="176">
        <v>90</v>
      </c>
      <c r="I64" s="157">
        <f t="shared" si="9"/>
        <v>75.581395348837205</v>
      </c>
      <c r="J64" s="315"/>
      <c r="K64" s="179"/>
      <c r="L64" s="179"/>
      <c r="M64" s="179"/>
      <c r="N64" s="179"/>
      <c r="O64" s="172"/>
      <c r="P64" s="172"/>
      <c r="Q64" s="172"/>
      <c r="R64" s="172"/>
      <c r="S64" s="172"/>
      <c r="T64" s="172"/>
      <c r="U64" s="172"/>
      <c r="V64" s="172"/>
    </row>
    <row r="65" spans="1:22" ht="16.5" customHeight="1" x14ac:dyDescent="0.25">
      <c r="A65" s="169" t="s">
        <v>47</v>
      </c>
      <c r="B65" s="191" t="s">
        <v>186</v>
      </c>
      <c r="C65" s="175" t="s">
        <v>96</v>
      </c>
      <c r="D65" s="176">
        <v>75</v>
      </c>
      <c r="E65" s="176"/>
      <c r="F65" s="176">
        <v>75</v>
      </c>
      <c r="G65" s="176">
        <v>60</v>
      </c>
      <c r="H65" s="176">
        <v>70</v>
      </c>
      <c r="I65" s="157">
        <f t="shared" si="9"/>
        <v>80</v>
      </c>
      <c r="J65" s="315"/>
      <c r="K65" s="179"/>
      <c r="L65" s="179"/>
      <c r="M65" s="179"/>
      <c r="N65" s="179"/>
      <c r="O65" s="172"/>
      <c r="P65" s="172"/>
      <c r="Q65" s="172"/>
      <c r="R65" s="172"/>
      <c r="S65" s="172"/>
      <c r="T65" s="172"/>
      <c r="U65" s="172"/>
      <c r="V65" s="172"/>
    </row>
    <row r="66" spans="1:22" ht="16.5" customHeight="1" x14ac:dyDescent="0.25">
      <c r="A66" s="169" t="s">
        <v>47</v>
      </c>
      <c r="B66" s="191" t="s">
        <v>187</v>
      </c>
      <c r="C66" s="175" t="s">
        <v>96</v>
      </c>
      <c r="D66" s="176">
        <v>75</v>
      </c>
      <c r="E66" s="176"/>
      <c r="F66" s="176">
        <v>82</v>
      </c>
      <c r="G66" s="176">
        <v>60</v>
      </c>
      <c r="H66" s="176">
        <v>70</v>
      </c>
      <c r="I66" s="157">
        <f t="shared" si="9"/>
        <v>73.170731707317074</v>
      </c>
      <c r="J66" s="315"/>
      <c r="K66" s="179"/>
      <c r="L66" s="179"/>
      <c r="M66" s="179"/>
      <c r="N66" s="179"/>
      <c r="O66" s="172"/>
      <c r="P66" s="172"/>
      <c r="Q66" s="172"/>
      <c r="R66" s="172"/>
      <c r="S66" s="172"/>
      <c r="T66" s="172"/>
      <c r="U66" s="172"/>
      <c r="V66" s="172"/>
    </row>
    <row r="67" spans="1:22" ht="16.5" customHeight="1" x14ac:dyDescent="0.25">
      <c r="A67" s="169" t="s">
        <v>47</v>
      </c>
      <c r="B67" s="191" t="s">
        <v>188</v>
      </c>
      <c r="C67" s="175" t="s">
        <v>96</v>
      </c>
      <c r="D67" s="176">
        <v>92</v>
      </c>
      <c r="E67" s="176"/>
      <c r="F67" s="176">
        <v>92</v>
      </c>
      <c r="G67" s="176">
        <v>81.3</v>
      </c>
      <c r="H67" s="176">
        <v>81.8</v>
      </c>
      <c r="I67" s="157">
        <f t="shared" si="9"/>
        <v>88.369565217391298</v>
      </c>
      <c r="J67" s="315"/>
      <c r="K67" s="179"/>
      <c r="L67" s="179"/>
      <c r="M67" s="179"/>
      <c r="N67" s="179"/>
      <c r="O67" s="172"/>
      <c r="P67" s="172"/>
      <c r="Q67" s="172"/>
      <c r="R67" s="172"/>
      <c r="S67" s="172"/>
      <c r="T67" s="172"/>
      <c r="U67" s="172"/>
      <c r="V67" s="172"/>
    </row>
    <row r="68" spans="1:22" ht="16.5" customHeight="1" x14ac:dyDescent="0.25">
      <c r="A68" s="169" t="s">
        <v>47</v>
      </c>
      <c r="B68" s="191" t="s">
        <v>189</v>
      </c>
      <c r="C68" s="175" t="s">
        <v>96</v>
      </c>
      <c r="D68" s="176">
        <v>92</v>
      </c>
      <c r="E68" s="176"/>
      <c r="F68" s="176">
        <v>92</v>
      </c>
      <c r="G68" s="176">
        <v>74</v>
      </c>
      <c r="H68" s="176">
        <v>75</v>
      </c>
      <c r="I68" s="157">
        <f t="shared" si="9"/>
        <v>80.434782608695656</v>
      </c>
      <c r="J68" s="315"/>
      <c r="K68" s="179"/>
      <c r="L68" s="179"/>
      <c r="M68" s="179"/>
      <c r="N68" s="179"/>
      <c r="O68" s="172"/>
      <c r="P68" s="172"/>
      <c r="Q68" s="172"/>
      <c r="R68" s="172"/>
      <c r="S68" s="172"/>
      <c r="T68" s="172"/>
      <c r="U68" s="172"/>
      <c r="V68" s="172"/>
    </row>
    <row r="69" spans="1:22" ht="36" customHeight="1" x14ac:dyDescent="0.25">
      <c r="A69" s="169" t="s">
        <v>47</v>
      </c>
      <c r="B69" s="191" t="s">
        <v>190</v>
      </c>
      <c r="C69" s="175" t="s">
        <v>96</v>
      </c>
      <c r="D69" s="176">
        <v>100</v>
      </c>
      <c r="E69" s="176"/>
      <c r="F69" s="176">
        <v>100</v>
      </c>
      <c r="G69" s="176">
        <v>100</v>
      </c>
      <c r="H69" s="176">
        <v>100</v>
      </c>
      <c r="I69" s="157">
        <f t="shared" si="9"/>
        <v>100</v>
      </c>
      <c r="J69" s="315"/>
      <c r="K69" s="179"/>
      <c r="L69" s="179"/>
      <c r="M69" s="179"/>
      <c r="N69" s="179"/>
      <c r="O69" s="172"/>
      <c r="P69" s="172"/>
      <c r="Q69" s="172"/>
      <c r="R69" s="172"/>
      <c r="S69" s="172"/>
      <c r="T69" s="172"/>
      <c r="U69" s="172"/>
      <c r="V69" s="172"/>
    </row>
    <row r="70" spans="1:22" ht="20.25" customHeight="1" x14ac:dyDescent="0.25">
      <c r="A70" s="169" t="s">
        <v>47</v>
      </c>
      <c r="B70" s="191" t="s">
        <v>191</v>
      </c>
      <c r="C70" s="175" t="s">
        <v>96</v>
      </c>
      <c r="D70" s="176">
        <v>97</v>
      </c>
      <c r="E70" s="176"/>
      <c r="F70" s="176">
        <v>90</v>
      </c>
      <c r="G70" s="176">
        <v>63</v>
      </c>
      <c r="H70" s="176">
        <v>70</v>
      </c>
      <c r="I70" s="157">
        <f t="shared" si="9"/>
        <v>70</v>
      </c>
      <c r="J70" s="315"/>
      <c r="K70" s="179"/>
      <c r="L70" s="179"/>
      <c r="M70" s="179"/>
      <c r="N70" s="179"/>
      <c r="O70" s="172"/>
      <c r="P70" s="172"/>
      <c r="Q70" s="172"/>
      <c r="R70" s="172"/>
      <c r="S70" s="172"/>
      <c r="T70" s="172"/>
      <c r="U70" s="172"/>
      <c r="V70" s="172"/>
    </row>
    <row r="71" spans="1:22" ht="21" customHeight="1" x14ac:dyDescent="0.25">
      <c r="A71" s="169" t="s">
        <v>47</v>
      </c>
      <c r="B71" s="191" t="s">
        <v>192</v>
      </c>
      <c r="C71" s="175" t="s">
        <v>96</v>
      </c>
      <c r="D71" s="176">
        <v>98</v>
      </c>
      <c r="E71" s="176">
        <v>97</v>
      </c>
      <c r="F71" s="176">
        <v>97</v>
      </c>
      <c r="G71" s="176">
        <v>67</v>
      </c>
      <c r="H71" s="173">
        <v>79</v>
      </c>
      <c r="I71" s="157">
        <f t="shared" si="9"/>
        <v>69.072164948453604</v>
      </c>
      <c r="J71" s="306"/>
      <c r="K71" s="179"/>
      <c r="L71" s="179"/>
      <c r="M71" s="179"/>
      <c r="N71" s="179"/>
      <c r="O71" s="172"/>
      <c r="P71" s="172"/>
      <c r="Q71" s="172"/>
      <c r="R71" s="172"/>
      <c r="S71" s="172"/>
      <c r="T71" s="172"/>
      <c r="U71" s="172"/>
      <c r="V71" s="172"/>
    </row>
    <row r="72" spans="1:22" ht="16.5" customHeight="1" x14ac:dyDescent="0.25">
      <c r="A72" s="144">
        <v>8</v>
      </c>
      <c r="B72" s="185" t="s">
        <v>193</v>
      </c>
      <c r="C72" s="144"/>
      <c r="D72" s="176"/>
      <c r="E72" s="176"/>
      <c r="F72" s="176">
        <v>98</v>
      </c>
      <c r="G72" s="176"/>
      <c r="H72" s="176"/>
      <c r="I72" s="157">
        <f t="shared" si="9"/>
        <v>0</v>
      </c>
      <c r="J72" s="178"/>
      <c r="K72" s="179"/>
      <c r="L72" s="179"/>
      <c r="M72" s="179"/>
      <c r="N72" s="179"/>
      <c r="O72" s="172"/>
      <c r="P72" s="172"/>
      <c r="Q72" s="172"/>
      <c r="R72" s="172"/>
      <c r="S72" s="172"/>
      <c r="T72" s="172"/>
      <c r="U72" s="172"/>
      <c r="V72" s="172"/>
    </row>
    <row r="73" spans="1:22" ht="16.5" customHeight="1" x14ac:dyDescent="0.25">
      <c r="A73" s="173" t="s">
        <v>47</v>
      </c>
      <c r="B73" s="181" t="s">
        <v>194</v>
      </c>
      <c r="C73" s="173" t="s">
        <v>195</v>
      </c>
      <c r="D73" s="176">
        <v>280</v>
      </c>
      <c r="E73" s="176"/>
      <c r="F73" s="176">
        <f>SUM(F74:F75)</f>
        <v>313</v>
      </c>
      <c r="G73" s="176">
        <v>295</v>
      </c>
      <c r="H73" s="176">
        <f>F73-G73</f>
        <v>18</v>
      </c>
      <c r="I73" s="157">
        <f t="shared" si="9"/>
        <v>94.249201277955279</v>
      </c>
      <c r="J73" s="322"/>
      <c r="K73" s="179"/>
      <c r="L73" s="179"/>
      <c r="M73" s="179"/>
      <c r="N73" s="179"/>
      <c r="O73" s="172"/>
      <c r="P73" s="172"/>
      <c r="Q73" s="172"/>
      <c r="R73" s="172"/>
      <c r="S73" s="172"/>
      <c r="T73" s="172"/>
      <c r="U73" s="172"/>
      <c r="V73" s="172"/>
    </row>
    <row r="74" spans="1:22" ht="16.5" customHeight="1" x14ac:dyDescent="0.25">
      <c r="A74" s="151"/>
      <c r="B74" s="197" t="s">
        <v>196</v>
      </c>
      <c r="C74" s="151" t="s">
        <v>195</v>
      </c>
      <c r="D74" s="200">
        <v>4</v>
      </c>
      <c r="E74" s="200"/>
      <c r="F74" s="200">
        <v>5</v>
      </c>
      <c r="G74" s="200">
        <v>35</v>
      </c>
      <c r="H74" s="200">
        <v>0</v>
      </c>
      <c r="I74" s="157">
        <f t="shared" si="9"/>
        <v>700</v>
      </c>
      <c r="J74" s="315"/>
      <c r="K74" s="159"/>
      <c r="L74" s="159"/>
      <c r="M74" s="159"/>
      <c r="N74" s="159"/>
      <c r="O74" s="201"/>
      <c r="P74" s="201"/>
      <c r="Q74" s="201"/>
      <c r="R74" s="201"/>
      <c r="S74" s="201"/>
      <c r="T74" s="201"/>
      <c r="U74" s="201"/>
      <c r="V74" s="201"/>
    </row>
    <row r="75" spans="1:22" ht="16.5" customHeight="1" x14ac:dyDescent="0.25">
      <c r="A75" s="151"/>
      <c r="B75" s="197" t="s">
        <v>197</v>
      </c>
      <c r="C75" s="151" t="s">
        <v>195</v>
      </c>
      <c r="D75" s="200">
        <v>190</v>
      </c>
      <c r="E75" s="200"/>
      <c r="F75" s="200">
        <v>308</v>
      </c>
      <c r="G75" s="200">
        <f>G73-G74</f>
        <v>260</v>
      </c>
      <c r="H75" s="200">
        <f>F75-G75</f>
        <v>48</v>
      </c>
      <c r="I75" s="157">
        <f t="shared" si="9"/>
        <v>84.415584415584405</v>
      </c>
      <c r="J75" s="315"/>
      <c r="K75" s="159"/>
      <c r="L75" s="159"/>
      <c r="M75" s="159"/>
      <c r="N75" s="159"/>
      <c r="O75" s="201"/>
      <c r="P75" s="201"/>
      <c r="Q75" s="201"/>
      <c r="R75" s="201"/>
      <c r="S75" s="201"/>
      <c r="T75" s="201"/>
      <c r="U75" s="201"/>
      <c r="V75" s="201"/>
    </row>
    <row r="76" spans="1:22" ht="16.5" customHeight="1" x14ac:dyDescent="0.25">
      <c r="A76" s="173" t="s">
        <v>47</v>
      </c>
      <c r="B76" s="181" t="s">
        <v>198</v>
      </c>
      <c r="C76" s="173" t="s">
        <v>199</v>
      </c>
      <c r="D76" s="176">
        <v>0.45</v>
      </c>
      <c r="E76" s="176"/>
      <c r="F76" s="176">
        <v>200</v>
      </c>
      <c r="G76" s="176">
        <v>650</v>
      </c>
      <c r="H76" s="176"/>
      <c r="I76" s="157">
        <f t="shared" si="9"/>
        <v>325</v>
      </c>
      <c r="J76" s="315"/>
      <c r="K76" s="159"/>
      <c r="L76" s="159"/>
      <c r="M76" s="159"/>
      <c r="N76" s="159"/>
      <c r="O76" s="172"/>
      <c r="P76" s="172"/>
      <c r="Q76" s="172"/>
      <c r="R76" s="172"/>
      <c r="S76" s="172"/>
      <c r="T76" s="172"/>
      <c r="U76" s="172"/>
      <c r="V76" s="172"/>
    </row>
    <row r="77" spans="1:22" ht="16.5" customHeight="1" x14ac:dyDescent="0.25">
      <c r="A77" s="173" t="s">
        <v>47</v>
      </c>
      <c r="B77" s="181" t="s">
        <v>200</v>
      </c>
      <c r="C77" s="173" t="s">
        <v>201</v>
      </c>
      <c r="D77" s="176">
        <v>0</v>
      </c>
      <c r="E77" s="176"/>
      <c r="F77" s="176">
        <v>0</v>
      </c>
      <c r="G77" s="176"/>
      <c r="H77" s="176"/>
      <c r="I77" s="157"/>
      <c r="J77" s="315"/>
      <c r="K77" s="159"/>
      <c r="L77" s="159"/>
      <c r="M77" s="159"/>
      <c r="N77" s="159"/>
      <c r="O77" s="172"/>
      <c r="P77" s="172"/>
      <c r="Q77" s="172"/>
      <c r="R77" s="172"/>
      <c r="S77" s="172"/>
      <c r="T77" s="172"/>
      <c r="U77" s="172"/>
      <c r="V77" s="172"/>
    </row>
    <row r="78" spans="1:22" ht="16.5" customHeight="1" x14ac:dyDescent="0.25">
      <c r="A78" s="173" t="s">
        <v>47</v>
      </c>
      <c r="B78" s="181" t="s">
        <v>202</v>
      </c>
      <c r="C78" s="173" t="s">
        <v>203</v>
      </c>
      <c r="D78" s="176">
        <v>0</v>
      </c>
      <c r="E78" s="176"/>
      <c r="F78" s="176">
        <v>0</v>
      </c>
      <c r="G78" s="176"/>
      <c r="H78" s="176"/>
      <c r="I78" s="157"/>
      <c r="J78" s="315"/>
      <c r="K78" s="159"/>
      <c r="L78" s="159"/>
      <c r="M78" s="159"/>
      <c r="N78" s="159"/>
      <c r="O78" s="172"/>
      <c r="P78" s="172"/>
      <c r="Q78" s="172"/>
      <c r="R78" s="172"/>
      <c r="S78" s="172"/>
      <c r="T78" s="172"/>
      <c r="U78" s="172"/>
      <c r="V78" s="172"/>
    </row>
    <row r="79" spans="1:22" ht="16.5" customHeight="1" x14ac:dyDescent="0.25">
      <c r="A79" s="173" t="s">
        <v>47</v>
      </c>
      <c r="B79" s="181" t="s">
        <v>204</v>
      </c>
      <c r="C79" s="173" t="s">
        <v>203</v>
      </c>
      <c r="D79" s="176">
        <v>0</v>
      </c>
      <c r="E79" s="176"/>
      <c r="F79" s="176"/>
      <c r="G79" s="176"/>
      <c r="H79" s="176"/>
      <c r="I79" s="157"/>
      <c r="J79" s="315"/>
      <c r="K79" s="159"/>
      <c r="L79" s="159"/>
      <c r="M79" s="159"/>
      <c r="N79" s="159"/>
      <c r="O79" s="172"/>
      <c r="P79" s="172"/>
      <c r="Q79" s="172"/>
      <c r="R79" s="172"/>
      <c r="S79" s="172"/>
      <c r="T79" s="172"/>
      <c r="U79" s="172"/>
      <c r="V79" s="172"/>
    </row>
    <row r="80" spans="1:22" ht="16.5" customHeight="1" x14ac:dyDescent="0.25">
      <c r="A80" s="173" t="s">
        <v>47</v>
      </c>
      <c r="B80" s="181" t="s">
        <v>205</v>
      </c>
      <c r="C80" s="173" t="s">
        <v>96</v>
      </c>
      <c r="D80" s="176">
        <v>100</v>
      </c>
      <c r="E80" s="176"/>
      <c r="F80" s="176">
        <v>100</v>
      </c>
      <c r="G80" s="176">
        <v>100</v>
      </c>
      <c r="H80" s="176">
        <v>100</v>
      </c>
      <c r="I80" s="157">
        <f t="shared" ref="I80:I91" si="10">G80/F80*100</f>
        <v>100</v>
      </c>
      <c r="J80" s="315"/>
      <c r="K80" s="159"/>
      <c r="L80" s="159"/>
      <c r="M80" s="159"/>
      <c r="N80" s="159"/>
      <c r="O80" s="172"/>
      <c r="P80" s="172"/>
      <c r="Q80" s="172"/>
      <c r="R80" s="172"/>
      <c r="S80" s="172"/>
      <c r="T80" s="172"/>
      <c r="U80" s="172"/>
      <c r="V80" s="172"/>
    </row>
    <row r="81" spans="1:22" ht="16.5" customHeight="1" x14ac:dyDescent="0.25">
      <c r="A81" s="173" t="s">
        <v>47</v>
      </c>
      <c r="B81" s="181" t="s">
        <v>206</v>
      </c>
      <c r="C81" s="173" t="s">
        <v>96</v>
      </c>
      <c r="D81" s="176">
        <v>100</v>
      </c>
      <c r="E81" s="176"/>
      <c r="F81" s="176">
        <v>100</v>
      </c>
      <c r="G81" s="176">
        <v>100</v>
      </c>
      <c r="H81" s="176">
        <v>100</v>
      </c>
      <c r="I81" s="157">
        <f t="shared" si="10"/>
        <v>100</v>
      </c>
      <c r="J81" s="315"/>
      <c r="K81" s="159"/>
      <c r="L81" s="159"/>
      <c r="M81" s="159"/>
      <c r="N81" s="159"/>
      <c r="O81" s="172"/>
      <c r="P81" s="172"/>
      <c r="Q81" s="172"/>
      <c r="R81" s="172"/>
      <c r="S81" s="172"/>
      <c r="T81" s="172"/>
      <c r="U81" s="172"/>
      <c r="V81" s="172"/>
    </row>
    <row r="82" spans="1:22" ht="16.5" customHeight="1" x14ac:dyDescent="0.25">
      <c r="A82" s="173" t="s">
        <v>47</v>
      </c>
      <c r="B82" s="181" t="s">
        <v>207</v>
      </c>
      <c r="C82" s="173" t="s">
        <v>96</v>
      </c>
      <c r="D82" s="176">
        <v>85</v>
      </c>
      <c r="E82" s="176"/>
      <c r="F82" s="176">
        <v>100</v>
      </c>
      <c r="G82" s="176">
        <v>100</v>
      </c>
      <c r="H82" s="176">
        <v>100</v>
      </c>
      <c r="I82" s="157">
        <f t="shared" si="10"/>
        <v>100</v>
      </c>
      <c r="J82" s="315"/>
      <c r="K82" s="159"/>
      <c r="L82" s="159"/>
      <c r="M82" s="159"/>
      <c r="N82" s="159"/>
      <c r="O82" s="172"/>
      <c r="P82" s="172"/>
      <c r="Q82" s="172"/>
      <c r="R82" s="172"/>
      <c r="S82" s="172"/>
      <c r="T82" s="172"/>
      <c r="U82" s="172"/>
      <c r="V82" s="172"/>
    </row>
    <row r="83" spans="1:22" ht="16.5" customHeight="1" x14ac:dyDescent="0.25">
      <c r="A83" s="173" t="s">
        <v>47</v>
      </c>
      <c r="B83" s="181" t="s">
        <v>208</v>
      </c>
      <c r="C83" s="173" t="s">
        <v>96</v>
      </c>
      <c r="D83" s="176">
        <v>38</v>
      </c>
      <c r="E83" s="176"/>
      <c r="F83" s="176">
        <v>86</v>
      </c>
      <c r="G83" s="176">
        <v>86</v>
      </c>
      <c r="H83" s="176">
        <v>86</v>
      </c>
      <c r="I83" s="157">
        <f t="shared" si="10"/>
        <v>100</v>
      </c>
      <c r="J83" s="315"/>
      <c r="K83" s="159"/>
      <c r="L83" s="159"/>
      <c r="M83" s="159"/>
      <c r="N83" s="159"/>
      <c r="O83" s="172"/>
      <c r="P83" s="172"/>
      <c r="Q83" s="172"/>
      <c r="R83" s="172"/>
      <c r="S83" s="172"/>
      <c r="T83" s="172"/>
      <c r="U83" s="172"/>
      <c r="V83" s="172"/>
    </row>
    <row r="84" spans="1:22" ht="16.5" customHeight="1" x14ac:dyDescent="0.25">
      <c r="A84" s="173" t="s">
        <v>47</v>
      </c>
      <c r="B84" s="181" t="s">
        <v>209</v>
      </c>
      <c r="C84" s="173" t="s">
        <v>210</v>
      </c>
      <c r="D84" s="176">
        <v>4</v>
      </c>
      <c r="E84" s="176"/>
      <c r="F84" s="176">
        <v>38</v>
      </c>
      <c r="G84" s="176">
        <v>38</v>
      </c>
      <c r="H84" s="176">
        <v>38</v>
      </c>
      <c r="I84" s="157">
        <f t="shared" si="10"/>
        <v>100</v>
      </c>
      <c r="J84" s="315"/>
      <c r="K84" s="159"/>
      <c r="L84" s="159"/>
      <c r="M84" s="159"/>
      <c r="N84" s="159"/>
      <c r="O84" s="172"/>
      <c r="P84" s="172"/>
      <c r="Q84" s="172"/>
      <c r="R84" s="172"/>
      <c r="S84" s="172"/>
      <c r="T84" s="172"/>
      <c r="U84" s="172"/>
      <c r="V84" s="172"/>
    </row>
    <row r="85" spans="1:22" ht="16.5" customHeight="1" x14ac:dyDescent="0.25">
      <c r="A85" s="173" t="s">
        <v>47</v>
      </c>
      <c r="B85" s="181" t="s">
        <v>211</v>
      </c>
      <c r="C85" s="173" t="s">
        <v>96</v>
      </c>
      <c r="D85" s="176">
        <v>80</v>
      </c>
      <c r="E85" s="176"/>
      <c r="F85" s="176">
        <v>4</v>
      </c>
      <c r="G85" s="176">
        <v>4</v>
      </c>
      <c r="H85" s="176">
        <v>4</v>
      </c>
      <c r="I85" s="157">
        <f t="shared" si="10"/>
        <v>100</v>
      </c>
      <c r="J85" s="306"/>
      <c r="K85" s="159"/>
      <c r="L85" s="159"/>
      <c r="M85" s="159"/>
      <c r="N85" s="159"/>
      <c r="O85" s="172"/>
      <c r="P85" s="172"/>
      <c r="Q85" s="172"/>
      <c r="R85" s="172"/>
      <c r="S85" s="172"/>
      <c r="T85" s="172"/>
      <c r="U85" s="172"/>
      <c r="V85" s="172"/>
    </row>
    <row r="86" spans="1:22" ht="16.5" customHeight="1" x14ac:dyDescent="0.25">
      <c r="A86" s="144">
        <v>9</v>
      </c>
      <c r="B86" s="185" t="s">
        <v>212</v>
      </c>
      <c r="C86" s="144"/>
      <c r="D86" s="176"/>
      <c r="E86" s="176"/>
      <c r="F86" s="176">
        <v>81</v>
      </c>
      <c r="G86" s="177"/>
      <c r="H86" s="176"/>
      <c r="I86" s="157">
        <f t="shared" si="10"/>
        <v>0</v>
      </c>
      <c r="J86" s="178"/>
      <c r="K86" s="179"/>
      <c r="L86" s="179"/>
      <c r="M86" s="179"/>
      <c r="N86" s="179"/>
      <c r="O86" s="172"/>
      <c r="P86" s="172"/>
      <c r="Q86" s="172"/>
      <c r="R86" s="172"/>
      <c r="S86" s="172"/>
      <c r="T86" s="172"/>
      <c r="U86" s="172"/>
      <c r="V86" s="172"/>
    </row>
    <row r="87" spans="1:22" ht="16.5" customHeight="1" x14ac:dyDescent="0.25">
      <c r="A87" s="175" t="s">
        <v>47</v>
      </c>
      <c r="B87" s="174" t="s">
        <v>213</v>
      </c>
      <c r="C87" s="175" t="s">
        <v>214</v>
      </c>
      <c r="D87" s="176">
        <v>13</v>
      </c>
      <c r="E87" s="176"/>
      <c r="F87" s="176">
        <v>13</v>
      </c>
      <c r="G87" s="171">
        <v>12</v>
      </c>
      <c r="H87" s="171">
        <v>12</v>
      </c>
      <c r="I87" s="157">
        <f t="shared" si="10"/>
        <v>92.307692307692307</v>
      </c>
      <c r="J87" s="322" t="s">
        <v>215</v>
      </c>
      <c r="K87" s="179"/>
      <c r="L87" s="179"/>
      <c r="M87" s="179"/>
      <c r="N87" s="179"/>
      <c r="O87" s="172"/>
      <c r="P87" s="172"/>
      <c r="Q87" s="172"/>
      <c r="R87" s="172"/>
      <c r="S87" s="172"/>
      <c r="T87" s="172"/>
      <c r="U87" s="172"/>
      <c r="V87" s="172"/>
    </row>
    <row r="88" spans="1:22" ht="16.5" customHeight="1" x14ac:dyDescent="0.25">
      <c r="A88" s="202"/>
      <c r="B88" s="203" t="s">
        <v>216</v>
      </c>
      <c r="C88" s="202" t="s">
        <v>214</v>
      </c>
      <c r="D88" s="176">
        <v>2</v>
      </c>
      <c r="E88" s="176"/>
      <c r="F88" s="176">
        <v>14</v>
      </c>
      <c r="G88" s="171">
        <v>0</v>
      </c>
      <c r="H88" s="171">
        <v>0</v>
      </c>
      <c r="I88" s="157">
        <f t="shared" si="10"/>
        <v>0</v>
      </c>
      <c r="J88" s="315"/>
      <c r="K88" s="179"/>
      <c r="L88" s="179"/>
      <c r="M88" s="179"/>
      <c r="N88" s="179"/>
      <c r="O88" s="172"/>
      <c r="P88" s="172"/>
      <c r="Q88" s="172"/>
      <c r="R88" s="172"/>
      <c r="S88" s="172"/>
      <c r="T88" s="172"/>
      <c r="U88" s="172"/>
      <c r="V88" s="172"/>
    </row>
    <row r="89" spans="1:22" ht="16.5" customHeight="1" x14ac:dyDescent="0.25">
      <c r="A89" s="202"/>
      <c r="B89" s="203" t="s">
        <v>217</v>
      </c>
      <c r="C89" s="202" t="s">
        <v>214</v>
      </c>
      <c r="D89" s="176">
        <v>0</v>
      </c>
      <c r="E89" s="176"/>
      <c r="F89" s="176">
        <v>1</v>
      </c>
      <c r="G89" s="171">
        <v>0</v>
      </c>
      <c r="H89" s="171">
        <v>0</v>
      </c>
      <c r="I89" s="157">
        <f t="shared" si="10"/>
        <v>0</v>
      </c>
      <c r="J89" s="315"/>
      <c r="K89" s="179"/>
      <c r="L89" s="179"/>
      <c r="M89" s="179"/>
      <c r="N89" s="179"/>
      <c r="O89" s="172"/>
      <c r="P89" s="172"/>
      <c r="Q89" s="172"/>
      <c r="R89" s="172"/>
      <c r="S89" s="172"/>
      <c r="T89" s="172"/>
      <c r="U89" s="172"/>
      <c r="V89" s="172"/>
    </row>
    <row r="90" spans="1:22" ht="16.5" customHeight="1" x14ac:dyDescent="0.25">
      <c r="A90" s="175" t="s">
        <v>47</v>
      </c>
      <c r="B90" s="174" t="s">
        <v>218</v>
      </c>
      <c r="C90" s="175" t="s">
        <v>126</v>
      </c>
      <c r="D90" s="176">
        <v>162</v>
      </c>
      <c r="E90" s="176"/>
      <c r="F90" s="176">
        <v>2</v>
      </c>
      <c r="G90" s="171"/>
      <c r="H90" s="171"/>
      <c r="I90" s="157">
        <f t="shared" si="10"/>
        <v>0</v>
      </c>
      <c r="J90" s="315"/>
      <c r="K90" s="179"/>
      <c r="L90" s="179"/>
      <c r="M90" s="179"/>
      <c r="N90" s="179"/>
      <c r="O90" s="172"/>
      <c r="P90" s="172"/>
      <c r="Q90" s="172"/>
      <c r="R90" s="172"/>
      <c r="S90" s="172"/>
      <c r="T90" s="172"/>
      <c r="U90" s="172"/>
      <c r="V90" s="172"/>
    </row>
    <row r="91" spans="1:22" ht="16.5" customHeight="1" x14ac:dyDescent="0.25">
      <c r="A91" s="175" t="s">
        <v>47</v>
      </c>
      <c r="B91" s="174" t="s">
        <v>219</v>
      </c>
      <c r="C91" s="175" t="s">
        <v>96</v>
      </c>
      <c r="D91" s="176">
        <v>57.06</v>
      </c>
      <c r="E91" s="176"/>
      <c r="F91" s="176">
        <v>60</v>
      </c>
      <c r="G91" s="204"/>
      <c r="H91" s="171"/>
      <c r="I91" s="157">
        <f t="shared" si="10"/>
        <v>0</v>
      </c>
      <c r="J91" s="306"/>
      <c r="K91" s="179"/>
      <c r="L91" s="179"/>
      <c r="M91" s="179"/>
      <c r="N91" s="179"/>
      <c r="O91" s="172"/>
      <c r="P91" s="172"/>
      <c r="Q91" s="172"/>
      <c r="R91" s="172"/>
      <c r="S91" s="172"/>
      <c r="T91" s="172"/>
      <c r="U91" s="172"/>
      <c r="V91" s="172"/>
    </row>
    <row r="92" spans="1:22" ht="16.5" customHeight="1" x14ac:dyDescent="0.25">
      <c r="A92" s="169">
        <v>10</v>
      </c>
      <c r="B92" s="166" t="s">
        <v>220</v>
      </c>
      <c r="C92" s="169"/>
      <c r="D92" s="168">
        <v>0</v>
      </c>
      <c r="E92" s="168"/>
      <c r="F92" s="168"/>
      <c r="G92" s="205"/>
      <c r="H92" s="171"/>
      <c r="I92" s="157"/>
      <c r="J92" s="178"/>
      <c r="K92" s="179"/>
      <c r="L92" s="179"/>
      <c r="M92" s="179"/>
      <c r="N92" s="179"/>
      <c r="O92" s="172"/>
      <c r="P92" s="172"/>
      <c r="Q92" s="172"/>
      <c r="R92" s="172"/>
      <c r="S92" s="172"/>
      <c r="T92" s="172"/>
      <c r="U92" s="172"/>
      <c r="V92" s="172"/>
    </row>
    <row r="93" spans="1:22" ht="16.5" customHeight="1" x14ac:dyDescent="0.25">
      <c r="A93" s="175" t="s">
        <v>47</v>
      </c>
      <c r="B93" s="174" t="s">
        <v>221</v>
      </c>
      <c r="C93" s="175" t="s">
        <v>222</v>
      </c>
      <c r="D93" s="168">
        <v>0</v>
      </c>
      <c r="E93" s="168"/>
      <c r="F93" s="168">
        <v>0</v>
      </c>
      <c r="G93" s="205"/>
      <c r="H93" s="171"/>
      <c r="I93" s="157"/>
      <c r="J93" s="322"/>
      <c r="K93" s="179"/>
      <c r="L93" s="179"/>
      <c r="M93" s="179"/>
      <c r="N93" s="179"/>
      <c r="O93" s="172"/>
      <c r="P93" s="172"/>
      <c r="Q93" s="172"/>
      <c r="R93" s="172"/>
      <c r="S93" s="172"/>
      <c r="T93" s="172"/>
      <c r="U93" s="172"/>
      <c r="V93" s="172"/>
    </row>
    <row r="94" spans="1:22" ht="16.5" customHeight="1" x14ac:dyDescent="0.25">
      <c r="A94" s="175" t="s">
        <v>47</v>
      </c>
      <c r="B94" s="174" t="s">
        <v>223</v>
      </c>
      <c r="C94" s="175" t="s">
        <v>126</v>
      </c>
      <c r="D94" s="168">
        <v>0</v>
      </c>
      <c r="E94" s="168"/>
      <c r="F94" s="168">
        <v>0</v>
      </c>
      <c r="G94" s="205"/>
      <c r="H94" s="171"/>
      <c r="I94" s="157"/>
      <c r="J94" s="306"/>
      <c r="K94" s="179"/>
      <c r="L94" s="179"/>
      <c r="M94" s="179"/>
      <c r="N94" s="179"/>
      <c r="O94" s="172"/>
      <c r="P94" s="172"/>
      <c r="Q94" s="172"/>
      <c r="R94" s="172"/>
      <c r="S94" s="172"/>
      <c r="T94" s="172"/>
      <c r="U94" s="172"/>
      <c r="V94" s="172"/>
    </row>
    <row r="95" spans="1:22" ht="16.5" customHeight="1" x14ac:dyDescent="0.25">
      <c r="A95" s="169">
        <v>11</v>
      </c>
      <c r="B95" s="166" t="s">
        <v>224</v>
      </c>
      <c r="C95" s="169"/>
      <c r="D95" s="168"/>
      <c r="E95" s="168"/>
      <c r="F95" s="168">
        <v>0</v>
      </c>
      <c r="G95" s="173"/>
      <c r="H95" s="171"/>
      <c r="I95" s="157"/>
      <c r="J95" s="178"/>
      <c r="K95" s="179"/>
      <c r="L95" s="179"/>
      <c r="M95" s="179"/>
      <c r="N95" s="179"/>
      <c r="O95" s="172"/>
      <c r="P95" s="172"/>
      <c r="Q95" s="172"/>
      <c r="R95" s="172"/>
      <c r="S95" s="172"/>
      <c r="T95" s="172"/>
      <c r="U95" s="172"/>
      <c r="V95" s="172"/>
    </row>
    <row r="96" spans="1:22" ht="16.5" customHeight="1" x14ac:dyDescent="0.25">
      <c r="A96" s="175" t="s">
        <v>47</v>
      </c>
      <c r="B96" s="174" t="s">
        <v>225</v>
      </c>
      <c r="C96" s="175" t="s">
        <v>226</v>
      </c>
      <c r="D96" s="206">
        <v>5000</v>
      </c>
      <c r="E96" s="206"/>
      <c r="F96" s="168"/>
      <c r="G96" s="171"/>
      <c r="H96" s="171"/>
      <c r="I96" s="157"/>
      <c r="J96" s="322"/>
      <c r="K96" s="179"/>
      <c r="L96" s="179"/>
      <c r="M96" s="179"/>
      <c r="N96" s="179"/>
      <c r="O96" s="172"/>
      <c r="P96" s="172"/>
      <c r="Q96" s="172"/>
      <c r="R96" s="172"/>
      <c r="S96" s="172"/>
      <c r="T96" s="172"/>
      <c r="U96" s="172"/>
      <c r="V96" s="172"/>
    </row>
    <row r="97" spans="1:22" ht="16.5" customHeight="1" x14ac:dyDescent="0.25">
      <c r="A97" s="175" t="s">
        <v>47</v>
      </c>
      <c r="B97" s="174" t="s">
        <v>227</v>
      </c>
      <c r="C97" s="175" t="s">
        <v>228</v>
      </c>
      <c r="D97" s="168"/>
      <c r="E97" s="168"/>
      <c r="F97" s="206">
        <v>5100</v>
      </c>
      <c r="G97" s="204"/>
      <c r="H97" s="171"/>
      <c r="I97" s="157">
        <f>G97/F97*100</f>
        <v>0</v>
      </c>
      <c r="J97" s="306"/>
      <c r="K97" s="179"/>
      <c r="L97" s="179"/>
      <c r="M97" s="179"/>
      <c r="N97" s="179"/>
      <c r="O97" s="172"/>
      <c r="P97" s="172"/>
      <c r="Q97" s="172"/>
      <c r="R97" s="172"/>
      <c r="S97" s="172"/>
      <c r="T97" s="172"/>
      <c r="U97" s="172"/>
      <c r="V97" s="172"/>
    </row>
    <row r="98" spans="1:22" ht="16.5" customHeight="1" x14ac:dyDescent="0.25">
      <c r="A98" s="169">
        <v>12</v>
      </c>
      <c r="B98" s="166" t="s">
        <v>229</v>
      </c>
      <c r="C98" s="169" t="s">
        <v>199</v>
      </c>
      <c r="D98" s="168"/>
      <c r="E98" s="168"/>
      <c r="F98" s="168"/>
      <c r="G98" s="207"/>
      <c r="H98" s="171"/>
      <c r="I98" s="157"/>
      <c r="J98" s="178"/>
      <c r="K98" s="149"/>
      <c r="L98" s="149"/>
      <c r="M98" s="149"/>
      <c r="N98" s="149"/>
      <c r="O98" s="172"/>
      <c r="P98" s="172"/>
      <c r="Q98" s="172"/>
      <c r="R98" s="172"/>
      <c r="S98" s="172"/>
      <c r="T98" s="172"/>
      <c r="U98" s="172"/>
      <c r="V98" s="172"/>
    </row>
    <row r="99" spans="1:22" ht="16.5" customHeight="1" x14ac:dyDescent="0.25">
      <c r="A99" s="169">
        <v>13</v>
      </c>
      <c r="B99" s="166" t="s">
        <v>230</v>
      </c>
      <c r="C99" s="169"/>
      <c r="D99" s="168"/>
      <c r="E99" s="168"/>
      <c r="F99" s="168"/>
      <c r="G99" s="205"/>
      <c r="H99" s="171"/>
      <c r="I99" s="157"/>
      <c r="J99" s="148"/>
      <c r="K99" s="149"/>
      <c r="L99" s="149"/>
      <c r="M99" s="149"/>
      <c r="N99" s="149"/>
      <c r="O99" s="172"/>
      <c r="P99" s="172"/>
      <c r="Q99" s="172"/>
      <c r="R99" s="172"/>
      <c r="S99" s="172"/>
      <c r="T99" s="172"/>
      <c r="U99" s="172"/>
      <c r="V99" s="172"/>
    </row>
    <row r="100" spans="1:22" ht="16.5" customHeight="1" x14ac:dyDescent="0.25">
      <c r="A100" s="175" t="s">
        <v>47</v>
      </c>
      <c r="B100" s="174" t="s">
        <v>231</v>
      </c>
      <c r="C100" s="175" t="s">
        <v>232</v>
      </c>
      <c r="D100" s="168">
        <v>0</v>
      </c>
      <c r="E100" s="168"/>
      <c r="F100" s="168"/>
      <c r="G100" s="205"/>
      <c r="H100" s="171"/>
      <c r="I100" s="157"/>
      <c r="J100" s="322" t="s">
        <v>233</v>
      </c>
      <c r="K100" s="179"/>
      <c r="L100" s="179"/>
      <c r="M100" s="179"/>
      <c r="N100" s="179"/>
      <c r="O100" s="172"/>
      <c r="P100" s="172"/>
      <c r="Q100" s="172"/>
      <c r="R100" s="172"/>
      <c r="S100" s="172"/>
      <c r="T100" s="172"/>
      <c r="U100" s="172"/>
      <c r="V100" s="172"/>
    </row>
    <row r="101" spans="1:22" ht="16.5" customHeight="1" x14ac:dyDescent="0.25">
      <c r="A101" s="175" t="s">
        <v>47</v>
      </c>
      <c r="B101" s="174" t="s">
        <v>234</v>
      </c>
      <c r="C101" s="175" t="s">
        <v>96</v>
      </c>
      <c r="D101" s="168"/>
      <c r="E101" s="168"/>
      <c r="F101" s="168">
        <v>0</v>
      </c>
      <c r="G101" s="204"/>
      <c r="H101" s="171"/>
      <c r="I101" s="157"/>
      <c r="J101" s="306"/>
      <c r="K101" s="179"/>
      <c r="L101" s="179"/>
      <c r="M101" s="179"/>
      <c r="N101" s="179"/>
      <c r="O101" s="172"/>
      <c r="P101" s="172"/>
      <c r="Q101" s="172"/>
      <c r="R101" s="172"/>
      <c r="S101" s="172"/>
      <c r="T101" s="172"/>
      <c r="U101" s="172"/>
      <c r="V101" s="172"/>
    </row>
    <row r="102" spans="1:22" ht="16.5" customHeight="1" x14ac:dyDescent="0.25">
      <c r="A102" s="169">
        <v>14</v>
      </c>
      <c r="B102" s="166" t="s">
        <v>235</v>
      </c>
      <c r="C102" s="169" t="s">
        <v>96</v>
      </c>
      <c r="D102" s="176">
        <v>100</v>
      </c>
      <c r="E102" s="176"/>
      <c r="F102" s="176">
        <v>100</v>
      </c>
      <c r="G102" s="176">
        <v>100</v>
      </c>
      <c r="H102" s="171">
        <v>100</v>
      </c>
      <c r="I102" s="157">
        <f t="shared" ref="I102:I109" si="11">G102/F102*100</f>
        <v>100</v>
      </c>
      <c r="J102" s="178"/>
      <c r="K102" s="179"/>
      <c r="L102" s="179"/>
      <c r="M102" s="179"/>
      <c r="N102" s="179"/>
      <c r="O102" s="172"/>
      <c r="P102" s="172"/>
      <c r="Q102" s="172"/>
      <c r="R102" s="172"/>
      <c r="S102" s="172"/>
      <c r="T102" s="172"/>
      <c r="U102" s="172"/>
      <c r="V102" s="172"/>
    </row>
    <row r="103" spans="1:22" ht="16.5" customHeight="1" x14ac:dyDescent="0.25">
      <c r="A103" s="169">
        <v>15</v>
      </c>
      <c r="B103" s="166" t="s">
        <v>236</v>
      </c>
      <c r="C103" s="169" t="s">
        <v>96</v>
      </c>
      <c r="D103" s="176">
        <v>100</v>
      </c>
      <c r="E103" s="176"/>
      <c r="F103" s="176">
        <v>100</v>
      </c>
      <c r="G103" s="176">
        <v>100</v>
      </c>
      <c r="H103" s="171">
        <v>100</v>
      </c>
      <c r="I103" s="157">
        <f t="shared" si="11"/>
        <v>100</v>
      </c>
      <c r="J103" s="178"/>
      <c r="K103" s="179"/>
      <c r="L103" s="179"/>
      <c r="M103" s="179"/>
      <c r="N103" s="179"/>
      <c r="O103" s="172"/>
      <c r="P103" s="172"/>
      <c r="Q103" s="172"/>
      <c r="R103" s="172"/>
      <c r="S103" s="172"/>
      <c r="T103" s="172"/>
      <c r="U103" s="172"/>
      <c r="V103" s="172"/>
    </row>
    <row r="104" spans="1:22" ht="16.5" customHeight="1" x14ac:dyDescent="0.25">
      <c r="A104" s="169">
        <v>16</v>
      </c>
      <c r="B104" s="166" t="s">
        <v>237</v>
      </c>
      <c r="C104" s="169" t="s">
        <v>96</v>
      </c>
      <c r="D104" s="176">
        <v>100</v>
      </c>
      <c r="E104" s="176"/>
      <c r="F104" s="176">
        <v>100</v>
      </c>
      <c r="G104" s="176">
        <v>100</v>
      </c>
      <c r="H104" s="171">
        <v>100</v>
      </c>
      <c r="I104" s="157">
        <f t="shared" si="11"/>
        <v>100</v>
      </c>
      <c r="J104" s="178"/>
      <c r="K104" s="179"/>
      <c r="L104" s="179"/>
      <c r="M104" s="179"/>
      <c r="N104" s="179"/>
      <c r="O104" s="172"/>
      <c r="P104" s="172"/>
      <c r="Q104" s="172"/>
      <c r="R104" s="172"/>
      <c r="S104" s="172"/>
      <c r="T104" s="172"/>
      <c r="U104" s="172"/>
      <c r="V104" s="172"/>
    </row>
    <row r="105" spans="1:22" ht="16.5" customHeight="1" x14ac:dyDescent="0.25">
      <c r="A105" s="169">
        <v>17</v>
      </c>
      <c r="B105" s="166" t="s">
        <v>238</v>
      </c>
      <c r="C105" s="169"/>
      <c r="D105" s="176"/>
      <c r="E105" s="176"/>
      <c r="F105" s="176">
        <v>100</v>
      </c>
      <c r="G105" s="177"/>
      <c r="H105" s="171"/>
      <c r="I105" s="157">
        <f t="shared" si="11"/>
        <v>0</v>
      </c>
      <c r="J105" s="178"/>
      <c r="K105" s="179"/>
      <c r="L105" s="179"/>
      <c r="M105" s="179"/>
      <c r="N105" s="179"/>
      <c r="O105" s="172"/>
      <c r="P105" s="172"/>
      <c r="Q105" s="172"/>
      <c r="R105" s="172"/>
      <c r="S105" s="172"/>
      <c r="T105" s="172"/>
      <c r="U105" s="172"/>
      <c r="V105" s="172"/>
    </row>
    <row r="106" spans="1:22" ht="16.5" customHeight="1" x14ac:dyDescent="0.25">
      <c r="A106" s="175" t="s">
        <v>47</v>
      </c>
      <c r="B106" s="174" t="s">
        <v>239</v>
      </c>
      <c r="C106" s="175" t="s">
        <v>96</v>
      </c>
      <c r="D106" s="176">
        <v>88</v>
      </c>
      <c r="E106" s="176"/>
      <c r="F106" s="176">
        <v>88</v>
      </c>
      <c r="G106" s="208">
        <v>80</v>
      </c>
      <c r="H106" s="208">
        <v>88</v>
      </c>
      <c r="I106" s="157">
        <f t="shared" si="11"/>
        <v>90.909090909090907</v>
      </c>
      <c r="J106" s="322"/>
      <c r="K106" s="179"/>
      <c r="L106" s="179"/>
      <c r="M106" s="179"/>
      <c r="N106" s="179"/>
      <c r="O106" s="172"/>
      <c r="P106" s="172"/>
      <c r="Q106" s="172"/>
      <c r="R106" s="172"/>
      <c r="S106" s="172"/>
      <c r="T106" s="172"/>
      <c r="U106" s="172"/>
      <c r="V106" s="172"/>
    </row>
    <row r="107" spans="1:22" ht="16.5" customHeight="1" x14ac:dyDescent="0.25">
      <c r="A107" s="175"/>
      <c r="B107" s="174" t="s">
        <v>240</v>
      </c>
      <c r="C107" s="175" t="s">
        <v>96</v>
      </c>
      <c r="D107" s="176">
        <v>91</v>
      </c>
      <c r="E107" s="176"/>
      <c r="F107" s="176">
        <v>88</v>
      </c>
      <c r="G107" s="208">
        <v>75</v>
      </c>
      <c r="H107" s="208">
        <v>88</v>
      </c>
      <c r="I107" s="157">
        <f t="shared" si="11"/>
        <v>85.227272727272734</v>
      </c>
      <c r="J107" s="315"/>
      <c r="K107" s="179"/>
      <c r="L107" s="179"/>
      <c r="M107" s="179"/>
      <c r="N107" s="179"/>
      <c r="O107" s="172"/>
      <c r="P107" s="172"/>
      <c r="Q107" s="172"/>
      <c r="R107" s="172"/>
      <c r="S107" s="172"/>
      <c r="T107" s="172"/>
      <c r="U107" s="172"/>
      <c r="V107" s="172"/>
    </row>
    <row r="108" spans="1:22" ht="18" customHeight="1" x14ac:dyDescent="0.25">
      <c r="A108" s="175" t="s">
        <v>47</v>
      </c>
      <c r="B108" s="174" t="s">
        <v>241</v>
      </c>
      <c r="C108" s="173" t="s">
        <v>96</v>
      </c>
      <c r="D108" s="176">
        <v>95</v>
      </c>
      <c r="E108" s="176"/>
      <c r="F108" s="176">
        <v>91</v>
      </c>
      <c r="G108" s="209">
        <v>71.94</v>
      </c>
      <c r="H108" s="204">
        <f t="shared" ref="H108:H110" si="12">G108</f>
        <v>71.94</v>
      </c>
      <c r="I108" s="157">
        <f t="shared" si="11"/>
        <v>79.054945054945051</v>
      </c>
      <c r="J108" s="315"/>
      <c r="K108" s="179"/>
      <c r="L108" s="179"/>
      <c r="M108" s="179"/>
      <c r="N108" s="179"/>
      <c r="O108" s="172"/>
      <c r="P108" s="172"/>
      <c r="Q108" s="172"/>
      <c r="R108" s="172"/>
      <c r="S108" s="172"/>
      <c r="T108" s="172"/>
      <c r="U108" s="172"/>
      <c r="V108" s="172"/>
    </row>
    <row r="109" spans="1:22" ht="18" customHeight="1" x14ac:dyDescent="0.25">
      <c r="A109" s="175" t="s">
        <v>47</v>
      </c>
      <c r="B109" s="174" t="s">
        <v>242</v>
      </c>
      <c r="C109" s="173" t="s">
        <v>96</v>
      </c>
      <c r="D109" s="176">
        <v>26</v>
      </c>
      <c r="E109" s="176"/>
      <c r="F109" s="176">
        <v>30</v>
      </c>
      <c r="G109" s="209">
        <v>28.06</v>
      </c>
      <c r="H109" s="204">
        <f t="shared" si="12"/>
        <v>28.06</v>
      </c>
      <c r="I109" s="157">
        <f t="shared" si="11"/>
        <v>93.533333333333317</v>
      </c>
      <c r="J109" s="315"/>
      <c r="K109" s="179"/>
      <c r="L109" s="179"/>
      <c r="M109" s="179"/>
      <c r="N109" s="179"/>
      <c r="O109" s="172"/>
      <c r="P109" s="172"/>
      <c r="Q109" s="172"/>
      <c r="R109" s="172"/>
      <c r="S109" s="172"/>
      <c r="T109" s="172"/>
      <c r="U109" s="172"/>
      <c r="V109" s="172"/>
    </row>
    <row r="110" spans="1:22" ht="18" customHeight="1" x14ac:dyDescent="0.25">
      <c r="A110" s="175" t="s">
        <v>47</v>
      </c>
      <c r="B110" s="174" t="s">
        <v>243</v>
      </c>
      <c r="C110" s="173" t="s">
        <v>244</v>
      </c>
      <c r="D110" s="176">
        <v>89</v>
      </c>
      <c r="E110" s="176">
        <v>187</v>
      </c>
      <c r="F110" s="176"/>
      <c r="G110" s="209">
        <f>'PL 01'!F14+'PL 01'!F20</f>
        <v>194.64000000000001</v>
      </c>
      <c r="H110" s="209">
        <f t="shared" si="12"/>
        <v>194.64000000000001</v>
      </c>
      <c r="I110" s="157"/>
      <c r="J110" s="315"/>
      <c r="K110" s="179"/>
      <c r="L110" s="179"/>
      <c r="M110" s="179"/>
      <c r="N110" s="179"/>
      <c r="O110" s="172"/>
      <c r="P110" s="172"/>
      <c r="Q110" s="172"/>
      <c r="R110" s="172"/>
      <c r="S110" s="172"/>
      <c r="T110" s="172"/>
      <c r="U110" s="172"/>
      <c r="V110" s="172"/>
    </row>
    <row r="111" spans="1:22" ht="18" customHeight="1" x14ac:dyDescent="0.25">
      <c r="A111" s="202"/>
      <c r="B111" s="203" t="s">
        <v>245</v>
      </c>
      <c r="C111" s="151" t="s">
        <v>244</v>
      </c>
      <c r="D111" s="200">
        <v>89</v>
      </c>
      <c r="E111" s="200">
        <v>187</v>
      </c>
      <c r="F111" s="176">
        <v>187</v>
      </c>
      <c r="G111" s="200">
        <v>187</v>
      </c>
      <c r="H111" s="210">
        <v>187</v>
      </c>
      <c r="I111" s="157">
        <f t="shared" ref="I111:I328" si="13">G111/F111*100</f>
        <v>100</v>
      </c>
      <c r="J111" s="306"/>
      <c r="K111" s="159"/>
      <c r="L111" s="159"/>
      <c r="M111" s="159"/>
      <c r="N111" s="159"/>
      <c r="O111" s="201"/>
      <c r="P111" s="201"/>
      <c r="Q111" s="201"/>
      <c r="R111" s="201"/>
      <c r="S111" s="201"/>
      <c r="T111" s="201"/>
      <c r="U111" s="201"/>
      <c r="V111" s="201"/>
    </row>
    <row r="112" spans="1:22" ht="21" customHeight="1" x14ac:dyDescent="0.25">
      <c r="A112" s="144">
        <v>18</v>
      </c>
      <c r="B112" s="185" t="s">
        <v>246</v>
      </c>
      <c r="C112" s="175"/>
      <c r="D112" s="176"/>
      <c r="E112" s="176"/>
      <c r="F112" s="200">
        <v>187</v>
      </c>
      <c r="G112" s="177">
        <v>187</v>
      </c>
      <c r="H112" s="171">
        <v>187</v>
      </c>
      <c r="I112" s="157">
        <f t="shared" si="13"/>
        <v>100</v>
      </c>
      <c r="J112" s="178"/>
      <c r="K112" s="179"/>
      <c r="L112" s="179"/>
      <c r="M112" s="179"/>
      <c r="N112" s="179"/>
      <c r="O112" s="172"/>
      <c r="P112" s="172"/>
      <c r="Q112" s="172"/>
      <c r="R112" s="172"/>
      <c r="S112" s="172"/>
      <c r="T112" s="172"/>
      <c r="U112" s="172"/>
      <c r="V112" s="172"/>
    </row>
    <row r="113" spans="1:22" ht="21" customHeight="1" x14ac:dyDescent="0.25">
      <c r="A113" s="175" t="s">
        <v>47</v>
      </c>
      <c r="B113" s="174" t="s">
        <v>247</v>
      </c>
      <c r="C113" s="175" t="s">
        <v>96</v>
      </c>
      <c r="D113" s="176">
        <v>100</v>
      </c>
      <c r="E113" s="176">
        <v>22</v>
      </c>
      <c r="F113" s="176">
        <v>100</v>
      </c>
      <c r="G113" s="176">
        <v>100</v>
      </c>
      <c r="H113" s="171">
        <v>100</v>
      </c>
      <c r="I113" s="157">
        <f t="shared" si="13"/>
        <v>100</v>
      </c>
      <c r="J113" s="157"/>
      <c r="K113" s="179"/>
      <c r="L113" s="179"/>
      <c r="M113" s="179"/>
      <c r="N113" s="179"/>
      <c r="O113" s="172"/>
      <c r="P113" s="172"/>
      <c r="Q113" s="172"/>
      <c r="R113" s="172"/>
      <c r="S113" s="172"/>
      <c r="T113" s="172"/>
      <c r="U113" s="172"/>
      <c r="V113" s="172"/>
    </row>
    <row r="114" spans="1:22" ht="21" customHeight="1" x14ac:dyDescent="0.25">
      <c r="A114" s="175" t="s">
        <v>47</v>
      </c>
      <c r="B114" s="174" t="s">
        <v>248</v>
      </c>
      <c r="C114" s="175" t="s">
        <v>96</v>
      </c>
      <c r="D114" s="176">
        <v>100</v>
      </c>
      <c r="E114" s="176">
        <v>90</v>
      </c>
      <c r="F114" s="176">
        <v>100</v>
      </c>
      <c r="G114" s="176">
        <v>100</v>
      </c>
      <c r="H114" s="171">
        <v>100</v>
      </c>
      <c r="I114" s="157">
        <f t="shared" si="13"/>
        <v>100</v>
      </c>
      <c r="J114" s="322"/>
      <c r="K114" s="179"/>
      <c r="L114" s="179"/>
      <c r="M114" s="179"/>
      <c r="N114" s="179"/>
      <c r="O114" s="172"/>
      <c r="P114" s="172"/>
      <c r="Q114" s="172"/>
      <c r="R114" s="172"/>
      <c r="S114" s="172"/>
      <c r="T114" s="172"/>
      <c r="U114" s="172"/>
      <c r="V114" s="172"/>
    </row>
    <row r="115" spans="1:22" ht="21" customHeight="1" x14ac:dyDescent="0.25">
      <c r="A115" s="175" t="s">
        <v>47</v>
      </c>
      <c r="B115" s="174" t="s">
        <v>249</v>
      </c>
      <c r="C115" s="175" t="s">
        <v>96</v>
      </c>
      <c r="D115" s="176">
        <v>90</v>
      </c>
      <c r="E115" s="176">
        <v>80</v>
      </c>
      <c r="F115" s="176">
        <v>100</v>
      </c>
      <c r="G115" s="176">
        <v>100</v>
      </c>
      <c r="H115" s="171">
        <v>100</v>
      </c>
      <c r="I115" s="157">
        <f t="shared" si="13"/>
        <v>100</v>
      </c>
      <c r="J115" s="315"/>
      <c r="K115" s="179"/>
      <c r="L115" s="179"/>
      <c r="M115" s="179"/>
      <c r="N115" s="179"/>
      <c r="O115" s="172"/>
      <c r="P115" s="172"/>
      <c r="Q115" s="172"/>
      <c r="R115" s="172"/>
      <c r="S115" s="172"/>
      <c r="T115" s="172"/>
      <c r="U115" s="172"/>
      <c r="V115" s="172"/>
    </row>
    <row r="116" spans="1:22" ht="21" customHeight="1" x14ac:dyDescent="0.25">
      <c r="A116" s="202"/>
      <c r="B116" s="211" t="s">
        <v>250</v>
      </c>
      <c r="C116" s="202" t="s">
        <v>96</v>
      </c>
      <c r="D116" s="176">
        <v>100</v>
      </c>
      <c r="E116" s="176">
        <v>100</v>
      </c>
      <c r="F116" s="176">
        <v>90</v>
      </c>
      <c r="G116" s="200">
        <v>0</v>
      </c>
      <c r="H116" s="171">
        <v>0</v>
      </c>
      <c r="I116" s="157">
        <f t="shared" si="13"/>
        <v>0</v>
      </c>
      <c r="J116" s="315"/>
      <c r="K116" s="179"/>
      <c r="L116" s="179"/>
      <c r="M116" s="179"/>
      <c r="N116" s="179"/>
      <c r="O116" s="172"/>
      <c r="P116" s="172"/>
      <c r="Q116" s="172"/>
      <c r="R116" s="172"/>
      <c r="S116" s="172"/>
      <c r="T116" s="172"/>
      <c r="U116" s="172"/>
      <c r="V116" s="172"/>
    </row>
    <row r="117" spans="1:22" ht="21" customHeight="1" x14ac:dyDescent="0.25">
      <c r="A117" s="175" t="s">
        <v>47</v>
      </c>
      <c r="B117" s="174" t="s">
        <v>251</v>
      </c>
      <c r="C117" s="175" t="s">
        <v>96</v>
      </c>
      <c r="D117" s="176">
        <v>100</v>
      </c>
      <c r="E117" s="176">
        <v>100</v>
      </c>
      <c r="F117" s="176">
        <v>100</v>
      </c>
      <c r="G117" s="176">
        <v>100</v>
      </c>
      <c r="H117" s="171">
        <v>100</v>
      </c>
      <c r="I117" s="157">
        <f t="shared" si="13"/>
        <v>100</v>
      </c>
      <c r="J117" s="315"/>
      <c r="K117" s="179"/>
      <c r="L117" s="179"/>
      <c r="M117" s="179"/>
      <c r="N117" s="179"/>
      <c r="O117" s="172"/>
      <c r="P117" s="172"/>
      <c r="Q117" s="172"/>
      <c r="R117" s="172"/>
      <c r="S117" s="172"/>
      <c r="T117" s="172"/>
      <c r="U117" s="172"/>
      <c r="V117" s="172"/>
    </row>
    <row r="118" spans="1:22" ht="30.75" customHeight="1" x14ac:dyDescent="0.25">
      <c r="A118" s="175" t="s">
        <v>47</v>
      </c>
      <c r="B118" s="174" t="s">
        <v>252</v>
      </c>
      <c r="C118" s="175" t="s">
        <v>96</v>
      </c>
      <c r="D118" s="176">
        <v>100</v>
      </c>
      <c r="E118" s="176">
        <v>100</v>
      </c>
      <c r="F118" s="176">
        <v>100</v>
      </c>
      <c r="G118" s="176">
        <v>100</v>
      </c>
      <c r="H118" s="171">
        <v>100</v>
      </c>
      <c r="I118" s="157">
        <f t="shared" si="13"/>
        <v>100</v>
      </c>
      <c r="J118" s="315"/>
      <c r="K118" s="179"/>
      <c r="L118" s="179"/>
      <c r="M118" s="179"/>
      <c r="N118" s="179"/>
      <c r="O118" s="172"/>
      <c r="P118" s="172"/>
      <c r="Q118" s="172"/>
      <c r="R118" s="172"/>
      <c r="S118" s="172"/>
      <c r="T118" s="172"/>
      <c r="U118" s="172"/>
      <c r="V118" s="172"/>
    </row>
    <row r="119" spans="1:22" ht="31.5" customHeight="1" x14ac:dyDescent="0.25">
      <c r="A119" s="175" t="s">
        <v>47</v>
      </c>
      <c r="B119" s="174" t="s">
        <v>253</v>
      </c>
      <c r="C119" s="175" t="s">
        <v>96</v>
      </c>
      <c r="D119" s="176">
        <v>95</v>
      </c>
      <c r="E119" s="176">
        <v>90</v>
      </c>
      <c r="F119" s="176">
        <v>100</v>
      </c>
      <c r="G119" s="176">
        <v>100</v>
      </c>
      <c r="H119" s="171">
        <v>100</v>
      </c>
      <c r="I119" s="157">
        <f t="shared" si="13"/>
        <v>100</v>
      </c>
      <c r="J119" s="315"/>
      <c r="K119" s="179"/>
      <c r="L119" s="179"/>
      <c r="M119" s="179"/>
      <c r="N119" s="179"/>
      <c r="O119" s="172"/>
      <c r="P119" s="172"/>
      <c r="Q119" s="172"/>
      <c r="R119" s="172"/>
      <c r="S119" s="172"/>
      <c r="T119" s="172"/>
      <c r="U119" s="172"/>
      <c r="V119" s="172"/>
    </row>
    <row r="120" spans="1:22" ht="39" customHeight="1" x14ac:dyDescent="0.25">
      <c r="A120" s="175" t="s">
        <v>47</v>
      </c>
      <c r="B120" s="174" t="s">
        <v>254</v>
      </c>
      <c r="C120" s="175" t="s">
        <v>96</v>
      </c>
      <c r="D120" s="176">
        <v>100</v>
      </c>
      <c r="E120" s="176">
        <v>100</v>
      </c>
      <c r="F120" s="176">
        <v>95</v>
      </c>
      <c r="G120" s="176">
        <v>100</v>
      </c>
      <c r="H120" s="171">
        <v>100</v>
      </c>
      <c r="I120" s="157">
        <f t="shared" si="13"/>
        <v>105.26315789473684</v>
      </c>
      <c r="J120" s="306"/>
      <c r="K120" s="179"/>
      <c r="L120" s="179"/>
      <c r="M120" s="179"/>
      <c r="N120" s="179"/>
      <c r="O120" s="172"/>
      <c r="P120" s="172"/>
      <c r="Q120" s="172"/>
      <c r="R120" s="172"/>
      <c r="S120" s="172"/>
      <c r="T120" s="172"/>
      <c r="U120" s="172"/>
      <c r="V120" s="172"/>
    </row>
    <row r="121" spans="1:22" ht="19.5" customHeight="1" x14ac:dyDescent="0.25">
      <c r="A121" s="175"/>
      <c r="B121" s="174" t="s">
        <v>255</v>
      </c>
      <c r="C121" s="175" t="s">
        <v>96</v>
      </c>
      <c r="D121" s="176">
        <v>25</v>
      </c>
      <c r="E121" s="176"/>
      <c r="F121" s="176">
        <v>100</v>
      </c>
      <c r="G121" s="204">
        <v>20</v>
      </c>
      <c r="H121" s="171">
        <v>50</v>
      </c>
      <c r="I121" s="157">
        <f t="shared" si="13"/>
        <v>20</v>
      </c>
      <c r="J121" s="322"/>
      <c r="K121" s="179"/>
      <c r="L121" s="179"/>
      <c r="M121" s="179"/>
      <c r="N121" s="179"/>
      <c r="O121" s="172"/>
      <c r="P121" s="172"/>
      <c r="Q121" s="172"/>
      <c r="R121" s="172"/>
      <c r="S121" s="172"/>
      <c r="T121" s="172"/>
      <c r="U121" s="172"/>
      <c r="V121" s="172"/>
    </row>
    <row r="122" spans="1:22" ht="16.5" customHeight="1" x14ac:dyDescent="0.25">
      <c r="A122" s="175" t="s">
        <v>47</v>
      </c>
      <c r="B122" s="174" t="s">
        <v>256</v>
      </c>
      <c r="C122" s="175" t="s">
        <v>257</v>
      </c>
      <c r="D122" s="176">
        <v>1</v>
      </c>
      <c r="E122" s="176"/>
      <c r="F122" s="176">
        <v>1</v>
      </c>
      <c r="G122" s="157">
        <v>1</v>
      </c>
      <c r="H122" s="171">
        <v>1</v>
      </c>
      <c r="I122" s="157">
        <f t="shared" si="13"/>
        <v>100</v>
      </c>
      <c r="J122" s="306"/>
      <c r="K122" s="179"/>
      <c r="L122" s="179"/>
      <c r="M122" s="179"/>
      <c r="N122" s="179"/>
      <c r="O122" s="172"/>
      <c r="P122" s="172"/>
      <c r="Q122" s="172"/>
      <c r="R122" s="172"/>
      <c r="S122" s="172"/>
      <c r="T122" s="172"/>
      <c r="U122" s="172"/>
      <c r="V122" s="172"/>
    </row>
    <row r="123" spans="1:22" ht="16.5" hidden="1" customHeight="1" x14ac:dyDescent="0.25">
      <c r="A123" s="212">
        <v>19</v>
      </c>
      <c r="B123" s="213" t="s">
        <v>258</v>
      </c>
      <c r="C123" s="214"/>
      <c r="D123" s="215"/>
      <c r="E123" s="215"/>
      <c r="F123" s="168">
        <v>1</v>
      </c>
      <c r="G123" s="214"/>
      <c r="H123" s="216"/>
      <c r="I123" s="157">
        <f t="shared" si="13"/>
        <v>0</v>
      </c>
      <c r="J123" s="179"/>
      <c r="K123" s="179"/>
      <c r="L123" s="179"/>
      <c r="M123" s="179"/>
      <c r="N123" s="179"/>
      <c r="O123" s="172"/>
      <c r="P123" s="172"/>
      <c r="Q123" s="172"/>
      <c r="R123" s="172"/>
      <c r="S123" s="172"/>
      <c r="T123" s="172"/>
      <c r="U123" s="172"/>
      <c r="V123" s="172"/>
    </row>
    <row r="124" spans="1:22" ht="16.5" hidden="1" customHeight="1" x14ac:dyDescent="0.25">
      <c r="A124" s="217" t="s">
        <v>47</v>
      </c>
      <c r="B124" s="218" t="s">
        <v>259</v>
      </c>
      <c r="C124" s="219" t="s">
        <v>260</v>
      </c>
      <c r="D124" s="192">
        <v>16</v>
      </c>
      <c r="E124" s="192"/>
      <c r="F124" s="220" t="str">
        <f ca="1">SUM(G124:I124)</f>
        <v>#REF!</v>
      </c>
      <c r="G124" s="219">
        <v>5</v>
      </c>
      <c r="H124" s="216" t="str">
        <f ca="1">I124+#REF!</f>
        <v>#REF!</v>
      </c>
      <c r="I124" s="157" t="str">
        <f t="shared" ca="1" si="13"/>
        <v>#REF!</v>
      </c>
      <c r="J124" s="179"/>
      <c r="K124" s="179"/>
      <c r="L124" s="179"/>
      <c r="M124" s="179"/>
      <c r="N124" s="179"/>
      <c r="O124" s="172"/>
      <c r="P124" s="172"/>
      <c r="Q124" s="172"/>
      <c r="R124" s="172"/>
      <c r="S124" s="172"/>
      <c r="T124" s="172"/>
      <c r="U124" s="172"/>
      <c r="V124" s="172"/>
    </row>
    <row r="125" spans="1:22" ht="16.5" hidden="1" customHeight="1" x14ac:dyDescent="0.25">
      <c r="A125" s="217" t="s">
        <v>47</v>
      </c>
      <c r="B125" s="218" t="s">
        <v>261</v>
      </c>
      <c r="C125" s="219" t="s">
        <v>96</v>
      </c>
      <c r="D125" s="192">
        <v>90</v>
      </c>
      <c r="E125" s="192"/>
      <c r="F125" s="221">
        <v>80</v>
      </c>
      <c r="G125" s="219">
        <v>100</v>
      </c>
      <c r="H125" s="216"/>
      <c r="I125" s="157">
        <f t="shared" si="13"/>
        <v>125</v>
      </c>
      <c r="J125" s="179"/>
      <c r="K125" s="179"/>
      <c r="L125" s="179"/>
      <c r="M125" s="179"/>
      <c r="N125" s="179"/>
      <c r="O125" s="172"/>
      <c r="P125" s="172"/>
      <c r="Q125" s="172"/>
      <c r="R125" s="172"/>
      <c r="S125" s="172"/>
      <c r="T125" s="172"/>
      <c r="U125" s="172"/>
      <c r="V125" s="172"/>
    </row>
    <row r="126" spans="1:22" ht="16.5" hidden="1" customHeight="1" x14ac:dyDescent="0.25">
      <c r="A126" s="217" t="s">
        <v>47</v>
      </c>
      <c r="B126" s="218" t="s">
        <v>262</v>
      </c>
      <c r="C126" s="219" t="s">
        <v>96</v>
      </c>
      <c r="D126" s="192">
        <v>87</v>
      </c>
      <c r="E126" s="192"/>
      <c r="F126" s="221">
        <v>88</v>
      </c>
      <c r="G126" s="219">
        <v>85</v>
      </c>
      <c r="H126" s="216" t="e">
        <f t="shared" ref="H126:H128" si="14">I126+#REF!</f>
        <v>#REF!</v>
      </c>
      <c r="I126" s="157">
        <f t="shared" si="13"/>
        <v>96.590909090909093</v>
      </c>
      <c r="J126" s="179"/>
      <c r="K126" s="179"/>
      <c r="L126" s="179"/>
      <c r="M126" s="179"/>
      <c r="N126" s="179"/>
      <c r="O126" s="172"/>
      <c r="P126" s="172"/>
      <c r="Q126" s="172"/>
      <c r="R126" s="172"/>
      <c r="S126" s="172"/>
      <c r="T126" s="172"/>
      <c r="U126" s="172"/>
      <c r="V126" s="172"/>
    </row>
    <row r="127" spans="1:22" ht="16.5" hidden="1" customHeight="1" x14ac:dyDescent="0.25">
      <c r="A127" s="217" t="s">
        <v>47</v>
      </c>
      <c r="B127" s="218" t="s">
        <v>263</v>
      </c>
      <c r="C127" s="219" t="s">
        <v>96</v>
      </c>
      <c r="D127" s="192">
        <v>94</v>
      </c>
      <c r="E127" s="192"/>
      <c r="F127" s="221">
        <v>88</v>
      </c>
      <c r="G127" s="219">
        <v>100</v>
      </c>
      <c r="H127" s="216" t="e">
        <f t="shared" si="14"/>
        <v>#REF!</v>
      </c>
      <c r="I127" s="157">
        <f t="shared" si="13"/>
        <v>113.63636363636364</v>
      </c>
      <c r="J127" s="179"/>
      <c r="K127" s="179"/>
      <c r="L127" s="179"/>
      <c r="M127" s="179"/>
      <c r="N127" s="179"/>
      <c r="O127" s="172"/>
      <c r="P127" s="172"/>
      <c r="Q127" s="172"/>
      <c r="R127" s="172"/>
      <c r="S127" s="172"/>
      <c r="T127" s="172"/>
      <c r="U127" s="172"/>
      <c r="V127" s="172"/>
    </row>
    <row r="128" spans="1:22" ht="16.5" hidden="1" customHeight="1" x14ac:dyDescent="0.25">
      <c r="A128" s="222" t="s">
        <v>47</v>
      </c>
      <c r="B128" s="223" t="s">
        <v>264</v>
      </c>
      <c r="C128" s="224" t="s">
        <v>96</v>
      </c>
      <c r="D128" s="225">
        <v>72</v>
      </c>
      <c r="E128" s="225"/>
      <c r="F128" s="226">
        <v>55</v>
      </c>
      <c r="G128" s="224">
        <v>88</v>
      </c>
      <c r="H128" s="216" t="e">
        <f t="shared" si="14"/>
        <v>#REF!</v>
      </c>
      <c r="I128" s="157">
        <f t="shared" si="13"/>
        <v>160</v>
      </c>
      <c r="J128" s="227"/>
      <c r="K128" s="227"/>
      <c r="L128" s="227"/>
      <c r="M128" s="227"/>
      <c r="N128" s="227"/>
      <c r="O128" s="172"/>
      <c r="P128" s="172"/>
      <c r="Q128" s="172"/>
      <c r="R128" s="172"/>
      <c r="S128" s="172"/>
      <c r="T128" s="172"/>
      <c r="U128" s="172"/>
      <c r="V128" s="172"/>
    </row>
    <row r="129" spans="1:22" ht="16.5" hidden="1" customHeight="1" x14ac:dyDescent="0.25">
      <c r="A129" s="228"/>
      <c r="B129" s="229"/>
      <c r="C129" s="230"/>
      <c r="D129" s="230"/>
      <c r="E129" s="230"/>
      <c r="F129" s="230"/>
      <c r="G129" s="230"/>
      <c r="H129" s="230"/>
      <c r="I129" s="157" t="e">
        <f t="shared" si="13"/>
        <v>#DIV/0!</v>
      </c>
      <c r="J129" s="227"/>
      <c r="K129" s="227"/>
      <c r="L129" s="227"/>
      <c r="M129" s="227"/>
      <c r="N129" s="227"/>
      <c r="O129" s="172"/>
      <c r="P129" s="172"/>
      <c r="Q129" s="172"/>
      <c r="R129" s="172"/>
      <c r="S129" s="172"/>
      <c r="T129" s="172"/>
      <c r="U129" s="172"/>
      <c r="V129" s="172"/>
    </row>
    <row r="130" spans="1:22" ht="16.5" hidden="1" customHeight="1" x14ac:dyDescent="0.25">
      <c r="A130" s="228"/>
      <c r="B130" s="229"/>
      <c r="C130" s="230"/>
      <c r="D130" s="230"/>
      <c r="E130" s="230"/>
      <c r="F130" s="230"/>
      <c r="G130" s="230"/>
      <c r="H130" s="230"/>
      <c r="I130" s="157" t="e">
        <f t="shared" si="13"/>
        <v>#DIV/0!</v>
      </c>
      <c r="J130" s="227"/>
      <c r="K130" s="227"/>
      <c r="L130" s="227"/>
      <c r="M130" s="227"/>
      <c r="N130" s="227"/>
      <c r="O130" s="172"/>
      <c r="P130" s="172"/>
      <c r="Q130" s="172"/>
      <c r="R130" s="172"/>
      <c r="S130" s="172"/>
      <c r="T130" s="172"/>
      <c r="U130" s="172"/>
      <c r="V130" s="172"/>
    </row>
    <row r="131" spans="1:22" ht="16.5" hidden="1" customHeight="1" x14ac:dyDescent="0.25">
      <c r="A131" s="228"/>
      <c r="B131" s="229"/>
      <c r="C131" s="230"/>
      <c r="D131" s="230"/>
      <c r="E131" s="230"/>
      <c r="F131" s="230"/>
      <c r="G131" s="230"/>
      <c r="H131" s="230"/>
      <c r="I131" s="157" t="e">
        <f t="shared" si="13"/>
        <v>#DIV/0!</v>
      </c>
      <c r="J131" s="227"/>
      <c r="K131" s="227"/>
      <c r="L131" s="227"/>
      <c r="M131" s="227"/>
      <c r="N131" s="227"/>
      <c r="O131" s="172"/>
      <c r="P131" s="172"/>
      <c r="Q131" s="172"/>
      <c r="R131" s="172"/>
      <c r="S131" s="172"/>
      <c r="T131" s="172"/>
      <c r="U131" s="172"/>
      <c r="V131" s="172"/>
    </row>
    <row r="132" spans="1:22" ht="16.5" hidden="1" customHeight="1" x14ac:dyDescent="0.25">
      <c r="A132" s="228"/>
      <c r="B132" s="229"/>
      <c r="C132" s="230"/>
      <c r="D132" s="230"/>
      <c r="E132" s="230"/>
      <c r="F132" s="230"/>
      <c r="G132" s="230"/>
      <c r="H132" s="230"/>
      <c r="I132" s="157" t="e">
        <f t="shared" si="13"/>
        <v>#DIV/0!</v>
      </c>
      <c r="J132" s="227"/>
      <c r="K132" s="227"/>
      <c r="L132" s="227"/>
      <c r="M132" s="227"/>
      <c r="N132" s="227"/>
      <c r="O132" s="172"/>
      <c r="P132" s="172"/>
      <c r="Q132" s="172"/>
      <c r="R132" s="172"/>
      <c r="S132" s="172"/>
      <c r="T132" s="172"/>
      <c r="U132" s="172"/>
      <c r="V132" s="172"/>
    </row>
    <row r="133" spans="1:22" ht="16.5" hidden="1" customHeight="1" x14ac:dyDescent="0.25">
      <c r="A133" s="228"/>
      <c r="B133" s="229"/>
      <c r="C133" s="230"/>
      <c r="D133" s="230"/>
      <c r="E133" s="230"/>
      <c r="F133" s="230"/>
      <c r="G133" s="230"/>
      <c r="H133" s="230"/>
      <c r="I133" s="157" t="e">
        <f t="shared" si="13"/>
        <v>#DIV/0!</v>
      </c>
      <c r="J133" s="227"/>
      <c r="K133" s="227"/>
      <c r="L133" s="227"/>
      <c r="M133" s="227"/>
      <c r="N133" s="227"/>
      <c r="O133" s="172"/>
      <c r="P133" s="172"/>
      <c r="Q133" s="172"/>
      <c r="R133" s="172"/>
      <c r="S133" s="172"/>
      <c r="T133" s="172"/>
      <c r="U133" s="172"/>
      <c r="V133" s="172"/>
    </row>
    <row r="134" spans="1:22" ht="16.5" hidden="1" customHeight="1" x14ac:dyDescent="0.25">
      <c r="A134" s="228"/>
      <c r="B134" s="229"/>
      <c r="C134" s="230"/>
      <c r="D134" s="230"/>
      <c r="E134" s="230"/>
      <c r="F134" s="230"/>
      <c r="G134" s="230"/>
      <c r="H134" s="230"/>
      <c r="I134" s="157" t="e">
        <f t="shared" si="13"/>
        <v>#DIV/0!</v>
      </c>
      <c r="J134" s="227"/>
      <c r="K134" s="227"/>
      <c r="L134" s="227"/>
      <c r="M134" s="227"/>
      <c r="N134" s="227"/>
      <c r="O134" s="172"/>
      <c r="P134" s="172"/>
      <c r="Q134" s="172"/>
      <c r="R134" s="172"/>
      <c r="S134" s="172"/>
      <c r="T134" s="172"/>
      <c r="U134" s="172"/>
      <c r="V134" s="172"/>
    </row>
    <row r="135" spans="1:22" ht="16.5" hidden="1" customHeight="1" x14ac:dyDescent="0.25">
      <c r="A135" s="228"/>
      <c r="B135" s="229"/>
      <c r="C135" s="230"/>
      <c r="D135" s="230"/>
      <c r="E135" s="230"/>
      <c r="F135" s="230"/>
      <c r="G135" s="230"/>
      <c r="H135" s="230"/>
      <c r="I135" s="157" t="e">
        <f t="shared" si="13"/>
        <v>#DIV/0!</v>
      </c>
      <c r="J135" s="227"/>
      <c r="K135" s="227"/>
      <c r="L135" s="227"/>
      <c r="M135" s="227"/>
      <c r="N135" s="227"/>
      <c r="O135" s="172"/>
      <c r="P135" s="172"/>
      <c r="Q135" s="172"/>
      <c r="R135" s="172"/>
      <c r="S135" s="172"/>
      <c r="T135" s="172"/>
      <c r="U135" s="172"/>
      <c r="V135" s="172"/>
    </row>
    <row r="136" spans="1:22" ht="16.5" hidden="1" customHeight="1" x14ac:dyDescent="0.25">
      <c r="A136" s="228"/>
      <c r="B136" s="229"/>
      <c r="C136" s="230"/>
      <c r="D136" s="230"/>
      <c r="E136" s="230"/>
      <c r="F136" s="230"/>
      <c r="G136" s="230"/>
      <c r="H136" s="230"/>
      <c r="I136" s="157" t="e">
        <f t="shared" si="13"/>
        <v>#DIV/0!</v>
      </c>
      <c r="J136" s="227"/>
      <c r="K136" s="227"/>
      <c r="L136" s="227"/>
      <c r="M136" s="227"/>
      <c r="N136" s="227"/>
      <c r="O136" s="172"/>
      <c r="P136" s="172"/>
      <c r="Q136" s="172"/>
      <c r="R136" s="172"/>
      <c r="S136" s="172"/>
      <c r="T136" s="172"/>
      <c r="U136" s="172"/>
      <c r="V136" s="172"/>
    </row>
    <row r="137" spans="1:22" ht="16.5" hidden="1" customHeight="1" x14ac:dyDescent="0.25">
      <c r="A137" s="228"/>
      <c r="B137" s="229"/>
      <c r="C137" s="230"/>
      <c r="D137" s="230"/>
      <c r="E137" s="230"/>
      <c r="F137" s="230"/>
      <c r="G137" s="230"/>
      <c r="H137" s="230"/>
      <c r="I137" s="157" t="e">
        <f t="shared" si="13"/>
        <v>#DIV/0!</v>
      </c>
      <c r="J137" s="227"/>
      <c r="K137" s="227"/>
      <c r="L137" s="227"/>
      <c r="M137" s="227"/>
      <c r="N137" s="227"/>
      <c r="O137" s="172"/>
      <c r="P137" s="172"/>
      <c r="Q137" s="172"/>
      <c r="R137" s="172"/>
      <c r="S137" s="172"/>
      <c r="T137" s="172"/>
      <c r="U137" s="172"/>
      <c r="V137" s="172"/>
    </row>
    <row r="138" spans="1:22" ht="16.5" hidden="1" customHeight="1" x14ac:dyDescent="0.25">
      <c r="A138" s="228"/>
      <c r="B138" s="229"/>
      <c r="C138" s="230"/>
      <c r="D138" s="230"/>
      <c r="E138" s="230"/>
      <c r="F138" s="230"/>
      <c r="G138" s="230"/>
      <c r="H138" s="230"/>
      <c r="I138" s="157" t="e">
        <f t="shared" si="13"/>
        <v>#DIV/0!</v>
      </c>
      <c r="J138" s="227"/>
      <c r="K138" s="227"/>
      <c r="L138" s="227"/>
      <c r="M138" s="227"/>
      <c r="N138" s="227"/>
      <c r="O138" s="172"/>
      <c r="P138" s="172"/>
      <c r="Q138" s="172"/>
      <c r="R138" s="172"/>
      <c r="S138" s="172"/>
      <c r="T138" s="172"/>
      <c r="U138" s="172"/>
      <c r="V138" s="172"/>
    </row>
    <row r="139" spans="1:22" ht="16.5" hidden="1" customHeight="1" x14ac:dyDescent="0.25">
      <c r="A139" s="228"/>
      <c r="B139" s="229"/>
      <c r="C139" s="230"/>
      <c r="D139" s="230"/>
      <c r="E139" s="230"/>
      <c r="F139" s="230"/>
      <c r="G139" s="230"/>
      <c r="H139" s="230"/>
      <c r="I139" s="157" t="e">
        <f t="shared" si="13"/>
        <v>#DIV/0!</v>
      </c>
      <c r="J139" s="227"/>
      <c r="K139" s="227"/>
      <c r="L139" s="227"/>
      <c r="M139" s="227"/>
      <c r="N139" s="227"/>
      <c r="O139" s="172"/>
      <c r="P139" s="172"/>
      <c r="Q139" s="172"/>
      <c r="R139" s="172"/>
      <c r="S139" s="172"/>
      <c r="T139" s="172"/>
      <c r="U139" s="172"/>
      <c r="V139" s="172"/>
    </row>
    <row r="140" spans="1:22" ht="16.5" hidden="1" customHeight="1" x14ac:dyDescent="0.25">
      <c r="A140" s="228"/>
      <c r="B140" s="229"/>
      <c r="C140" s="230"/>
      <c r="D140" s="230"/>
      <c r="E140" s="230"/>
      <c r="F140" s="230"/>
      <c r="G140" s="230"/>
      <c r="H140" s="230"/>
      <c r="I140" s="157" t="e">
        <f t="shared" si="13"/>
        <v>#DIV/0!</v>
      </c>
      <c r="J140" s="227"/>
      <c r="K140" s="227"/>
      <c r="L140" s="227"/>
      <c r="M140" s="227"/>
      <c r="N140" s="227"/>
      <c r="O140" s="172"/>
      <c r="P140" s="172"/>
      <c r="Q140" s="172"/>
      <c r="R140" s="172"/>
      <c r="S140" s="172"/>
      <c r="T140" s="172"/>
      <c r="U140" s="172"/>
      <c r="V140" s="172"/>
    </row>
    <row r="141" spans="1:22" ht="16.5" hidden="1" customHeight="1" x14ac:dyDescent="0.25">
      <c r="A141" s="228"/>
      <c r="B141" s="229"/>
      <c r="C141" s="230"/>
      <c r="D141" s="230"/>
      <c r="E141" s="230"/>
      <c r="F141" s="230"/>
      <c r="G141" s="230"/>
      <c r="H141" s="230"/>
      <c r="I141" s="157" t="e">
        <f t="shared" si="13"/>
        <v>#DIV/0!</v>
      </c>
      <c r="J141" s="227"/>
      <c r="K141" s="227"/>
      <c r="L141" s="227"/>
      <c r="M141" s="227"/>
      <c r="N141" s="227"/>
      <c r="O141" s="172"/>
      <c r="P141" s="172"/>
      <c r="Q141" s="172"/>
      <c r="R141" s="172"/>
      <c r="S141" s="172"/>
      <c r="T141" s="172"/>
      <c r="U141" s="172"/>
      <c r="V141" s="172"/>
    </row>
    <row r="142" spans="1:22" ht="16.5" hidden="1" customHeight="1" x14ac:dyDescent="0.25">
      <c r="A142" s="228"/>
      <c r="B142" s="229"/>
      <c r="C142" s="230"/>
      <c r="D142" s="230"/>
      <c r="E142" s="230"/>
      <c r="F142" s="230"/>
      <c r="G142" s="230"/>
      <c r="H142" s="230"/>
      <c r="I142" s="157" t="e">
        <f t="shared" si="13"/>
        <v>#DIV/0!</v>
      </c>
      <c r="J142" s="227"/>
      <c r="K142" s="227"/>
      <c r="L142" s="227"/>
      <c r="M142" s="227"/>
      <c r="N142" s="227"/>
      <c r="O142" s="172"/>
      <c r="P142" s="172"/>
      <c r="Q142" s="172"/>
      <c r="R142" s="172"/>
      <c r="S142" s="172"/>
      <c r="T142" s="172"/>
      <c r="U142" s="172"/>
      <c r="V142" s="172"/>
    </row>
    <row r="143" spans="1:22" ht="16.5" hidden="1" customHeight="1" x14ac:dyDescent="0.25">
      <c r="A143" s="228"/>
      <c r="B143" s="229"/>
      <c r="C143" s="230"/>
      <c r="D143" s="230"/>
      <c r="E143" s="230"/>
      <c r="F143" s="230"/>
      <c r="G143" s="230"/>
      <c r="H143" s="230"/>
      <c r="I143" s="157" t="e">
        <f t="shared" si="13"/>
        <v>#DIV/0!</v>
      </c>
      <c r="J143" s="227"/>
      <c r="K143" s="227"/>
      <c r="L143" s="227"/>
      <c r="M143" s="227"/>
      <c r="N143" s="227"/>
      <c r="O143" s="172"/>
      <c r="P143" s="172"/>
      <c r="Q143" s="172"/>
      <c r="R143" s="172"/>
      <c r="S143" s="172"/>
      <c r="T143" s="172"/>
      <c r="U143" s="172"/>
      <c r="V143" s="172"/>
    </row>
    <row r="144" spans="1:22" ht="16.5" hidden="1" customHeight="1" x14ac:dyDescent="0.25">
      <c r="A144" s="228"/>
      <c r="B144" s="229"/>
      <c r="C144" s="230"/>
      <c r="D144" s="230"/>
      <c r="E144" s="230"/>
      <c r="F144" s="230"/>
      <c r="G144" s="230"/>
      <c r="H144" s="230"/>
      <c r="I144" s="157" t="e">
        <f t="shared" si="13"/>
        <v>#DIV/0!</v>
      </c>
      <c r="J144" s="227"/>
      <c r="K144" s="227"/>
      <c r="L144" s="227"/>
      <c r="M144" s="227"/>
      <c r="N144" s="227"/>
      <c r="O144" s="172"/>
      <c r="P144" s="172"/>
      <c r="Q144" s="172"/>
      <c r="R144" s="172"/>
      <c r="S144" s="172"/>
      <c r="T144" s="172"/>
      <c r="U144" s="172"/>
      <c r="V144" s="172"/>
    </row>
    <row r="145" spans="1:22" ht="16.5" hidden="1" customHeight="1" x14ac:dyDescent="0.25">
      <c r="A145" s="228"/>
      <c r="B145" s="229"/>
      <c r="C145" s="230"/>
      <c r="D145" s="230"/>
      <c r="E145" s="230"/>
      <c r="F145" s="230"/>
      <c r="G145" s="230"/>
      <c r="H145" s="230"/>
      <c r="I145" s="157" t="e">
        <f t="shared" si="13"/>
        <v>#DIV/0!</v>
      </c>
      <c r="J145" s="227"/>
      <c r="K145" s="227"/>
      <c r="L145" s="227"/>
      <c r="M145" s="227"/>
      <c r="N145" s="227"/>
      <c r="O145" s="172"/>
      <c r="P145" s="172"/>
      <c r="Q145" s="172"/>
      <c r="R145" s="172"/>
      <c r="S145" s="172"/>
      <c r="T145" s="172"/>
      <c r="U145" s="172"/>
      <c r="V145" s="172"/>
    </row>
    <row r="146" spans="1:22" ht="16.5" hidden="1" customHeight="1" x14ac:dyDescent="0.25">
      <c r="A146" s="228"/>
      <c r="B146" s="229"/>
      <c r="C146" s="230"/>
      <c r="D146" s="230"/>
      <c r="E146" s="230"/>
      <c r="F146" s="230"/>
      <c r="G146" s="230"/>
      <c r="H146" s="230"/>
      <c r="I146" s="157" t="e">
        <f t="shared" si="13"/>
        <v>#DIV/0!</v>
      </c>
      <c r="J146" s="227"/>
      <c r="K146" s="227"/>
      <c r="L146" s="227"/>
      <c r="M146" s="227"/>
      <c r="N146" s="227"/>
      <c r="O146" s="172"/>
      <c r="P146" s="172"/>
      <c r="Q146" s="172"/>
      <c r="R146" s="172"/>
      <c r="S146" s="172"/>
      <c r="T146" s="172"/>
      <c r="U146" s="172"/>
      <c r="V146" s="172"/>
    </row>
    <row r="147" spans="1:22" ht="16.5" hidden="1" customHeight="1" x14ac:dyDescent="0.25">
      <c r="A147" s="228"/>
      <c r="B147" s="229"/>
      <c r="C147" s="230"/>
      <c r="D147" s="230"/>
      <c r="E147" s="230"/>
      <c r="F147" s="230"/>
      <c r="G147" s="230"/>
      <c r="H147" s="230"/>
      <c r="I147" s="157" t="e">
        <f t="shared" si="13"/>
        <v>#DIV/0!</v>
      </c>
      <c r="J147" s="227"/>
      <c r="K147" s="227"/>
      <c r="L147" s="227"/>
      <c r="M147" s="227"/>
      <c r="N147" s="227"/>
      <c r="O147" s="172"/>
      <c r="P147" s="172"/>
      <c r="Q147" s="172"/>
      <c r="R147" s="172"/>
      <c r="S147" s="172"/>
      <c r="T147" s="172"/>
      <c r="U147" s="172"/>
      <c r="V147" s="172"/>
    </row>
    <row r="148" spans="1:22" ht="16.5" hidden="1" customHeight="1" x14ac:dyDescent="0.25">
      <c r="A148" s="228"/>
      <c r="B148" s="229"/>
      <c r="C148" s="230"/>
      <c r="D148" s="230"/>
      <c r="E148" s="230"/>
      <c r="F148" s="230"/>
      <c r="G148" s="230"/>
      <c r="H148" s="230"/>
      <c r="I148" s="157" t="e">
        <f t="shared" si="13"/>
        <v>#DIV/0!</v>
      </c>
      <c r="J148" s="227"/>
      <c r="K148" s="227"/>
      <c r="L148" s="227"/>
      <c r="M148" s="227"/>
      <c r="N148" s="227"/>
      <c r="O148" s="172"/>
      <c r="P148" s="172"/>
      <c r="Q148" s="172"/>
      <c r="R148" s="172"/>
      <c r="S148" s="172"/>
      <c r="T148" s="172"/>
      <c r="U148" s="172"/>
      <c r="V148" s="172"/>
    </row>
    <row r="149" spans="1:22" ht="16.5" hidden="1" customHeight="1" x14ac:dyDescent="0.25">
      <c r="A149" s="228"/>
      <c r="B149" s="229"/>
      <c r="C149" s="230"/>
      <c r="D149" s="230"/>
      <c r="E149" s="230"/>
      <c r="F149" s="230"/>
      <c r="G149" s="230"/>
      <c r="H149" s="230"/>
      <c r="I149" s="157" t="e">
        <f t="shared" si="13"/>
        <v>#DIV/0!</v>
      </c>
      <c r="J149" s="227"/>
      <c r="K149" s="227"/>
      <c r="L149" s="227"/>
      <c r="M149" s="227"/>
      <c r="N149" s="227"/>
      <c r="O149" s="172"/>
      <c r="P149" s="172"/>
      <c r="Q149" s="172"/>
      <c r="R149" s="172"/>
      <c r="S149" s="172"/>
      <c r="T149" s="172"/>
      <c r="U149" s="172"/>
      <c r="V149" s="172"/>
    </row>
    <row r="150" spans="1:22" ht="16.5" hidden="1" customHeight="1" x14ac:dyDescent="0.25">
      <c r="A150" s="228"/>
      <c r="B150" s="229"/>
      <c r="C150" s="230"/>
      <c r="D150" s="230"/>
      <c r="E150" s="230"/>
      <c r="F150" s="230"/>
      <c r="G150" s="230"/>
      <c r="H150" s="230"/>
      <c r="I150" s="157" t="e">
        <f t="shared" si="13"/>
        <v>#DIV/0!</v>
      </c>
      <c r="J150" s="227"/>
      <c r="K150" s="227"/>
      <c r="L150" s="227"/>
      <c r="M150" s="227"/>
      <c r="N150" s="227"/>
      <c r="O150" s="172"/>
      <c r="P150" s="172"/>
      <c r="Q150" s="172"/>
      <c r="R150" s="172"/>
      <c r="S150" s="172"/>
      <c r="T150" s="172"/>
      <c r="U150" s="172"/>
      <c r="V150" s="172"/>
    </row>
    <row r="151" spans="1:22" ht="16.5" hidden="1" customHeight="1" x14ac:dyDescent="0.25">
      <c r="A151" s="228"/>
      <c r="B151" s="229"/>
      <c r="C151" s="230"/>
      <c r="D151" s="230"/>
      <c r="E151" s="230"/>
      <c r="F151" s="230"/>
      <c r="G151" s="230"/>
      <c r="H151" s="230"/>
      <c r="I151" s="157" t="e">
        <f t="shared" si="13"/>
        <v>#DIV/0!</v>
      </c>
      <c r="J151" s="227"/>
      <c r="K151" s="227"/>
      <c r="L151" s="227"/>
      <c r="M151" s="227"/>
      <c r="N151" s="227"/>
      <c r="O151" s="172"/>
      <c r="P151" s="172"/>
      <c r="Q151" s="172"/>
      <c r="R151" s="172"/>
      <c r="S151" s="172"/>
      <c r="T151" s="172"/>
      <c r="U151" s="172"/>
      <c r="V151" s="172"/>
    </row>
    <row r="152" spans="1:22" ht="16.5" hidden="1" customHeight="1" x14ac:dyDescent="0.25">
      <c r="A152" s="228"/>
      <c r="B152" s="229"/>
      <c r="C152" s="230"/>
      <c r="D152" s="230"/>
      <c r="E152" s="230"/>
      <c r="F152" s="230"/>
      <c r="G152" s="230"/>
      <c r="H152" s="230"/>
      <c r="I152" s="157" t="e">
        <f t="shared" si="13"/>
        <v>#DIV/0!</v>
      </c>
      <c r="J152" s="227"/>
      <c r="K152" s="227"/>
      <c r="L152" s="227"/>
      <c r="M152" s="227"/>
      <c r="N152" s="227"/>
      <c r="O152" s="172"/>
      <c r="P152" s="172"/>
      <c r="Q152" s="172"/>
      <c r="R152" s="172"/>
      <c r="S152" s="172"/>
      <c r="T152" s="172"/>
      <c r="U152" s="172"/>
      <c r="V152" s="172"/>
    </row>
    <row r="153" spans="1:22" ht="16.5" hidden="1" customHeight="1" x14ac:dyDescent="0.25">
      <c r="A153" s="228"/>
      <c r="B153" s="229"/>
      <c r="C153" s="230"/>
      <c r="D153" s="230"/>
      <c r="E153" s="230"/>
      <c r="F153" s="230"/>
      <c r="G153" s="230"/>
      <c r="H153" s="230"/>
      <c r="I153" s="157" t="e">
        <f t="shared" si="13"/>
        <v>#DIV/0!</v>
      </c>
      <c r="J153" s="227"/>
      <c r="K153" s="227"/>
      <c r="L153" s="227"/>
      <c r="M153" s="227"/>
      <c r="N153" s="227"/>
      <c r="O153" s="172"/>
      <c r="P153" s="172"/>
      <c r="Q153" s="172"/>
      <c r="R153" s="172"/>
      <c r="S153" s="172"/>
      <c r="T153" s="172"/>
      <c r="U153" s="172"/>
      <c r="V153" s="172"/>
    </row>
    <row r="154" spans="1:22" ht="16.5" hidden="1" customHeight="1" x14ac:dyDescent="0.25">
      <c r="A154" s="228"/>
      <c r="B154" s="229"/>
      <c r="C154" s="230"/>
      <c r="D154" s="230"/>
      <c r="E154" s="230"/>
      <c r="F154" s="230"/>
      <c r="G154" s="230"/>
      <c r="H154" s="230"/>
      <c r="I154" s="157" t="e">
        <f t="shared" si="13"/>
        <v>#DIV/0!</v>
      </c>
      <c r="J154" s="227"/>
      <c r="K154" s="227"/>
      <c r="L154" s="227"/>
      <c r="M154" s="227"/>
      <c r="N154" s="227"/>
      <c r="O154" s="172"/>
      <c r="P154" s="172"/>
      <c r="Q154" s="172"/>
      <c r="R154" s="172"/>
      <c r="S154" s="172"/>
      <c r="T154" s="172"/>
      <c r="U154" s="172"/>
      <c r="V154" s="172"/>
    </row>
    <row r="155" spans="1:22" ht="16.5" hidden="1" customHeight="1" x14ac:dyDescent="0.25">
      <c r="A155" s="228"/>
      <c r="B155" s="229"/>
      <c r="C155" s="230"/>
      <c r="D155" s="230"/>
      <c r="E155" s="230"/>
      <c r="F155" s="230"/>
      <c r="G155" s="230"/>
      <c r="H155" s="230"/>
      <c r="I155" s="157" t="e">
        <f t="shared" si="13"/>
        <v>#DIV/0!</v>
      </c>
      <c r="J155" s="227"/>
      <c r="K155" s="227"/>
      <c r="L155" s="227"/>
      <c r="M155" s="227"/>
      <c r="N155" s="227"/>
      <c r="O155" s="172"/>
      <c r="P155" s="172"/>
      <c r="Q155" s="172"/>
      <c r="R155" s="172"/>
      <c r="S155" s="172"/>
      <c r="T155" s="172"/>
      <c r="U155" s="172"/>
      <c r="V155" s="172"/>
    </row>
    <row r="156" spans="1:22" ht="16.5" hidden="1" customHeight="1" x14ac:dyDescent="0.25">
      <c r="A156" s="228"/>
      <c r="B156" s="229"/>
      <c r="C156" s="230"/>
      <c r="D156" s="230"/>
      <c r="E156" s="230"/>
      <c r="F156" s="230"/>
      <c r="G156" s="230"/>
      <c r="H156" s="230"/>
      <c r="I156" s="157" t="e">
        <f t="shared" si="13"/>
        <v>#DIV/0!</v>
      </c>
      <c r="J156" s="227"/>
      <c r="K156" s="227"/>
      <c r="L156" s="227"/>
      <c r="M156" s="227"/>
      <c r="N156" s="227"/>
      <c r="O156" s="172"/>
      <c r="P156" s="172"/>
      <c r="Q156" s="172"/>
      <c r="R156" s="172"/>
      <c r="S156" s="172"/>
      <c r="T156" s="172"/>
      <c r="U156" s="172"/>
      <c r="V156" s="172"/>
    </row>
    <row r="157" spans="1:22" ht="16.5" hidden="1" customHeight="1" x14ac:dyDescent="0.25">
      <c r="A157" s="228"/>
      <c r="B157" s="229"/>
      <c r="C157" s="230"/>
      <c r="D157" s="230"/>
      <c r="E157" s="230"/>
      <c r="F157" s="230"/>
      <c r="G157" s="230"/>
      <c r="H157" s="230"/>
      <c r="I157" s="157" t="e">
        <f t="shared" si="13"/>
        <v>#DIV/0!</v>
      </c>
      <c r="J157" s="227"/>
      <c r="K157" s="227"/>
      <c r="L157" s="227"/>
      <c r="M157" s="227"/>
      <c r="N157" s="227"/>
      <c r="O157" s="172"/>
      <c r="P157" s="172"/>
      <c r="Q157" s="172"/>
      <c r="R157" s="172"/>
      <c r="S157" s="172"/>
      <c r="T157" s="172"/>
      <c r="U157" s="172"/>
      <c r="V157" s="172"/>
    </row>
    <row r="158" spans="1:22" ht="16.5" hidden="1" customHeight="1" x14ac:dyDescent="0.25">
      <c r="A158" s="228"/>
      <c r="B158" s="229"/>
      <c r="C158" s="230"/>
      <c r="D158" s="230"/>
      <c r="E158" s="230"/>
      <c r="F158" s="230"/>
      <c r="G158" s="230"/>
      <c r="H158" s="230"/>
      <c r="I158" s="157" t="e">
        <f t="shared" si="13"/>
        <v>#DIV/0!</v>
      </c>
      <c r="J158" s="227"/>
      <c r="K158" s="227"/>
      <c r="L158" s="227"/>
      <c r="M158" s="227"/>
      <c r="N158" s="227"/>
      <c r="O158" s="172"/>
      <c r="P158" s="172"/>
      <c r="Q158" s="172"/>
      <c r="R158" s="172"/>
      <c r="S158" s="172"/>
      <c r="T158" s="172"/>
      <c r="U158" s="172"/>
      <c r="V158" s="172"/>
    </row>
    <row r="159" spans="1:22" ht="16.5" hidden="1" customHeight="1" x14ac:dyDescent="0.25">
      <c r="A159" s="228"/>
      <c r="B159" s="229"/>
      <c r="C159" s="230"/>
      <c r="D159" s="230"/>
      <c r="E159" s="230"/>
      <c r="F159" s="230"/>
      <c r="G159" s="230"/>
      <c r="H159" s="230"/>
      <c r="I159" s="157" t="e">
        <f t="shared" si="13"/>
        <v>#DIV/0!</v>
      </c>
      <c r="J159" s="227"/>
      <c r="K159" s="227"/>
      <c r="L159" s="227"/>
      <c r="M159" s="227"/>
      <c r="N159" s="227"/>
      <c r="O159" s="172"/>
      <c r="P159" s="172"/>
      <c r="Q159" s="172"/>
      <c r="R159" s="172"/>
      <c r="S159" s="172"/>
      <c r="T159" s="172"/>
      <c r="U159" s="172"/>
      <c r="V159" s="172"/>
    </row>
    <row r="160" spans="1:22" ht="16.5" hidden="1" customHeight="1" x14ac:dyDescent="0.25">
      <c r="A160" s="228"/>
      <c r="B160" s="229"/>
      <c r="C160" s="230"/>
      <c r="D160" s="230"/>
      <c r="E160" s="230"/>
      <c r="F160" s="230"/>
      <c r="G160" s="230"/>
      <c r="H160" s="230"/>
      <c r="I160" s="157" t="e">
        <f t="shared" si="13"/>
        <v>#DIV/0!</v>
      </c>
      <c r="J160" s="227"/>
      <c r="K160" s="227"/>
      <c r="L160" s="227"/>
      <c r="M160" s="227"/>
      <c r="N160" s="227"/>
      <c r="O160" s="172"/>
      <c r="P160" s="172"/>
      <c r="Q160" s="172"/>
      <c r="R160" s="172"/>
      <c r="S160" s="172"/>
      <c r="T160" s="172"/>
      <c r="U160" s="172"/>
      <c r="V160" s="172"/>
    </row>
    <row r="161" spans="1:22" ht="16.5" hidden="1" customHeight="1" x14ac:dyDescent="0.25">
      <c r="A161" s="228"/>
      <c r="B161" s="229"/>
      <c r="C161" s="230"/>
      <c r="D161" s="230"/>
      <c r="E161" s="230"/>
      <c r="F161" s="230"/>
      <c r="G161" s="230"/>
      <c r="H161" s="230"/>
      <c r="I161" s="157" t="e">
        <f t="shared" si="13"/>
        <v>#DIV/0!</v>
      </c>
      <c r="J161" s="227"/>
      <c r="K161" s="227"/>
      <c r="L161" s="227"/>
      <c r="M161" s="227"/>
      <c r="N161" s="227"/>
      <c r="O161" s="172"/>
      <c r="P161" s="172"/>
      <c r="Q161" s="172"/>
      <c r="R161" s="172"/>
      <c r="S161" s="172"/>
      <c r="T161" s="172"/>
      <c r="U161" s="172"/>
      <c r="V161" s="172"/>
    </row>
    <row r="162" spans="1:22" ht="16.5" hidden="1" customHeight="1" x14ac:dyDescent="0.25">
      <c r="A162" s="228"/>
      <c r="B162" s="229"/>
      <c r="C162" s="230"/>
      <c r="D162" s="230"/>
      <c r="E162" s="230"/>
      <c r="F162" s="230"/>
      <c r="G162" s="230"/>
      <c r="H162" s="230"/>
      <c r="I162" s="157" t="e">
        <f t="shared" si="13"/>
        <v>#DIV/0!</v>
      </c>
      <c r="J162" s="227"/>
      <c r="K162" s="227"/>
      <c r="L162" s="227"/>
      <c r="M162" s="227"/>
      <c r="N162" s="227"/>
      <c r="O162" s="172"/>
      <c r="P162" s="172"/>
      <c r="Q162" s="172"/>
      <c r="R162" s="172"/>
      <c r="S162" s="172"/>
      <c r="T162" s="172"/>
      <c r="U162" s="172"/>
      <c r="V162" s="172"/>
    </row>
    <row r="163" spans="1:22" ht="16.5" hidden="1" customHeight="1" x14ac:dyDescent="0.25">
      <c r="A163" s="228"/>
      <c r="B163" s="229"/>
      <c r="C163" s="230"/>
      <c r="D163" s="230"/>
      <c r="E163" s="230"/>
      <c r="F163" s="230"/>
      <c r="G163" s="230"/>
      <c r="H163" s="230"/>
      <c r="I163" s="157" t="e">
        <f t="shared" si="13"/>
        <v>#DIV/0!</v>
      </c>
      <c r="J163" s="227"/>
      <c r="K163" s="227"/>
      <c r="L163" s="227"/>
      <c r="M163" s="227"/>
      <c r="N163" s="227"/>
      <c r="O163" s="172"/>
      <c r="P163" s="172"/>
      <c r="Q163" s="172"/>
      <c r="R163" s="172"/>
      <c r="S163" s="172"/>
      <c r="T163" s="172"/>
      <c r="U163" s="172"/>
      <c r="V163" s="172"/>
    </row>
    <row r="164" spans="1:22" ht="16.5" hidden="1" customHeight="1" x14ac:dyDescent="0.25">
      <c r="A164" s="228"/>
      <c r="B164" s="229"/>
      <c r="C164" s="230"/>
      <c r="D164" s="230"/>
      <c r="E164" s="230"/>
      <c r="F164" s="230"/>
      <c r="G164" s="230"/>
      <c r="H164" s="230"/>
      <c r="I164" s="157" t="e">
        <f t="shared" si="13"/>
        <v>#DIV/0!</v>
      </c>
      <c r="J164" s="227"/>
      <c r="K164" s="227"/>
      <c r="L164" s="227"/>
      <c r="M164" s="227"/>
      <c r="N164" s="227"/>
      <c r="O164" s="172"/>
      <c r="P164" s="172"/>
      <c r="Q164" s="172"/>
      <c r="R164" s="172"/>
      <c r="S164" s="172"/>
      <c r="T164" s="172"/>
      <c r="U164" s="172"/>
      <c r="V164" s="172"/>
    </row>
    <row r="165" spans="1:22" ht="16.5" hidden="1" customHeight="1" x14ac:dyDescent="0.25">
      <c r="A165" s="228"/>
      <c r="B165" s="229"/>
      <c r="C165" s="230"/>
      <c r="D165" s="230"/>
      <c r="E165" s="230"/>
      <c r="F165" s="230"/>
      <c r="G165" s="230"/>
      <c r="H165" s="230"/>
      <c r="I165" s="157" t="e">
        <f t="shared" si="13"/>
        <v>#DIV/0!</v>
      </c>
      <c r="J165" s="227"/>
      <c r="K165" s="227"/>
      <c r="L165" s="227"/>
      <c r="M165" s="227"/>
      <c r="N165" s="227"/>
      <c r="O165" s="172"/>
      <c r="P165" s="172"/>
      <c r="Q165" s="172"/>
      <c r="R165" s="172"/>
      <c r="S165" s="172"/>
      <c r="T165" s="172"/>
      <c r="U165" s="172"/>
      <c r="V165" s="172"/>
    </row>
    <row r="166" spans="1:22" ht="16.5" hidden="1" customHeight="1" x14ac:dyDescent="0.25">
      <c r="A166" s="228"/>
      <c r="B166" s="229"/>
      <c r="C166" s="230"/>
      <c r="D166" s="230"/>
      <c r="E166" s="230"/>
      <c r="F166" s="230"/>
      <c r="G166" s="230"/>
      <c r="H166" s="230"/>
      <c r="I166" s="157" t="e">
        <f t="shared" si="13"/>
        <v>#DIV/0!</v>
      </c>
      <c r="J166" s="227"/>
      <c r="K166" s="227"/>
      <c r="L166" s="227"/>
      <c r="M166" s="227"/>
      <c r="N166" s="227"/>
      <c r="O166" s="172"/>
      <c r="P166" s="172"/>
      <c r="Q166" s="172"/>
      <c r="R166" s="172"/>
      <c r="S166" s="172"/>
      <c r="T166" s="172"/>
      <c r="U166" s="172"/>
      <c r="V166" s="172"/>
    </row>
    <row r="167" spans="1:22" ht="16.5" hidden="1" customHeight="1" x14ac:dyDescent="0.25">
      <c r="A167" s="228"/>
      <c r="B167" s="229"/>
      <c r="C167" s="230"/>
      <c r="D167" s="230"/>
      <c r="E167" s="230"/>
      <c r="F167" s="230"/>
      <c r="G167" s="230"/>
      <c r="H167" s="230"/>
      <c r="I167" s="157" t="e">
        <f t="shared" si="13"/>
        <v>#DIV/0!</v>
      </c>
      <c r="J167" s="227"/>
      <c r="K167" s="227"/>
      <c r="L167" s="227"/>
      <c r="M167" s="227"/>
      <c r="N167" s="227"/>
      <c r="O167" s="172"/>
      <c r="P167" s="172"/>
      <c r="Q167" s="172"/>
      <c r="R167" s="172"/>
      <c r="S167" s="172"/>
      <c r="T167" s="172"/>
      <c r="U167" s="172"/>
      <c r="V167" s="172"/>
    </row>
    <row r="168" spans="1:22" ht="16.5" hidden="1" customHeight="1" x14ac:dyDescent="0.25">
      <c r="A168" s="228"/>
      <c r="B168" s="229"/>
      <c r="C168" s="230"/>
      <c r="D168" s="230"/>
      <c r="E168" s="230"/>
      <c r="F168" s="230"/>
      <c r="G168" s="230"/>
      <c r="H168" s="230"/>
      <c r="I168" s="157" t="e">
        <f t="shared" si="13"/>
        <v>#DIV/0!</v>
      </c>
      <c r="J168" s="227"/>
      <c r="K168" s="227"/>
      <c r="L168" s="227"/>
      <c r="M168" s="227"/>
      <c r="N168" s="227"/>
      <c r="O168" s="172"/>
      <c r="P168" s="172"/>
      <c r="Q168" s="172"/>
      <c r="R168" s="172"/>
      <c r="S168" s="172"/>
      <c r="T168" s="172"/>
      <c r="U168" s="172"/>
      <c r="V168" s="172"/>
    </row>
    <row r="169" spans="1:22" ht="16.5" hidden="1" customHeight="1" x14ac:dyDescent="0.25">
      <c r="A169" s="228"/>
      <c r="B169" s="229"/>
      <c r="C169" s="230"/>
      <c r="D169" s="230"/>
      <c r="E169" s="230"/>
      <c r="F169" s="230"/>
      <c r="G169" s="230"/>
      <c r="H169" s="230"/>
      <c r="I169" s="157" t="e">
        <f t="shared" si="13"/>
        <v>#DIV/0!</v>
      </c>
      <c r="J169" s="227"/>
      <c r="K169" s="227"/>
      <c r="L169" s="227"/>
      <c r="M169" s="227"/>
      <c r="N169" s="227"/>
      <c r="O169" s="172"/>
      <c r="P169" s="172"/>
      <c r="Q169" s="172"/>
      <c r="R169" s="172"/>
      <c r="S169" s="172"/>
      <c r="T169" s="172"/>
      <c r="U169" s="172"/>
      <c r="V169" s="172"/>
    </row>
    <row r="170" spans="1:22" ht="16.5" hidden="1" customHeight="1" x14ac:dyDescent="0.25">
      <c r="A170" s="228"/>
      <c r="B170" s="229"/>
      <c r="C170" s="230"/>
      <c r="D170" s="230"/>
      <c r="E170" s="230"/>
      <c r="F170" s="230"/>
      <c r="G170" s="230"/>
      <c r="H170" s="230"/>
      <c r="I170" s="157" t="e">
        <f t="shared" si="13"/>
        <v>#DIV/0!</v>
      </c>
      <c r="J170" s="227"/>
      <c r="K170" s="227"/>
      <c r="L170" s="227"/>
      <c r="M170" s="227"/>
      <c r="N170" s="227"/>
      <c r="O170" s="172"/>
      <c r="P170" s="172"/>
      <c r="Q170" s="172"/>
      <c r="R170" s="172"/>
      <c r="S170" s="172"/>
      <c r="T170" s="172"/>
      <c r="U170" s="172"/>
      <c r="V170" s="172"/>
    </row>
    <row r="171" spans="1:22" ht="16.5" hidden="1" customHeight="1" x14ac:dyDescent="0.25">
      <c r="A171" s="228"/>
      <c r="B171" s="229"/>
      <c r="C171" s="230"/>
      <c r="D171" s="230"/>
      <c r="E171" s="230"/>
      <c r="F171" s="230"/>
      <c r="G171" s="230"/>
      <c r="H171" s="230"/>
      <c r="I171" s="157" t="e">
        <f t="shared" si="13"/>
        <v>#DIV/0!</v>
      </c>
      <c r="J171" s="227"/>
      <c r="K171" s="227"/>
      <c r="L171" s="227"/>
      <c r="M171" s="227"/>
      <c r="N171" s="227"/>
      <c r="O171" s="172"/>
      <c r="P171" s="172"/>
      <c r="Q171" s="172"/>
      <c r="R171" s="172"/>
      <c r="S171" s="172"/>
      <c r="T171" s="172"/>
      <c r="U171" s="172"/>
      <c r="V171" s="172"/>
    </row>
    <row r="172" spans="1:22" ht="16.5" hidden="1" customHeight="1" x14ac:dyDescent="0.25">
      <c r="A172" s="228"/>
      <c r="B172" s="229"/>
      <c r="C172" s="230"/>
      <c r="D172" s="230"/>
      <c r="E172" s="230"/>
      <c r="F172" s="230"/>
      <c r="G172" s="230"/>
      <c r="H172" s="230"/>
      <c r="I172" s="157" t="e">
        <f t="shared" si="13"/>
        <v>#DIV/0!</v>
      </c>
      <c r="J172" s="227"/>
      <c r="K172" s="227"/>
      <c r="L172" s="227"/>
      <c r="M172" s="227"/>
      <c r="N172" s="227"/>
      <c r="O172" s="172"/>
      <c r="P172" s="172"/>
      <c r="Q172" s="172"/>
      <c r="R172" s="172"/>
      <c r="S172" s="172"/>
      <c r="T172" s="172"/>
      <c r="U172" s="172"/>
      <c r="V172" s="172"/>
    </row>
    <row r="173" spans="1:22" ht="16.5" hidden="1" customHeight="1" x14ac:dyDescent="0.25">
      <c r="A173" s="228"/>
      <c r="B173" s="229"/>
      <c r="C173" s="230"/>
      <c r="D173" s="230"/>
      <c r="E173" s="230"/>
      <c r="F173" s="230"/>
      <c r="G173" s="230"/>
      <c r="H173" s="230"/>
      <c r="I173" s="157" t="e">
        <f t="shared" si="13"/>
        <v>#DIV/0!</v>
      </c>
      <c r="J173" s="227"/>
      <c r="K173" s="227"/>
      <c r="L173" s="227"/>
      <c r="M173" s="227"/>
      <c r="N173" s="227"/>
      <c r="O173" s="172"/>
      <c r="P173" s="172"/>
      <c r="Q173" s="172"/>
      <c r="R173" s="172"/>
      <c r="S173" s="172"/>
      <c r="T173" s="172"/>
      <c r="U173" s="172"/>
      <c r="V173" s="172"/>
    </row>
    <row r="174" spans="1:22" ht="16.5" hidden="1" customHeight="1" x14ac:dyDescent="0.25">
      <c r="A174" s="228"/>
      <c r="B174" s="229"/>
      <c r="C174" s="230"/>
      <c r="D174" s="230"/>
      <c r="E174" s="230"/>
      <c r="F174" s="230"/>
      <c r="G174" s="230"/>
      <c r="H174" s="230"/>
      <c r="I174" s="157" t="e">
        <f t="shared" si="13"/>
        <v>#DIV/0!</v>
      </c>
      <c r="J174" s="227"/>
      <c r="K174" s="227"/>
      <c r="L174" s="227"/>
      <c r="M174" s="227"/>
      <c r="N174" s="227"/>
      <c r="O174" s="172"/>
      <c r="P174" s="172"/>
      <c r="Q174" s="172"/>
      <c r="R174" s="172"/>
      <c r="S174" s="172"/>
      <c r="T174" s="172"/>
      <c r="U174" s="172"/>
      <c r="V174" s="172"/>
    </row>
    <row r="175" spans="1:22" ht="16.5" hidden="1" customHeight="1" x14ac:dyDescent="0.25">
      <c r="A175" s="228"/>
      <c r="B175" s="229"/>
      <c r="C175" s="230"/>
      <c r="D175" s="230"/>
      <c r="E175" s="230"/>
      <c r="F175" s="230"/>
      <c r="G175" s="230"/>
      <c r="H175" s="230"/>
      <c r="I175" s="157" t="e">
        <f t="shared" si="13"/>
        <v>#DIV/0!</v>
      </c>
      <c r="J175" s="227"/>
      <c r="K175" s="227"/>
      <c r="L175" s="227"/>
      <c r="M175" s="227"/>
      <c r="N175" s="227"/>
      <c r="O175" s="172"/>
      <c r="P175" s="172"/>
      <c r="Q175" s="172"/>
      <c r="R175" s="172"/>
      <c r="S175" s="172"/>
      <c r="T175" s="172"/>
      <c r="U175" s="172"/>
      <c r="V175" s="172"/>
    </row>
    <row r="176" spans="1:22" ht="16.5" hidden="1" customHeight="1" x14ac:dyDescent="0.25">
      <c r="A176" s="228"/>
      <c r="B176" s="229"/>
      <c r="C176" s="230"/>
      <c r="D176" s="230"/>
      <c r="E176" s="230"/>
      <c r="F176" s="230"/>
      <c r="G176" s="230"/>
      <c r="H176" s="230"/>
      <c r="I176" s="157" t="e">
        <f t="shared" si="13"/>
        <v>#DIV/0!</v>
      </c>
      <c r="J176" s="227"/>
      <c r="K176" s="227"/>
      <c r="L176" s="227"/>
      <c r="M176" s="227"/>
      <c r="N176" s="227"/>
      <c r="O176" s="172"/>
      <c r="P176" s="172"/>
      <c r="Q176" s="172"/>
      <c r="R176" s="172"/>
      <c r="S176" s="172"/>
      <c r="T176" s="172"/>
      <c r="U176" s="172"/>
      <c r="V176" s="172"/>
    </row>
    <row r="177" spans="1:22" ht="16.5" hidden="1" customHeight="1" x14ac:dyDescent="0.25">
      <c r="A177" s="228"/>
      <c r="B177" s="229"/>
      <c r="C177" s="230"/>
      <c r="D177" s="230"/>
      <c r="E177" s="230"/>
      <c r="F177" s="230"/>
      <c r="G177" s="230"/>
      <c r="H177" s="230"/>
      <c r="I177" s="157" t="e">
        <f t="shared" si="13"/>
        <v>#DIV/0!</v>
      </c>
      <c r="J177" s="227"/>
      <c r="K177" s="227"/>
      <c r="L177" s="227"/>
      <c r="M177" s="227"/>
      <c r="N177" s="227"/>
      <c r="O177" s="172"/>
      <c r="P177" s="172"/>
      <c r="Q177" s="172"/>
      <c r="R177" s="172"/>
      <c r="S177" s="172"/>
      <c r="T177" s="172"/>
      <c r="U177" s="172"/>
      <c r="V177" s="172"/>
    </row>
    <row r="178" spans="1:22" ht="16.5" hidden="1" customHeight="1" x14ac:dyDescent="0.25">
      <c r="A178" s="228"/>
      <c r="B178" s="229"/>
      <c r="C178" s="230"/>
      <c r="D178" s="230"/>
      <c r="E178" s="230"/>
      <c r="F178" s="230"/>
      <c r="G178" s="230"/>
      <c r="H178" s="230"/>
      <c r="I178" s="157" t="e">
        <f t="shared" si="13"/>
        <v>#DIV/0!</v>
      </c>
      <c r="J178" s="227"/>
      <c r="K178" s="227"/>
      <c r="L178" s="227"/>
      <c r="M178" s="227"/>
      <c r="N178" s="227"/>
      <c r="O178" s="172"/>
      <c r="P178" s="172"/>
      <c r="Q178" s="172"/>
      <c r="R178" s="172"/>
      <c r="S178" s="172"/>
      <c r="T178" s="172"/>
      <c r="U178" s="172"/>
      <c r="V178" s="172"/>
    </row>
    <row r="179" spans="1:22" ht="16.5" hidden="1" customHeight="1" x14ac:dyDescent="0.25">
      <c r="A179" s="228"/>
      <c r="B179" s="229"/>
      <c r="C179" s="230"/>
      <c r="D179" s="230"/>
      <c r="E179" s="230"/>
      <c r="F179" s="230"/>
      <c r="G179" s="230"/>
      <c r="H179" s="230"/>
      <c r="I179" s="157" t="e">
        <f t="shared" si="13"/>
        <v>#DIV/0!</v>
      </c>
      <c r="J179" s="227"/>
      <c r="K179" s="227"/>
      <c r="L179" s="227"/>
      <c r="M179" s="227"/>
      <c r="N179" s="227"/>
      <c r="O179" s="172"/>
      <c r="P179" s="172"/>
      <c r="Q179" s="172"/>
      <c r="R179" s="172"/>
      <c r="S179" s="172"/>
      <c r="T179" s="172"/>
      <c r="U179" s="172"/>
      <c r="V179" s="172"/>
    </row>
    <row r="180" spans="1:22" ht="16.5" hidden="1" customHeight="1" x14ac:dyDescent="0.25">
      <c r="A180" s="228"/>
      <c r="B180" s="229"/>
      <c r="C180" s="230"/>
      <c r="D180" s="230"/>
      <c r="E180" s="230"/>
      <c r="F180" s="230"/>
      <c r="G180" s="230"/>
      <c r="H180" s="230"/>
      <c r="I180" s="157" t="e">
        <f t="shared" si="13"/>
        <v>#DIV/0!</v>
      </c>
      <c r="J180" s="227"/>
      <c r="K180" s="227"/>
      <c r="L180" s="227"/>
      <c r="M180" s="227"/>
      <c r="N180" s="227"/>
      <c r="O180" s="172"/>
      <c r="P180" s="172"/>
      <c r="Q180" s="172"/>
      <c r="R180" s="172"/>
      <c r="S180" s="172"/>
      <c r="T180" s="172"/>
      <c r="U180" s="172"/>
      <c r="V180" s="172"/>
    </row>
    <row r="181" spans="1:22" ht="16.5" hidden="1" customHeight="1" x14ac:dyDescent="0.25">
      <c r="A181" s="228"/>
      <c r="B181" s="229"/>
      <c r="C181" s="230"/>
      <c r="D181" s="230"/>
      <c r="E181" s="230"/>
      <c r="F181" s="230"/>
      <c r="G181" s="230"/>
      <c r="H181" s="230"/>
      <c r="I181" s="157" t="e">
        <f t="shared" si="13"/>
        <v>#DIV/0!</v>
      </c>
      <c r="J181" s="227"/>
      <c r="K181" s="227"/>
      <c r="L181" s="227"/>
      <c r="M181" s="227"/>
      <c r="N181" s="227"/>
      <c r="O181" s="172"/>
      <c r="P181" s="172"/>
      <c r="Q181" s="172"/>
      <c r="R181" s="172"/>
      <c r="S181" s="172"/>
      <c r="T181" s="172"/>
      <c r="U181" s="172"/>
      <c r="V181" s="172"/>
    </row>
    <row r="182" spans="1:22" ht="16.5" hidden="1" customHeight="1" x14ac:dyDescent="0.25">
      <c r="A182" s="228"/>
      <c r="B182" s="229"/>
      <c r="C182" s="230"/>
      <c r="D182" s="230"/>
      <c r="E182" s="230"/>
      <c r="F182" s="230"/>
      <c r="G182" s="230"/>
      <c r="H182" s="230"/>
      <c r="I182" s="157" t="e">
        <f t="shared" si="13"/>
        <v>#DIV/0!</v>
      </c>
      <c r="J182" s="227"/>
      <c r="K182" s="227"/>
      <c r="L182" s="227"/>
      <c r="M182" s="227"/>
      <c r="N182" s="227"/>
      <c r="O182" s="172"/>
      <c r="P182" s="172"/>
      <c r="Q182" s="172"/>
      <c r="R182" s="172"/>
      <c r="S182" s="172"/>
      <c r="T182" s="172"/>
      <c r="U182" s="172"/>
      <c r="V182" s="172"/>
    </row>
    <row r="183" spans="1:22" ht="16.5" hidden="1" customHeight="1" x14ac:dyDescent="0.25">
      <c r="A183" s="228"/>
      <c r="B183" s="229"/>
      <c r="C183" s="230"/>
      <c r="D183" s="230"/>
      <c r="E183" s="230"/>
      <c r="F183" s="230"/>
      <c r="G183" s="230"/>
      <c r="H183" s="230"/>
      <c r="I183" s="157" t="e">
        <f t="shared" si="13"/>
        <v>#DIV/0!</v>
      </c>
      <c r="J183" s="227"/>
      <c r="K183" s="227"/>
      <c r="L183" s="227"/>
      <c r="M183" s="227"/>
      <c r="N183" s="227"/>
      <c r="O183" s="172"/>
      <c r="P183" s="172"/>
      <c r="Q183" s="172"/>
      <c r="R183" s="172"/>
      <c r="S183" s="172"/>
      <c r="T183" s="172"/>
      <c r="U183" s="172"/>
      <c r="V183" s="172"/>
    </row>
    <row r="184" spans="1:22" ht="16.5" hidden="1" customHeight="1" x14ac:dyDescent="0.25">
      <c r="A184" s="228"/>
      <c r="B184" s="229"/>
      <c r="C184" s="230"/>
      <c r="D184" s="230"/>
      <c r="E184" s="230"/>
      <c r="F184" s="230"/>
      <c r="G184" s="230"/>
      <c r="H184" s="230"/>
      <c r="I184" s="157" t="e">
        <f t="shared" si="13"/>
        <v>#DIV/0!</v>
      </c>
      <c r="J184" s="227"/>
      <c r="K184" s="227"/>
      <c r="L184" s="227"/>
      <c r="M184" s="227"/>
      <c r="N184" s="227"/>
      <c r="O184" s="172"/>
      <c r="P184" s="172"/>
      <c r="Q184" s="172"/>
      <c r="R184" s="172"/>
      <c r="S184" s="172"/>
      <c r="T184" s="172"/>
      <c r="U184" s="172"/>
      <c r="V184" s="172"/>
    </row>
    <row r="185" spans="1:22" ht="16.5" hidden="1" customHeight="1" x14ac:dyDescent="0.25">
      <c r="A185" s="228"/>
      <c r="B185" s="229"/>
      <c r="C185" s="230"/>
      <c r="D185" s="230"/>
      <c r="E185" s="230"/>
      <c r="F185" s="230"/>
      <c r="G185" s="230"/>
      <c r="H185" s="230"/>
      <c r="I185" s="157" t="e">
        <f t="shared" si="13"/>
        <v>#DIV/0!</v>
      </c>
      <c r="J185" s="227"/>
      <c r="K185" s="227"/>
      <c r="L185" s="227"/>
      <c r="M185" s="227"/>
      <c r="N185" s="227"/>
      <c r="O185" s="172"/>
      <c r="P185" s="172"/>
      <c r="Q185" s="172"/>
      <c r="R185" s="172"/>
      <c r="S185" s="172"/>
      <c r="T185" s="172"/>
      <c r="U185" s="172"/>
      <c r="V185" s="172"/>
    </row>
    <row r="186" spans="1:22" ht="16.5" hidden="1" customHeight="1" x14ac:dyDescent="0.25">
      <c r="A186" s="228"/>
      <c r="B186" s="229"/>
      <c r="C186" s="230"/>
      <c r="D186" s="230"/>
      <c r="E186" s="230"/>
      <c r="F186" s="230"/>
      <c r="G186" s="230"/>
      <c r="H186" s="230"/>
      <c r="I186" s="157" t="e">
        <f t="shared" si="13"/>
        <v>#DIV/0!</v>
      </c>
      <c r="J186" s="227"/>
      <c r="K186" s="227"/>
      <c r="L186" s="227"/>
      <c r="M186" s="227"/>
      <c r="N186" s="227"/>
      <c r="O186" s="172"/>
      <c r="P186" s="172"/>
      <c r="Q186" s="172"/>
      <c r="R186" s="172"/>
      <c r="S186" s="172"/>
      <c r="T186" s="172"/>
      <c r="U186" s="172"/>
      <c r="V186" s="172"/>
    </row>
    <row r="187" spans="1:22" ht="16.5" hidden="1" customHeight="1" x14ac:dyDescent="0.25">
      <c r="A187" s="228"/>
      <c r="B187" s="229"/>
      <c r="C187" s="230"/>
      <c r="D187" s="230"/>
      <c r="E187" s="230"/>
      <c r="F187" s="230"/>
      <c r="G187" s="230"/>
      <c r="H187" s="230"/>
      <c r="I187" s="157" t="e">
        <f t="shared" si="13"/>
        <v>#DIV/0!</v>
      </c>
      <c r="J187" s="227"/>
      <c r="K187" s="227"/>
      <c r="L187" s="227"/>
      <c r="M187" s="227"/>
      <c r="N187" s="227"/>
      <c r="O187" s="172"/>
      <c r="P187" s="172"/>
      <c r="Q187" s="172"/>
      <c r="R187" s="172"/>
      <c r="S187" s="172"/>
      <c r="T187" s="172"/>
      <c r="U187" s="172"/>
      <c r="V187" s="172"/>
    </row>
    <row r="188" spans="1:22" ht="16.5" hidden="1" customHeight="1" x14ac:dyDescent="0.25">
      <c r="A188" s="228"/>
      <c r="B188" s="229"/>
      <c r="C188" s="230"/>
      <c r="D188" s="230"/>
      <c r="E188" s="230"/>
      <c r="F188" s="230"/>
      <c r="G188" s="230"/>
      <c r="H188" s="230"/>
      <c r="I188" s="157" t="e">
        <f t="shared" si="13"/>
        <v>#DIV/0!</v>
      </c>
      <c r="J188" s="227"/>
      <c r="K188" s="227"/>
      <c r="L188" s="227"/>
      <c r="M188" s="227"/>
      <c r="N188" s="227"/>
      <c r="O188" s="172"/>
      <c r="P188" s="172"/>
      <c r="Q188" s="172"/>
      <c r="R188" s="172"/>
      <c r="S188" s="172"/>
      <c r="T188" s="172"/>
      <c r="U188" s="172"/>
      <c r="V188" s="172"/>
    </row>
    <row r="189" spans="1:22" ht="16.5" hidden="1" customHeight="1" x14ac:dyDescent="0.25">
      <c r="A189" s="228"/>
      <c r="B189" s="229"/>
      <c r="C189" s="230"/>
      <c r="D189" s="230"/>
      <c r="E189" s="230"/>
      <c r="F189" s="230"/>
      <c r="G189" s="230"/>
      <c r="H189" s="230"/>
      <c r="I189" s="157" t="e">
        <f t="shared" si="13"/>
        <v>#DIV/0!</v>
      </c>
      <c r="J189" s="227"/>
      <c r="K189" s="227"/>
      <c r="L189" s="227"/>
      <c r="M189" s="227"/>
      <c r="N189" s="227"/>
      <c r="O189" s="172"/>
      <c r="P189" s="172"/>
      <c r="Q189" s="172"/>
      <c r="R189" s="172"/>
      <c r="S189" s="172"/>
      <c r="T189" s="172"/>
      <c r="U189" s="172"/>
      <c r="V189" s="172"/>
    </row>
    <row r="190" spans="1:22" ht="16.5" hidden="1" customHeight="1" x14ac:dyDescent="0.25">
      <c r="A190" s="228"/>
      <c r="B190" s="229"/>
      <c r="C190" s="230"/>
      <c r="D190" s="230"/>
      <c r="E190" s="230"/>
      <c r="F190" s="230"/>
      <c r="G190" s="230"/>
      <c r="H190" s="230"/>
      <c r="I190" s="157" t="e">
        <f t="shared" si="13"/>
        <v>#DIV/0!</v>
      </c>
      <c r="J190" s="227"/>
      <c r="K190" s="227"/>
      <c r="L190" s="227"/>
      <c r="M190" s="227"/>
      <c r="N190" s="227"/>
      <c r="O190" s="172"/>
      <c r="P190" s="172"/>
      <c r="Q190" s="172"/>
      <c r="R190" s="172"/>
      <c r="S190" s="172"/>
      <c r="T190" s="172"/>
      <c r="U190" s="172"/>
      <c r="V190" s="172"/>
    </row>
    <row r="191" spans="1:22" ht="16.5" hidden="1" customHeight="1" x14ac:dyDescent="0.25">
      <c r="A191" s="228"/>
      <c r="B191" s="229"/>
      <c r="C191" s="230"/>
      <c r="D191" s="230"/>
      <c r="E191" s="230"/>
      <c r="F191" s="230"/>
      <c r="G191" s="230"/>
      <c r="H191" s="230"/>
      <c r="I191" s="157" t="e">
        <f t="shared" si="13"/>
        <v>#DIV/0!</v>
      </c>
      <c r="J191" s="227"/>
      <c r="K191" s="227"/>
      <c r="L191" s="227"/>
      <c r="M191" s="227"/>
      <c r="N191" s="227"/>
      <c r="O191" s="172"/>
      <c r="P191" s="172"/>
      <c r="Q191" s="172"/>
      <c r="R191" s="172"/>
      <c r="S191" s="172"/>
      <c r="T191" s="172"/>
      <c r="U191" s="172"/>
      <c r="V191" s="172"/>
    </row>
    <row r="192" spans="1:22" ht="16.5" hidden="1" customHeight="1" x14ac:dyDescent="0.25">
      <c r="A192" s="228"/>
      <c r="B192" s="229"/>
      <c r="C192" s="230"/>
      <c r="D192" s="230"/>
      <c r="E192" s="230"/>
      <c r="F192" s="230"/>
      <c r="G192" s="230"/>
      <c r="H192" s="230"/>
      <c r="I192" s="157" t="e">
        <f t="shared" si="13"/>
        <v>#DIV/0!</v>
      </c>
      <c r="J192" s="227"/>
      <c r="K192" s="227"/>
      <c r="L192" s="227"/>
      <c r="M192" s="227"/>
      <c r="N192" s="227"/>
      <c r="O192" s="172"/>
      <c r="P192" s="172"/>
      <c r="Q192" s="172"/>
      <c r="R192" s="172"/>
      <c r="S192" s="172"/>
      <c r="T192" s="172"/>
      <c r="U192" s="172"/>
      <c r="V192" s="172"/>
    </row>
    <row r="193" spans="1:22" ht="16.5" hidden="1" customHeight="1" x14ac:dyDescent="0.25">
      <c r="A193" s="228"/>
      <c r="B193" s="229"/>
      <c r="C193" s="230"/>
      <c r="D193" s="230"/>
      <c r="E193" s="230"/>
      <c r="F193" s="230"/>
      <c r="G193" s="230"/>
      <c r="H193" s="230"/>
      <c r="I193" s="157" t="e">
        <f t="shared" si="13"/>
        <v>#DIV/0!</v>
      </c>
      <c r="J193" s="227"/>
      <c r="K193" s="227"/>
      <c r="L193" s="227"/>
      <c r="M193" s="227"/>
      <c r="N193" s="227"/>
      <c r="O193" s="172"/>
      <c r="P193" s="172"/>
      <c r="Q193" s="172"/>
      <c r="R193" s="172"/>
      <c r="S193" s="172"/>
      <c r="T193" s="172"/>
      <c r="U193" s="172"/>
      <c r="V193" s="172"/>
    </row>
    <row r="194" spans="1:22" ht="16.5" hidden="1" customHeight="1" x14ac:dyDescent="0.25">
      <c r="A194" s="228"/>
      <c r="B194" s="229"/>
      <c r="C194" s="230"/>
      <c r="D194" s="230"/>
      <c r="E194" s="230"/>
      <c r="F194" s="230"/>
      <c r="G194" s="230"/>
      <c r="H194" s="230"/>
      <c r="I194" s="157" t="e">
        <f t="shared" si="13"/>
        <v>#DIV/0!</v>
      </c>
      <c r="J194" s="227"/>
      <c r="K194" s="227"/>
      <c r="L194" s="227"/>
      <c r="M194" s="227"/>
      <c r="N194" s="227"/>
      <c r="O194" s="172"/>
      <c r="P194" s="172"/>
      <c r="Q194" s="172"/>
      <c r="R194" s="172"/>
      <c r="S194" s="172"/>
      <c r="T194" s="172"/>
      <c r="U194" s="172"/>
      <c r="V194" s="172"/>
    </row>
    <row r="195" spans="1:22" ht="16.5" hidden="1" customHeight="1" x14ac:dyDescent="0.25">
      <c r="A195" s="228"/>
      <c r="B195" s="229"/>
      <c r="C195" s="230"/>
      <c r="D195" s="230"/>
      <c r="E195" s="230"/>
      <c r="F195" s="230"/>
      <c r="G195" s="230"/>
      <c r="H195" s="230"/>
      <c r="I195" s="157" t="e">
        <f t="shared" si="13"/>
        <v>#DIV/0!</v>
      </c>
      <c r="J195" s="227"/>
      <c r="K195" s="227"/>
      <c r="L195" s="227"/>
      <c r="M195" s="227"/>
      <c r="N195" s="227"/>
      <c r="O195" s="172"/>
      <c r="P195" s="172"/>
      <c r="Q195" s="172"/>
      <c r="R195" s="172"/>
      <c r="S195" s="172"/>
      <c r="T195" s="172"/>
      <c r="U195" s="172"/>
      <c r="V195" s="172"/>
    </row>
    <row r="196" spans="1:22" ht="16.5" hidden="1" customHeight="1" x14ac:dyDescent="0.25">
      <c r="A196" s="228"/>
      <c r="B196" s="229"/>
      <c r="C196" s="230"/>
      <c r="D196" s="230"/>
      <c r="E196" s="230"/>
      <c r="F196" s="230"/>
      <c r="G196" s="230"/>
      <c r="H196" s="230"/>
      <c r="I196" s="157" t="e">
        <f t="shared" si="13"/>
        <v>#DIV/0!</v>
      </c>
      <c r="J196" s="227"/>
      <c r="K196" s="227"/>
      <c r="L196" s="227"/>
      <c r="M196" s="227"/>
      <c r="N196" s="227"/>
      <c r="O196" s="172"/>
      <c r="P196" s="172"/>
      <c r="Q196" s="172"/>
      <c r="R196" s="172"/>
      <c r="S196" s="172"/>
      <c r="T196" s="172"/>
      <c r="U196" s="172"/>
      <c r="V196" s="172"/>
    </row>
    <row r="197" spans="1:22" ht="16.5" hidden="1" customHeight="1" x14ac:dyDescent="0.25">
      <c r="A197" s="228"/>
      <c r="B197" s="229"/>
      <c r="C197" s="230"/>
      <c r="D197" s="230"/>
      <c r="E197" s="230"/>
      <c r="F197" s="230"/>
      <c r="G197" s="230"/>
      <c r="H197" s="230"/>
      <c r="I197" s="157" t="e">
        <f t="shared" si="13"/>
        <v>#DIV/0!</v>
      </c>
      <c r="J197" s="227"/>
      <c r="K197" s="227"/>
      <c r="L197" s="227"/>
      <c r="M197" s="227"/>
      <c r="N197" s="227"/>
      <c r="O197" s="172"/>
      <c r="P197" s="172"/>
      <c r="Q197" s="172"/>
      <c r="R197" s="172"/>
      <c r="S197" s="172"/>
      <c r="T197" s="172"/>
      <c r="U197" s="172"/>
      <c r="V197" s="172"/>
    </row>
    <row r="198" spans="1:22" ht="16.5" hidden="1" customHeight="1" x14ac:dyDescent="0.25">
      <c r="A198" s="228"/>
      <c r="B198" s="229"/>
      <c r="C198" s="230"/>
      <c r="D198" s="230"/>
      <c r="E198" s="230"/>
      <c r="F198" s="230"/>
      <c r="G198" s="230"/>
      <c r="H198" s="230"/>
      <c r="I198" s="157" t="e">
        <f t="shared" si="13"/>
        <v>#DIV/0!</v>
      </c>
      <c r="J198" s="227"/>
      <c r="K198" s="227"/>
      <c r="L198" s="227"/>
      <c r="M198" s="227"/>
      <c r="N198" s="227"/>
      <c r="O198" s="172"/>
      <c r="P198" s="172"/>
      <c r="Q198" s="172"/>
      <c r="R198" s="172"/>
      <c r="S198" s="172"/>
      <c r="T198" s="172"/>
      <c r="U198" s="172"/>
      <c r="V198" s="172"/>
    </row>
    <row r="199" spans="1:22" ht="16.5" hidden="1" customHeight="1" x14ac:dyDescent="0.25">
      <c r="A199" s="228"/>
      <c r="B199" s="229"/>
      <c r="C199" s="230"/>
      <c r="D199" s="230"/>
      <c r="E199" s="230"/>
      <c r="F199" s="230"/>
      <c r="G199" s="230"/>
      <c r="H199" s="230"/>
      <c r="I199" s="157" t="e">
        <f t="shared" si="13"/>
        <v>#DIV/0!</v>
      </c>
      <c r="J199" s="227"/>
      <c r="K199" s="227"/>
      <c r="L199" s="227"/>
      <c r="M199" s="227"/>
      <c r="N199" s="227"/>
      <c r="O199" s="172"/>
      <c r="P199" s="172"/>
      <c r="Q199" s="172"/>
      <c r="R199" s="172"/>
      <c r="S199" s="172"/>
      <c r="T199" s="172"/>
      <c r="U199" s="172"/>
      <c r="V199" s="172"/>
    </row>
    <row r="200" spans="1:22" ht="16.5" hidden="1" customHeight="1" x14ac:dyDescent="0.25">
      <c r="A200" s="228"/>
      <c r="B200" s="229"/>
      <c r="C200" s="230"/>
      <c r="D200" s="230"/>
      <c r="E200" s="230"/>
      <c r="F200" s="230"/>
      <c r="G200" s="230"/>
      <c r="H200" s="230"/>
      <c r="I200" s="157" t="e">
        <f t="shared" si="13"/>
        <v>#DIV/0!</v>
      </c>
      <c r="J200" s="227"/>
      <c r="K200" s="227"/>
      <c r="L200" s="227"/>
      <c r="M200" s="227"/>
      <c r="N200" s="227"/>
      <c r="O200" s="172"/>
      <c r="P200" s="172"/>
      <c r="Q200" s="172"/>
      <c r="R200" s="172"/>
      <c r="S200" s="172"/>
      <c r="T200" s="172"/>
      <c r="U200" s="172"/>
      <c r="V200" s="172"/>
    </row>
    <row r="201" spans="1:22" ht="16.5" hidden="1" customHeight="1" x14ac:dyDescent="0.25">
      <c r="A201" s="228"/>
      <c r="B201" s="229"/>
      <c r="C201" s="230"/>
      <c r="D201" s="230"/>
      <c r="E201" s="230"/>
      <c r="F201" s="230"/>
      <c r="G201" s="230"/>
      <c r="H201" s="230"/>
      <c r="I201" s="157" t="e">
        <f t="shared" si="13"/>
        <v>#DIV/0!</v>
      </c>
      <c r="J201" s="227"/>
      <c r="K201" s="227"/>
      <c r="L201" s="227"/>
      <c r="M201" s="227"/>
      <c r="N201" s="227"/>
      <c r="O201" s="172"/>
      <c r="P201" s="172"/>
      <c r="Q201" s="172"/>
      <c r="R201" s="172"/>
      <c r="S201" s="172"/>
      <c r="T201" s="172"/>
      <c r="U201" s="172"/>
      <c r="V201" s="172"/>
    </row>
    <row r="202" spans="1:22" ht="16.5" hidden="1" customHeight="1" x14ac:dyDescent="0.25">
      <c r="A202" s="228"/>
      <c r="B202" s="229"/>
      <c r="C202" s="230"/>
      <c r="D202" s="230"/>
      <c r="E202" s="230"/>
      <c r="F202" s="230"/>
      <c r="G202" s="230"/>
      <c r="H202" s="230"/>
      <c r="I202" s="157" t="e">
        <f t="shared" si="13"/>
        <v>#DIV/0!</v>
      </c>
      <c r="J202" s="227"/>
      <c r="K202" s="227"/>
      <c r="L202" s="227"/>
      <c r="M202" s="227"/>
      <c r="N202" s="227"/>
      <c r="O202" s="172"/>
      <c r="P202" s="172"/>
      <c r="Q202" s="172"/>
      <c r="R202" s="172"/>
      <c r="S202" s="172"/>
      <c r="T202" s="172"/>
      <c r="U202" s="172"/>
      <c r="V202" s="172"/>
    </row>
    <row r="203" spans="1:22" ht="16.5" hidden="1" customHeight="1" x14ac:dyDescent="0.25">
      <c r="A203" s="228"/>
      <c r="B203" s="229"/>
      <c r="C203" s="230"/>
      <c r="D203" s="230"/>
      <c r="E203" s="230"/>
      <c r="F203" s="230"/>
      <c r="G203" s="230"/>
      <c r="H203" s="230"/>
      <c r="I203" s="157" t="e">
        <f t="shared" si="13"/>
        <v>#DIV/0!</v>
      </c>
      <c r="J203" s="227"/>
      <c r="K203" s="227"/>
      <c r="L203" s="227"/>
      <c r="M203" s="227"/>
      <c r="N203" s="227"/>
      <c r="O203" s="172"/>
      <c r="P203" s="172"/>
      <c r="Q203" s="172"/>
      <c r="R203" s="172"/>
      <c r="S203" s="172"/>
      <c r="T203" s="172"/>
      <c r="U203" s="172"/>
      <c r="V203" s="172"/>
    </row>
    <row r="204" spans="1:22" ht="16.5" hidden="1" customHeight="1" x14ac:dyDescent="0.25">
      <c r="A204" s="228"/>
      <c r="B204" s="229"/>
      <c r="C204" s="230"/>
      <c r="D204" s="230"/>
      <c r="E204" s="230"/>
      <c r="F204" s="230"/>
      <c r="G204" s="230"/>
      <c r="H204" s="230"/>
      <c r="I204" s="157" t="e">
        <f t="shared" si="13"/>
        <v>#DIV/0!</v>
      </c>
      <c r="J204" s="227"/>
      <c r="K204" s="227"/>
      <c r="L204" s="227"/>
      <c r="M204" s="227"/>
      <c r="N204" s="227"/>
      <c r="O204" s="172"/>
      <c r="P204" s="172"/>
      <c r="Q204" s="172"/>
      <c r="R204" s="172"/>
      <c r="S204" s="172"/>
      <c r="T204" s="172"/>
      <c r="U204" s="172"/>
      <c r="V204" s="172"/>
    </row>
    <row r="205" spans="1:22" ht="16.5" hidden="1" customHeight="1" x14ac:dyDescent="0.25">
      <c r="A205" s="228"/>
      <c r="B205" s="229"/>
      <c r="C205" s="230"/>
      <c r="D205" s="230"/>
      <c r="E205" s="230"/>
      <c r="F205" s="230"/>
      <c r="G205" s="230"/>
      <c r="H205" s="230"/>
      <c r="I205" s="157" t="e">
        <f t="shared" si="13"/>
        <v>#DIV/0!</v>
      </c>
      <c r="J205" s="227"/>
      <c r="K205" s="227"/>
      <c r="L205" s="227"/>
      <c r="M205" s="227"/>
      <c r="N205" s="227"/>
      <c r="O205" s="172"/>
      <c r="P205" s="172"/>
      <c r="Q205" s="172"/>
      <c r="R205" s="172"/>
      <c r="S205" s="172"/>
      <c r="T205" s="172"/>
      <c r="U205" s="172"/>
      <c r="V205" s="172"/>
    </row>
    <row r="206" spans="1:22" ht="16.5" hidden="1" customHeight="1" x14ac:dyDescent="0.25">
      <c r="A206" s="228"/>
      <c r="B206" s="229"/>
      <c r="C206" s="230"/>
      <c r="D206" s="230"/>
      <c r="E206" s="230"/>
      <c r="F206" s="230"/>
      <c r="G206" s="230"/>
      <c r="H206" s="230"/>
      <c r="I206" s="157" t="e">
        <f t="shared" si="13"/>
        <v>#DIV/0!</v>
      </c>
      <c r="J206" s="227"/>
      <c r="K206" s="227"/>
      <c r="L206" s="227"/>
      <c r="M206" s="227"/>
      <c r="N206" s="227"/>
      <c r="O206" s="172"/>
      <c r="P206" s="172"/>
      <c r="Q206" s="172"/>
      <c r="R206" s="172"/>
      <c r="S206" s="172"/>
      <c r="T206" s="172"/>
      <c r="U206" s="172"/>
      <c r="V206" s="172"/>
    </row>
    <row r="207" spans="1:22" ht="16.5" hidden="1" customHeight="1" x14ac:dyDescent="0.25">
      <c r="A207" s="228"/>
      <c r="B207" s="229"/>
      <c r="C207" s="230"/>
      <c r="D207" s="230"/>
      <c r="E207" s="230"/>
      <c r="F207" s="230"/>
      <c r="G207" s="230"/>
      <c r="H207" s="230"/>
      <c r="I207" s="157" t="e">
        <f t="shared" si="13"/>
        <v>#DIV/0!</v>
      </c>
      <c r="J207" s="227"/>
      <c r="K207" s="227"/>
      <c r="L207" s="227"/>
      <c r="M207" s="227"/>
      <c r="N207" s="227"/>
      <c r="O207" s="172"/>
      <c r="P207" s="172"/>
      <c r="Q207" s="172"/>
      <c r="R207" s="172"/>
      <c r="S207" s="172"/>
      <c r="T207" s="172"/>
      <c r="U207" s="172"/>
      <c r="V207" s="172"/>
    </row>
    <row r="208" spans="1:22" ht="16.5" hidden="1" customHeight="1" x14ac:dyDescent="0.25">
      <c r="A208" s="228"/>
      <c r="B208" s="229"/>
      <c r="C208" s="230"/>
      <c r="D208" s="230"/>
      <c r="E208" s="230"/>
      <c r="F208" s="230"/>
      <c r="G208" s="230"/>
      <c r="H208" s="230"/>
      <c r="I208" s="157" t="e">
        <f t="shared" si="13"/>
        <v>#DIV/0!</v>
      </c>
      <c r="J208" s="227"/>
      <c r="K208" s="227"/>
      <c r="L208" s="227"/>
      <c r="M208" s="227"/>
      <c r="N208" s="227"/>
      <c r="O208" s="172"/>
      <c r="P208" s="172"/>
      <c r="Q208" s="172"/>
      <c r="R208" s="172"/>
      <c r="S208" s="172"/>
      <c r="T208" s="172"/>
      <c r="U208" s="172"/>
      <c r="V208" s="172"/>
    </row>
    <row r="209" spans="1:22" ht="16.5" hidden="1" customHeight="1" x14ac:dyDescent="0.25">
      <c r="A209" s="228"/>
      <c r="B209" s="229"/>
      <c r="C209" s="230"/>
      <c r="D209" s="230"/>
      <c r="E209" s="230"/>
      <c r="F209" s="230"/>
      <c r="G209" s="230"/>
      <c r="H209" s="230"/>
      <c r="I209" s="157" t="e">
        <f t="shared" si="13"/>
        <v>#DIV/0!</v>
      </c>
      <c r="J209" s="227"/>
      <c r="K209" s="227"/>
      <c r="L209" s="227"/>
      <c r="M209" s="227"/>
      <c r="N209" s="227"/>
      <c r="O209" s="172"/>
      <c r="P209" s="172"/>
      <c r="Q209" s="172"/>
      <c r="R209" s="172"/>
      <c r="S209" s="172"/>
      <c r="T209" s="172"/>
      <c r="U209" s="172"/>
      <c r="V209" s="172"/>
    </row>
    <row r="210" spans="1:22" ht="16.5" hidden="1" customHeight="1" x14ac:dyDescent="0.25">
      <c r="A210" s="228"/>
      <c r="B210" s="229"/>
      <c r="C210" s="230"/>
      <c r="D210" s="230"/>
      <c r="E210" s="230"/>
      <c r="F210" s="230"/>
      <c r="G210" s="230"/>
      <c r="H210" s="230"/>
      <c r="I210" s="157" t="e">
        <f t="shared" si="13"/>
        <v>#DIV/0!</v>
      </c>
      <c r="J210" s="227"/>
      <c r="K210" s="227"/>
      <c r="L210" s="227"/>
      <c r="M210" s="227"/>
      <c r="N210" s="227"/>
      <c r="O210" s="172"/>
      <c r="P210" s="172"/>
      <c r="Q210" s="172"/>
      <c r="R210" s="172"/>
      <c r="S210" s="172"/>
      <c r="T210" s="172"/>
      <c r="U210" s="172"/>
      <c r="V210" s="172"/>
    </row>
    <row r="211" spans="1:22" ht="16.5" hidden="1" customHeight="1" x14ac:dyDescent="0.25">
      <c r="A211" s="228"/>
      <c r="B211" s="229"/>
      <c r="C211" s="230"/>
      <c r="D211" s="230"/>
      <c r="E211" s="230"/>
      <c r="F211" s="230"/>
      <c r="G211" s="230"/>
      <c r="H211" s="230"/>
      <c r="I211" s="157" t="e">
        <f t="shared" si="13"/>
        <v>#DIV/0!</v>
      </c>
      <c r="J211" s="227"/>
      <c r="K211" s="227"/>
      <c r="L211" s="227"/>
      <c r="M211" s="227"/>
      <c r="N211" s="227"/>
      <c r="O211" s="172"/>
      <c r="P211" s="172"/>
      <c r="Q211" s="172"/>
      <c r="R211" s="172"/>
      <c r="S211" s="172"/>
      <c r="T211" s="172"/>
      <c r="U211" s="172"/>
      <c r="V211" s="172"/>
    </row>
    <row r="212" spans="1:22" ht="16.5" hidden="1" customHeight="1" x14ac:dyDescent="0.25">
      <c r="A212" s="228"/>
      <c r="B212" s="229"/>
      <c r="C212" s="230"/>
      <c r="D212" s="230"/>
      <c r="E212" s="230"/>
      <c r="F212" s="230"/>
      <c r="G212" s="230"/>
      <c r="H212" s="230"/>
      <c r="I212" s="157" t="e">
        <f t="shared" si="13"/>
        <v>#DIV/0!</v>
      </c>
      <c r="J212" s="227"/>
      <c r="K212" s="227"/>
      <c r="L212" s="227"/>
      <c r="M212" s="227"/>
      <c r="N212" s="227"/>
      <c r="O212" s="172"/>
      <c r="P212" s="172"/>
      <c r="Q212" s="172"/>
      <c r="R212" s="172"/>
      <c r="S212" s="172"/>
      <c r="T212" s="172"/>
      <c r="U212" s="172"/>
      <c r="V212" s="172"/>
    </row>
    <row r="213" spans="1:22" ht="16.5" hidden="1" customHeight="1" x14ac:dyDescent="0.25">
      <c r="A213" s="228"/>
      <c r="B213" s="229"/>
      <c r="C213" s="230"/>
      <c r="D213" s="230"/>
      <c r="E213" s="230"/>
      <c r="F213" s="230"/>
      <c r="G213" s="230"/>
      <c r="H213" s="230"/>
      <c r="I213" s="157" t="e">
        <f t="shared" si="13"/>
        <v>#DIV/0!</v>
      </c>
      <c r="J213" s="227"/>
      <c r="K213" s="227"/>
      <c r="L213" s="227"/>
      <c r="M213" s="227"/>
      <c r="N213" s="227"/>
      <c r="O213" s="172"/>
      <c r="P213" s="172"/>
      <c r="Q213" s="172"/>
      <c r="R213" s="172"/>
      <c r="S213" s="172"/>
      <c r="T213" s="172"/>
      <c r="U213" s="172"/>
      <c r="V213" s="172"/>
    </row>
    <row r="214" spans="1:22" ht="16.5" hidden="1" customHeight="1" x14ac:dyDescent="0.25">
      <c r="A214" s="228"/>
      <c r="B214" s="229"/>
      <c r="C214" s="230"/>
      <c r="D214" s="230"/>
      <c r="E214" s="230"/>
      <c r="F214" s="230"/>
      <c r="G214" s="230"/>
      <c r="H214" s="230"/>
      <c r="I214" s="157" t="e">
        <f t="shared" si="13"/>
        <v>#DIV/0!</v>
      </c>
      <c r="J214" s="227"/>
      <c r="K214" s="227"/>
      <c r="L214" s="227"/>
      <c r="M214" s="227"/>
      <c r="N214" s="227"/>
      <c r="O214" s="172"/>
      <c r="P214" s="172"/>
      <c r="Q214" s="172"/>
      <c r="R214" s="172"/>
      <c r="S214" s="172"/>
      <c r="T214" s="172"/>
      <c r="U214" s="172"/>
      <c r="V214" s="172"/>
    </row>
    <row r="215" spans="1:22" ht="16.5" hidden="1" customHeight="1" x14ac:dyDescent="0.25">
      <c r="A215" s="228"/>
      <c r="B215" s="229"/>
      <c r="C215" s="230"/>
      <c r="D215" s="230"/>
      <c r="E215" s="230"/>
      <c r="F215" s="230"/>
      <c r="G215" s="230"/>
      <c r="H215" s="230"/>
      <c r="I215" s="157" t="e">
        <f t="shared" si="13"/>
        <v>#DIV/0!</v>
      </c>
      <c r="J215" s="227"/>
      <c r="K215" s="227"/>
      <c r="L215" s="227"/>
      <c r="M215" s="227"/>
      <c r="N215" s="227"/>
      <c r="O215" s="172"/>
      <c r="P215" s="172"/>
      <c r="Q215" s="172"/>
      <c r="R215" s="172"/>
      <c r="S215" s="172"/>
      <c r="T215" s="172"/>
      <c r="U215" s="172"/>
      <c r="V215" s="172"/>
    </row>
    <row r="216" spans="1:22" ht="16.5" hidden="1" customHeight="1" x14ac:dyDescent="0.25">
      <c r="A216" s="228"/>
      <c r="B216" s="229"/>
      <c r="C216" s="230"/>
      <c r="D216" s="230"/>
      <c r="E216" s="230"/>
      <c r="F216" s="230"/>
      <c r="G216" s="230"/>
      <c r="H216" s="230"/>
      <c r="I216" s="157" t="e">
        <f t="shared" si="13"/>
        <v>#DIV/0!</v>
      </c>
      <c r="J216" s="227"/>
      <c r="K216" s="227"/>
      <c r="L216" s="227"/>
      <c r="M216" s="227"/>
      <c r="N216" s="227"/>
      <c r="O216" s="172"/>
      <c r="P216" s="172"/>
      <c r="Q216" s="172"/>
      <c r="R216" s="172"/>
      <c r="S216" s="172"/>
      <c r="T216" s="172"/>
      <c r="U216" s="172"/>
      <c r="V216" s="172"/>
    </row>
    <row r="217" spans="1:22" ht="16.5" hidden="1" customHeight="1" x14ac:dyDescent="0.25">
      <c r="A217" s="228"/>
      <c r="B217" s="229"/>
      <c r="C217" s="230"/>
      <c r="D217" s="230"/>
      <c r="E217" s="230"/>
      <c r="F217" s="230"/>
      <c r="G217" s="230"/>
      <c r="H217" s="230"/>
      <c r="I217" s="157" t="e">
        <f t="shared" si="13"/>
        <v>#DIV/0!</v>
      </c>
      <c r="J217" s="227"/>
      <c r="K217" s="227"/>
      <c r="L217" s="227"/>
      <c r="M217" s="227"/>
      <c r="N217" s="227"/>
      <c r="O217" s="172"/>
      <c r="P217" s="172"/>
      <c r="Q217" s="172"/>
      <c r="R217" s="172"/>
      <c r="S217" s="172"/>
      <c r="T217" s="172"/>
      <c r="U217" s="172"/>
      <c r="V217" s="172"/>
    </row>
    <row r="218" spans="1:22" ht="16.5" hidden="1" customHeight="1" x14ac:dyDescent="0.25">
      <c r="A218" s="228"/>
      <c r="B218" s="229"/>
      <c r="C218" s="230"/>
      <c r="D218" s="230"/>
      <c r="E218" s="230"/>
      <c r="F218" s="230"/>
      <c r="G218" s="230"/>
      <c r="H218" s="230"/>
      <c r="I218" s="157" t="e">
        <f t="shared" si="13"/>
        <v>#DIV/0!</v>
      </c>
      <c r="J218" s="227"/>
      <c r="K218" s="227"/>
      <c r="L218" s="227"/>
      <c r="M218" s="227"/>
      <c r="N218" s="227"/>
      <c r="O218" s="172"/>
      <c r="P218" s="172"/>
      <c r="Q218" s="172"/>
      <c r="R218" s="172"/>
      <c r="S218" s="172"/>
      <c r="T218" s="172"/>
      <c r="U218" s="172"/>
      <c r="V218" s="172"/>
    </row>
    <row r="219" spans="1:22" ht="16.5" hidden="1" customHeight="1" x14ac:dyDescent="0.25">
      <c r="A219" s="228"/>
      <c r="B219" s="229"/>
      <c r="C219" s="230"/>
      <c r="D219" s="230"/>
      <c r="E219" s="230"/>
      <c r="F219" s="230"/>
      <c r="G219" s="230"/>
      <c r="H219" s="230"/>
      <c r="I219" s="157" t="e">
        <f t="shared" si="13"/>
        <v>#DIV/0!</v>
      </c>
      <c r="J219" s="227"/>
      <c r="K219" s="227"/>
      <c r="L219" s="227"/>
      <c r="M219" s="227"/>
      <c r="N219" s="227"/>
      <c r="O219" s="172"/>
      <c r="P219" s="172"/>
      <c r="Q219" s="172"/>
      <c r="R219" s="172"/>
      <c r="S219" s="172"/>
      <c r="T219" s="172"/>
      <c r="U219" s="172"/>
      <c r="V219" s="172"/>
    </row>
    <row r="220" spans="1:22" ht="16.5" hidden="1" customHeight="1" x14ac:dyDescent="0.25">
      <c r="A220" s="228"/>
      <c r="B220" s="229"/>
      <c r="C220" s="230"/>
      <c r="D220" s="230"/>
      <c r="E220" s="230"/>
      <c r="F220" s="230"/>
      <c r="G220" s="230"/>
      <c r="H220" s="230"/>
      <c r="I220" s="157" t="e">
        <f t="shared" si="13"/>
        <v>#DIV/0!</v>
      </c>
      <c r="J220" s="227"/>
      <c r="K220" s="227"/>
      <c r="L220" s="227"/>
      <c r="M220" s="227"/>
      <c r="N220" s="227"/>
      <c r="O220" s="172"/>
      <c r="P220" s="172"/>
      <c r="Q220" s="172"/>
      <c r="R220" s="172"/>
      <c r="S220" s="172"/>
      <c r="T220" s="172"/>
      <c r="U220" s="172"/>
      <c r="V220" s="172"/>
    </row>
    <row r="221" spans="1:22" ht="16.5" hidden="1" customHeight="1" x14ac:dyDescent="0.25">
      <c r="A221" s="228"/>
      <c r="B221" s="229"/>
      <c r="C221" s="230"/>
      <c r="D221" s="230"/>
      <c r="E221" s="230"/>
      <c r="F221" s="230"/>
      <c r="G221" s="230"/>
      <c r="H221" s="230"/>
      <c r="I221" s="157" t="e">
        <f t="shared" si="13"/>
        <v>#DIV/0!</v>
      </c>
      <c r="J221" s="227"/>
      <c r="K221" s="227"/>
      <c r="L221" s="227"/>
      <c r="M221" s="227"/>
      <c r="N221" s="227"/>
      <c r="O221" s="172"/>
      <c r="P221" s="172"/>
      <c r="Q221" s="172"/>
      <c r="R221" s="172"/>
      <c r="S221" s="172"/>
      <c r="T221" s="172"/>
      <c r="U221" s="172"/>
      <c r="V221" s="172"/>
    </row>
    <row r="222" spans="1:22" ht="16.5" hidden="1" customHeight="1" x14ac:dyDescent="0.25">
      <c r="A222" s="228"/>
      <c r="B222" s="229"/>
      <c r="C222" s="230"/>
      <c r="D222" s="230"/>
      <c r="E222" s="230"/>
      <c r="F222" s="230"/>
      <c r="G222" s="230"/>
      <c r="H222" s="230"/>
      <c r="I222" s="157" t="e">
        <f t="shared" si="13"/>
        <v>#DIV/0!</v>
      </c>
      <c r="J222" s="227"/>
      <c r="K222" s="227"/>
      <c r="L222" s="227"/>
      <c r="M222" s="227"/>
      <c r="N222" s="227"/>
      <c r="O222" s="172"/>
      <c r="P222" s="172"/>
      <c r="Q222" s="172"/>
      <c r="R222" s="172"/>
      <c r="S222" s="172"/>
      <c r="T222" s="172"/>
      <c r="U222" s="172"/>
      <c r="V222" s="172"/>
    </row>
    <row r="223" spans="1:22" ht="16.5" hidden="1" customHeight="1" x14ac:dyDescent="0.25">
      <c r="A223" s="228"/>
      <c r="B223" s="229"/>
      <c r="C223" s="230"/>
      <c r="D223" s="230"/>
      <c r="E223" s="230"/>
      <c r="F223" s="230"/>
      <c r="G223" s="230"/>
      <c r="H223" s="230"/>
      <c r="I223" s="157" t="e">
        <f t="shared" si="13"/>
        <v>#DIV/0!</v>
      </c>
      <c r="J223" s="227"/>
      <c r="K223" s="227"/>
      <c r="L223" s="227"/>
      <c r="M223" s="227"/>
      <c r="N223" s="227"/>
      <c r="O223" s="172"/>
      <c r="P223" s="172"/>
      <c r="Q223" s="172"/>
      <c r="R223" s="172"/>
      <c r="S223" s="172"/>
      <c r="T223" s="172"/>
      <c r="U223" s="172"/>
      <c r="V223" s="172"/>
    </row>
    <row r="224" spans="1:22" ht="16.5" hidden="1" customHeight="1" x14ac:dyDescent="0.25">
      <c r="A224" s="228"/>
      <c r="B224" s="229"/>
      <c r="C224" s="230"/>
      <c r="D224" s="230"/>
      <c r="E224" s="230"/>
      <c r="F224" s="230"/>
      <c r="G224" s="230"/>
      <c r="H224" s="230"/>
      <c r="I224" s="157" t="e">
        <f t="shared" si="13"/>
        <v>#DIV/0!</v>
      </c>
      <c r="J224" s="227"/>
      <c r="K224" s="227"/>
      <c r="L224" s="227"/>
      <c r="M224" s="227"/>
      <c r="N224" s="227"/>
      <c r="O224" s="172"/>
      <c r="P224" s="172"/>
      <c r="Q224" s="172"/>
      <c r="R224" s="172"/>
      <c r="S224" s="172"/>
      <c r="T224" s="172"/>
      <c r="U224" s="172"/>
      <c r="V224" s="172"/>
    </row>
    <row r="225" spans="1:22" ht="16.5" hidden="1" customHeight="1" x14ac:dyDescent="0.25">
      <c r="A225" s="228"/>
      <c r="B225" s="229"/>
      <c r="C225" s="230"/>
      <c r="D225" s="230"/>
      <c r="E225" s="230"/>
      <c r="F225" s="230"/>
      <c r="G225" s="230"/>
      <c r="H225" s="230"/>
      <c r="I225" s="157" t="e">
        <f t="shared" si="13"/>
        <v>#DIV/0!</v>
      </c>
      <c r="J225" s="227"/>
      <c r="K225" s="227"/>
      <c r="L225" s="227"/>
      <c r="M225" s="227"/>
      <c r="N225" s="227"/>
      <c r="O225" s="172"/>
      <c r="P225" s="172"/>
      <c r="Q225" s="172"/>
      <c r="R225" s="172"/>
      <c r="S225" s="172"/>
      <c r="T225" s="172"/>
      <c r="U225" s="172"/>
      <c r="V225" s="172"/>
    </row>
    <row r="226" spans="1:22" ht="16.5" hidden="1" customHeight="1" x14ac:dyDescent="0.25">
      <c r="A226" s="228"/>
      <c r="B226" s="229"/>
      <c r="C226" s="230"/>
      <c r="D226" s="230"/>
      <c r="E226" s="230"/>
      <c r="F226" s="230"/>
      <c r="G226" s="230"/>
      <c r="H226" s="230"/>
      <c r="I226" s="157" t="e">
        <f t="shared" si="13"/>
        <v>#DIV/0!</v>
      </c>
      <c r="J226" s="227"/>
      <c r="K226" s="227"/>
      <c r="L226" s="227"/>
      <c r="M226" s="227"/>
      <c r="N226" s="227"/>
      <c r="O226" s="172"/>
      <c r="P226" s="172"/>
      <c r="Q226" s="172"/>
      <c r="R226" s="172"/>
      <c r="S226" s="172"/>
      <c r="T226" s="172"/>
      <c r="U226" s="172"/>
      <c r="V226" s="172"/>
    </row>
    <row r="227" spans="1:22" ht="16.5" hidden="1" customHeight="1" x14ac:dyDescent="0.25">
      <c r="A227" s="228"/>
      <c r="B227" s="229"/>
      <c r="C227" s="230"/>
      <c r="D227" s="230"/>
      <c r="E227" s="230"/>
      <c r="F227" s="230"/>
      <c r="G227" s="230"/>
      <c r="H227" s="230"/>
      <c r="I227" s="157" t="e">
        <f t="shared" si="13"/>
        <v>#DIV/0!</v>
      </c>
      <c r="J227" s="227"/>
      <c r="K227" s="227"/>
      <c r="L227" s="227"/>
      <c r="M227" s="227"/>
      <c r="N227" s="227"/>
      <c r="O227" s="172"/>
      <c r="P227" s="172"/>
      <c r="Q227" s="172"/>
      <c r="R227" s="172"/>
      <c r="S227" s="172"/>
      <c r="T227" s="172"/>
      <c r="U227" s="172"/>
      <c r="V227" s="172"/>
    </row>
    <row r="228" spans="1:22" ht="16.5" hidden="1" customHeight="1" x14ac:dyDescent="0.25">
      <c r="A228" s="228"/>
      <c r="B228" s="229"/>
      <c r="C228" s="230"/>
      <c r="D228" s="230"/>
      <c r="E228" s="230"/>
      <c r="F228" s="230"/>
      <c r="G228" s="230"/>
      <c r="H228" s="230"/>
      <c r="I228" s="157" t="e">
        <f t="shared" si="13"/>
        <v>#DIV/0!</v>
      </c>
      <c r="J228" s="227"/>
      <c r="K228" s="227"/>
      <c r="L228" s="227"/>
      <c r="M228" s="227"/>
      <c r="N228" s="227"/>
      <c r="O228" s="172"/>
      <c r="P228" s="172"/>
      <c r="Q228" s="172"/>
      <c r="R228" s="172"/>
      <c r="S228" s="172"/>
      <c r="T228" s="172"/>
      <c r="U228" s="172"/>
      <c r="V228" s="172"/>
    </row>
    <row r="229" spans="1:22" ht="16.5" hidden="1" customHeight="1" x14ac:dyDescent="0.25">
      <c r="A229" s="228"/>
      <c r="B229" s="229"/>
      <c r="C229" s="230"/>
      <c r="D229" s="230"/>
      <c r="E229" s="230"/>
      <c r="F229" s="230"/>
      <c r="G229" s="230"/>
      <c r="H229" s="230"/>
      <c r="I229" s="157" t="e">
        <f t="shared" si="13"/>
        <v>#DIV/0!</v>
      </c>
      <c r="J229" s="227"/>
      <c r="K229" s="227"/>
      <c r="L229" s="227"/>
      <c r="M229" s="227"/>
      <c r="N229" s="227"/>
      <c r="O229" s="172"/>
      <c r="P229" s="172"/>
      <c r="Q229" s="172"/>
      <c r="R229" s="172"/>
      <c r="S229" s="172"/>
      <c r="T229" s="172"/>
      <c r="U229" s="172"/>
      <c r="V229" s="172"/>
    </row>
    <row r="230" spans="1:22" ht="16.5" hidden="1" customHeight="1" x14ac:dyDescent="0.25">
      <c r="A230" s="228"/>
      <c r="B230" s="229"/>
      <c r="C230" s="230"/>
      <c r="D230" s="230"/>
      <c r="E230" s="230"/>
      <c r="F230" s="230"/>
      <c r="G230" s="230"/>
      <c r="H230" s="230"/>
      <c r="I230" s="157" t="e">
        <f t="shared" si="13"/>
        <v>#DIV/0!</v>
      </c>
      <c r="J230" s="227"/>
      <c r="K230" s="227"/>
      <c r="L230" s="227"/>
      <c r="M230" s="227"/>
      <c r="N230" s="227"/>
      <c r="O230" s="172"/>
      <c r="P230" s="172"/>
      <c r="Q230" s="172"/>
      <c r="R230" s="172"/>
      <c r="S230" s="172"/>
      <c r="T230" s="172"/>
      <c r="U230" s="172"/>
      <c r="V230" s="172"/>
    </row>
    <row r="231" spans="1:22" ht="16.5" hidden="1" customHeight="1" x14ac:dyDescent="0.25">
      <c r="A231" s="228"/>
      <c r="B231" s="229"/>
      <c r="C231" s="230"/>
      <c r="D231" s="230"/>
      <c r="E231" s="230"/>
      <c r="F231" s="230"/>
      <c r="G231" s="230"/>
      <c r="H231" s="230"/>
      <c r="I231" s="157" t="e">
        <f t="shared" si="13"/>
        <v>#DIV/0!</v>
      </c>
      <c r="J231" s="227"/>
      <c r="K231" s="227"/>
      <c r="L231" s="227"/>
      <c r="M231" s="227"/>
      <c r="N231" s="227"/>
      <c r="O231" s="172"/>
      <c r="P231" s="172"/>
      <c r="Q231" s="172"/>
      <c r="R231" s="172"/>
      <c r="S231" s="172"/>
      <c r="T231" s="172"/>
      <c r="U231" s="172"/>
      <c r="V231" s="172"/>
    </row>
    <row r="232" spans="1:22" ht="16.5" hidden="1" customHeight="1" x14ac:dyDescent="0.25">
      <c r="A232" s="228"/>
      <c r="B232" s="229"/>
      <c r="C232" s="230"/>
      <c r="D232" s="230"/>
      <c r="E232" s="230"/>
      <c r="F232" s="230"/>
      <c r="G232" s="230"/>
      <c r="H232" s="230"/>
      <c r="I232" s="157" t="e">
        <f t="shared" si="13"/>
        <v>#DIV/0!</v>
      </c>
      <c r="J232" s="227"/>
      <c r="K232" s="227"/>
      <c r="L232" s="227"/>
      <c r="M232" s="227"/>
      <c r="N232" s="227"/>
      <c r="O232" s="172"/>
      <c r="P232" s="172"/>
      <c r="Q232" s="172"/>
      <c r="R232" s="172"/>
      <c r="S232" s="172"/>
      <c r="T232" s="172"/>
      <c r="U232" s="172"/>
      <c r="V232" s="172"/>
    </row>
    <row r="233" spans="1:22" ht="16.5" hidden="1" customHeight="1" x14ac:dyDescent="0.25">
      <c r="A233" s="228"/>
      <c r="B233" s="229"/>
      <c r="C233" s="230"/>
      <c r="D233" s="230"/>
      <c r="E233" s="230"/>
      <c r="F233" s="230"/>
      <c r="G233" s="230"/>
      <c r="H233" s="230"/>
      <c r="I233" s="157" t="e">
        <f t="shared" si="13"/>
        <v>#DIV/0!</v>
      </c>
      <c r="J233" s="227"/>
      <c r="K233" s="227"/>
      <c r="L233" s="227"/>
      <c r="M233" s="227"/>
      <c r="N233" s="227"/>
      <c r="O233" s="172"/>
      <c r="P233" s="172"/>
      <c r="Q233" s="172"/>
      <c r="R233" s="172"/>
      <c r="S233" s="172"/>
      <c r="T233" s="172"/>
      <c r="U233" s="172"/>
      <c r="V233" s="172"/>
    </row>
    <row r="234" spans="1:22" ht="16.5" hidden="1" customHeight="1" x14ac:dyDescent="0.25">
      <c r="A234" s="228"/>
      <c r="B234" s="229"/>
      <c r="C234" s="230"/>
      <c r="D234" s="230"/>
      <c r="E234" s="230"/>
      <c r="F234" s="230"/>
      <c r="G234" s="230"/>
      <c r="H234" s="230"/>
      <c r="I234" s="157" t="e">
        <f t="shared" si="13"/>
        <v>#DIV/0!</v>
      </c>
      <c r="J234" s="227"/>
      <c r="K234" s="227"/>
      <c r="L234" s="227"/>
      <c r="M234" s="227"/>
      <c r="N234" s="227"/>
      <c r="O234" s="172"/>
      <c r="P234" s="172"/>
      <c r="Q234" s="172"/>
      <c r="R234" s="172"/>
      <c r="S234" s="172"/>
      <c r="T234" s="172"/>
      <c r="U234" s="172"/>
      <c r="V234" s="172"/>
    </row>
    <row r="235" spans="1:22" ht="16.5" hidden="1" customHeight="1" x14ac:dyDescent="0.25">
      <c r="A235" s="228"/>
      <c r="B235" s="229"/>
      <c r="C235" s="230"/>
      <c r="D235" s="230"/>
      <c r="E235" s="230"/>
      <c r="F235" s="230"/>
      <c r="G235" s="230"/>
      <c r="H235" s="230"/>
      <c r="I235" s="157" t="e">
        <f t="shared" si="13"/>
        <v>#DIV/0!</v>
      </c>
      <c r="J235" s="227"/>
      <c r="K235" s="227"/>
      <c r="L235" s="227"/>
      <c r="M235" s="227"/>
      <c r="N235" s="227"/>
      <c r="O235" s="172"/>
      <c r="P235" s="172"/>
      <c r="Q235" s="172"/>
      <c r="R235" s="172"/>
      <c r="S235" s="172"/>
      <c r="T235" s="172"/>
      <c r="U235" s="172"/>
      <c r="V235" s="172"/>
    </row>
    <row r="236" spans="1:22" ht="16.5" hidden="1" customHeight="1" x14ac:dyDescent="0.25">
      <c r="A236" s="228"/>
      <c r="B236" s="229"/>
      <c r="C236" s="230"/>
      <c r="D236" s="230"/>
      <c r="E236" s="230"/>
      <c r="F236" s="230"/>
      <c r="G236" s="230"/>
      <c r="H236" s="230"/>
      <c r="I236" s="157" t="e">
        <f t="shared" si="13"/>
        <v>#DIV/0!</v>
      </c>
      <c r="J236" s="227"/>
      <c r="K236" s="227"/>
      <c r="L236" s="227"/>
      <c r="M236" s="227"/>
      <c r="N236" s="227"/>
      <c r="O236" s="172"/>
      <c r="P236" s="172"/>
      <c r="Q236" s="172"/>
      <c r="R236" s="172"/>
      <c r="S236" s="172"/>
      <c r="T236" s="172"/>
      <c r="U236" s="172"/>
      <c r="V236" s="172"/>
    </row>
    <row r="237" spans="1:22" ht="16.5" hidden="1" customHeight="1" x14ac:dyDescent="0.25">
      <c r="A237" s="228"/>
      <c r="B237" s="229"/>
      <c r="C237" s="230"/>
      <c r="D237" s="230"/>
      <c r="E237" s="230"/>
      <c r="F237" s="230"/>
      <c r="G237" s="230"/>
      <c r="H237" s="230"/>
      <c r="I237" s="157" t="e">
        <f t="shared" si="13"/>
        <v>#DIV/0!</v>
      </c>
      <c r="J237" s="227"/>
      <c r="K237" s="227"/>
      <c r="L237" s="227"/>
      <c r="M237" s="227"/>
      <c r="N237" s="227"/>
      <c r="O237" s="172"/>
      <c r="P237" s="172"/>
      <c r="Q237" s="172"/>
      <c r="R237" s="172"/>
      <c r="S237" s="172"/>
      <c r="T237" s="172"/>
      <c r="U237" s="172"/>
      <c r="V237" s="172"/>
    </row>
    <row r="238" spans="1:22" ht="16.5" hidden="1" customHeight="1" x14ac:dyDescent="0.25">
      <c r="A238" s="228"/>
      <c r="B238" s="229"/>
      <c r="C238" s="230"/>
      <c r="D238" s="230"/>
      <c r="E238" s="230"/>
      <c r="F238" s="230"/>
      <c r="G238" s="230"/>
      <c r="H238" s="230"/>
      <c r="I238" s="157" t="e">
        <f t="shared" si="13"/>
        <v>#DIV/0!</v>
      </c>
      <c r="J238" s="227"/>
      <c r="K238" s="227"/>
      <c r="L238" s="227"/>
      <c r="M238" s="227"/>
      <c r="N238" s="227"/>
      <c r="O238" s="172"/>
      <c r="P238" s="172"/>
      <c r="Q238" s="172"/>
      <c r="R238" s="172"/>
      <c r="S238" s="172"/>
      <c r="T238" s="172"/>
      <c r="U238" s="172"/>
      <c r="V238" s="172"/>
    </row>
    <row r="239" spans="1:22" ht="16.5" hidden="1" customHeight="1" x14ac:dyDescent="0.25">
      <c r="A239" s="228"/>
      <c r="B239" s="229"/>
      <c r="C239" s="230"/>
      <c r="D239" s="230"/>
      <c r="E239" s="230"/>
      <c r="F239" s="230"/>
      <c r="G239" s="230"/>
      <c r="H239" s="230"/>
      <c r="I239" s="157" t="e">
        <f t="shared" si="13"/>
        <v>#DIV/0!</v>
      </c>
      <c r="J239" s="227"/>
      <c r="K239" s="227"/>
      <c r="L239" s="227"/>
      <c r="M239" s="227"/>
      <c r="N239" s="227"/>
      <c r="O239" s="172"/>
      <c r="P239" s="172"/>
      <c r="Q239" s="172"/>
      <c r="R239" s="172"/>
      <c r="S239" s="172"/>
      <c r="T239" s="172"/>
      <c r="U239" s="172"/>
      <c r="V239" s="172"/>
    </row>
    <row r="240" spans="1:22" ht="16.5" hidden="1" customHeight="1" x14ac:dyDescent="0.25">
      <c r="A240" s="228"/>
      <c r="B240" s="229"/>
      <c r="C240" s="230"/>
      <c r="D240" s="230"/>
      <c r="E240" s="230"/>
      <c r="F240" s="230"/>
      <c r="G240" s="230"/>
      <c r="H240" s="230"/>
      <c r="I240" s="157" t="e">
        <f t="shared" si="13"/>
        <v>#DIV/0!</v>
      </c>
      <c r="J240" s="227"/>
      <c r="K240" s="227"/>
      <c r="L240" s="227"/>
      <c r="M240" s="227"/>
      <c r="N240" s="227"/>
      <c r="O240" s="172"/>
      <c r="P240" s="172"/>
      <c r="Q240" s="172"/>
      <c r="R240" s="172"/>
      <c r="S240" s="172"/>
      <c r="T240" s="172"/>
      <c r="U240" s="172"/>
      <c r="V240" s="172"/>
    </row>
    <row r="241" spans="1:22" ht="16.5" hidden="1" customHeight="1" x14ac:dyDescent="0.25">
      <c r="A241" s="228"/>
      <c r="B241" s="229"/>
      <c r="C241" s="230"/>
      <c r="D241" s="230"/>
      <c r="E241" s="230"/>
      <c r="F241" s="230"/>
      <c r="G241" s="230"/>
      <c r="H241" s="230"/>
      <c r="I241" s="157" t="e">
        <f t="shared" si="13"/>
        <v>#DIV/0!</v>
      </c>
      <c r="J241" s="227"/>
      <c r="K241" s="227"/>
      <c r="L241" s="227"/>
      <c r="M241" s="227"/>
      <c r="N241" s="227"/>
      <c r="O241" s="172"/>
      <c r="P241" s="172"/>
      <c r="Q241" s="172"/>
      <c r="R241" s="172"/>
      <c r="S241" s="172"/>
      <c r="T241" s="172"/>
      <c r="U241" s="172"/>
      <c r="V241" s="172"/>
    </row>
    <row r="242" spans="1:22" ht="16.5" hidden="1" customHeight="1" x14ac:dyDescent="0.25">
      <c r="A242" s="228"/>
      <c r="B242" s="229"/>
      <c r="C242" s="230"/>
      <c r="D242" s="230"/>
      <c r="E242" s="230"/>
      <c r="F242" s="230"/>
      <c r="G242" s="230"/>
      <c r="H242" s="230"/>
      <c r="I242" s="157" t="e">
        <f t="shared" si="13"/>
        <v>#DIV/0!</v>
      </c>
      <c r="J242" s="227"/>
      <c r="K242" s="227"/>
      <c r="L242" s="227"/>
      <c r="M242" s="227"/>
      <c r="N242" s="227"/>
      <c r="O242" s="172"/>
      <c r="P242" s="172"/>
      <c r="Q242" s="172"/>
      <c r="R242" s="172"/>
      <c r="S242" s="172"/>
      <c r="T242" s="172"/>
      <c r="U242" s="172"/>
      <c r="V242" s="172"/>
    </row>
    <row r="243" spans="1:22" ht="16.5" hidden="1" customHeight="1" x14ac:dyDescent="0.25">
      <c r="A243" s="228"/>
      <c r="B243" s="229"/>
      <c r="C243" s="230"/>
      <c r="D243" s="230"/>
      <c r="E243" s="230"/>
      <c r="F243" s="230"/>
      <c r="G243" s="230"/>
      <c r="H243" s="230"/>
      <c r="I243" s="157" t="e">
        <f t="shared" si="13"/>
        <v>#DIV/0!</v>
      </c>
      <c r="J243" s="227"/>
      <c r="K243" s="227"/>
      <c r="L243" s="227"/>
      <c r="M243" s="227"/>
      <c r="N243" s="227"/>
      <c r="O243" s="172"/>
      <c r="P243" s="172"/>
      <c r="Q243" s="172"/>
      <c r="R243" s="172"/>
      <c r="S243" s="172"/>
      <c r="T243" s="172"/>
      <c r="U243" s="172"/>
      <c r="V243" s="172"/>
    </row>
    <row r="244" spans="1:22" ht="16.5" hidden="1" customHeight="1" x14ac:dyDescent="0.25">
      <c r="A244" s="228"/>
      <c r="B244" s="229"/>
      <c r="C244" s="230"/>
      <c r="D244" s="230"/>
      <c r="E244" s="230"/>
      <c r="F244" s="230"/>
      <c r="G244" s="230"/>
      <c r="H244" s="230"/>
      <c r="I244" s="157" t="e">
        <f t="shared" si="13"/>
        <v>#DIV/0!</v>
      </c>
      <c r="J244" s="227"/>
      <c r="K244" s="227"/>
      <c r="L244" s="227"/>
      <c r="M244" s="227"/>
      <c r="N244" s="227"/>
      <c r="O244" s="172"/>
      <c r="P244" s="172"/>
      <c r="Q244" s="172"/>
      <c r="R244" s="172"/>
      <c r="S244" s="172"/>
      <c r="T244" s="172"/>
      <c r="U244" s="172"/>
      <c r="V244" s="172"/>
    </row>
    <row r="245" spans="1:22" ht="16.5" hidden="1" customHeight="1" x14ac:dyDescent="0.25">
      <c r="A245" s="228"/>
      <c r="B245" s="229"/>
      <c r="C245" s="230"/>
      <c r="D245" s="230"/>
      <c r="E245" s="230"/>
      <c r="F245" s="230"/>
      <c r="G245" s="230"/>
      <c r="H245" s="230"/>
      <c r="I245" s="157" t="e">
        <f t="shared" si="13"/>
        <v>#DIV/0!</v>
      </c>
      <c r="J245" s="227"/>
      <c r="K245" s="227"/>
      <c r="L245" s="227"/>
      <c r="M245" s="227"/>
      <c r="N245" s="227"/>
      <c r="O245" s="172"/>
      <c r="P245" s="172"/>
      <c r="Q245" s="172"/>
      <c r="R245" s="172"/>
      <c r="S245" s="172"/>
      <c r="T245" s="172"/>
      <c r="U245" s="172"/>
      <c r="V245" s="172"/>
    </row>
    <row r="246" spans="1:22" ht="16.5" hidden="1" customHeight="1" x14ac:dyDescent="0.25">
      <c r="A246" s="228"/>
      <c r="B246" s="229"/>
      <c r="C246" s="230"/>
      <c r="D246" s="230"/>
      <c r="E246" s="230"/>
      <c r="F246" s="230"/>
      <c r="G246" s="230"/>
      <c r="H246" s="230"/>
      <c r="I246" s="157" t="e">
        <f t="shared" si="13"/>
        <v>#DIV/0!</v>
      </c>
      <c r="J246" s="227"/>
      <c r="K246" s="227"/>
      <c r="L246" s="227"/>
      <c r="M246" s="227"/>
      <c r="N246" s="227"/>
      <c r="O246" s="172"/>
      <c r="P246" s="172"/>
      <c r="Q246" s="172"/>
      <c r="R246" s="172"/>
      <c r="S246" s="172"/>
      <c r="T246" s="172"/>
      <c r="U246" s="172"/>
      <c r="V246" s="172"/>
    </row>
    <row r="247" spans="1:22" ht="16.5" hidden="1" customHeight="1" x14ac:dyDescent="0.25">
      <c r="A247" s="228"/>
      <c r="B247" s="229"/>
      <c r="C247" s="230"/>
      <c r="D247" s="230"/>
      <c r="E247" s="230"/>
      <c r="F247" s="230"/>
      <c r="G247" s="230"/>
      <c r="H247" s="230"/>
      <c r="I247" s="157" t="e">
        <f t="shared" si="13"/>
        <v>#DIV/0!</v>
      </c>
      <c r="J247" s="227"/>
      <c r="K247" s="227"/>
      <c r="L247" s="227"/>
      <c r="M247" s="227"/>
      <c r="N247" s="227"/>
      <c r="O247" s="172"/>
      <c r="P247" s="172"/>
      <c r="Q247" s="172"/>
      <c r="R247" s="172"/>
      <c r="S247" s="172"/>
      <c r="T247" s="172"/>
      <c r="U247" s="172"/>
      <c r="V247" s="172"/>
    </row>
    <row r="248" spans="1:22" ht="16.5" hidden="1" customHeight="1" x14ac:dyDescent="0.25">
      <c r="A248" s="228"/>
      <c r="B248" s="229"/>
      <c r="C248" s="230"/>
      <c r="D248" s="230"/>
      <c r="E248" s="230"/>
      <c r="F248" s="230"/>
      <c r="G248" s="230"/>
      <c r="H248" s="230"/>
      <c r="I248" s="157" t="e">
        <f t="shared" si="13"/>
        <v>#DIV/0!</v>
      </c>
      <c r="J248" s="227"/>
      <c r="K248" s="227"/>
      <c r="L248" s="227"/>
      <c r="M248" s="227"/>
      <c r="N248" s="227"/>
      <c r="O248" s="172"/>
      <c r="P248" s="172"/>
      <c r="Q248" s="172"/>
      <c r="R248" s="172"/>
      <c r="S248" s="172"/>
      <c r="T248" s="172"/>
      <c r="U248" s="172"/>
      <c r="V248" s="172"/>
    </row>
    <row r="249" spans="1:22" ht="16.5" hidden="1" customHeight="1" x14ac:dyDescent="0.25">
      <c r="A249" s="228"/>
      <c r="B249" s="229"/>
      <c r="C249" s="230"/>
      <c r="D249" s="230"/>
      <c r="E249" s="230"/>
      <c r="F249" s="230"/>
      <c r="G249" s="230"/>
      <c r="H249" s="230"/>
      <c r="I249" s="157" t="e">
        <f t="shared" si="13"/>
        <v>#DIV/0!</v>
      </c>
      <c r="J249" s="227"/>
      <c r="K249" s="227"/>
      <c r="L249" s="227"/>
      <c r="M249" s="227"/>
      <c r="N249" s="227"/>
      <c r="O249" s="172"/>
      <c r="P249" s="172"/>
      <c r="Q249" s="172"/>
      <c r="R249" s="172"/>
      <c r="S249" s="172"/>
      <c r="T249" s="172"/>
      <c r="U249" s="172"/>
      <c r="V249" s="172"/>
    </row>
    <row r="250" spans="1:22" ht="16.5" hidden="1" customHeight="1" x14ac:dyDescent="0.25">
      <c r="A250" s="228"/>
      <c r="B250" s="229"/>
      <c r="C250" s="230"/>
      <c r="D250" s="230"/>
      <c r="E250" s="230"/>
      <c r="F250" s="230"/>
      <c r="G250" s="230"/>
      <c r="H250" s="230"/>
      <c r="I250" s="157" t="e">
        <f t="shared" si="13"/>
        <v>#DIV/0!</v>
      </c>
      <c r="J250" s="227"/>
      <c r="K250" s="227"/>
      <c r="L250" s="227"/>
      <c r="M250" s="227"/>
      <c r="N250" s="227"/>
      <c r="O250" s="172"/>
      <c r="P250" s="172"/>
      <c r="Q250" s="172"/>
      <c r="R250" s="172"/>
      <c r="S250" s="172"/>
      <c r="T250" s="172"/>
      <c r="U250" s="172"/>
      <c r="V250" s="172"/>
    </row>
    <row r="251" spans="1:22" ht="16.5" hidden="1" customHeight="1" x14ac:dyDescent="0.25">
      <c r="A251" s="228"/>
      <c r="B251" s="229"/>
      <c r="C251" s="230"/>
      <c r="D251" s="230"/>
      <c r="E251" s="230"/>
      <c r="F251" s="230"/>
      <c r="G251" s="230"/>
      <c r="H251" s="230"/>
      <c r="I251" s="157" t="e">
        <f t="shared" si="13"/>
        <v>#DIV/0!</v>
      </c>
      <c r="J251" s="227"/>
      <c r="K251" s="227"/>
      <c r="L251" s="227"/>
      <c r="M251" s="227"/>
      <c r="N251" s="227"/>
      <c r="O251" s="172"/>
      <c r="P251" s="172"/>
      <c r="Q251" s="172"/>
      <c r="R251" s="172"/>
      <c r="S251" s="172"/>
      <c r="T251" s="172"/>
      <c r="U251" s="172"/>
      <c r="V251" s="172"/>
    </row>
    <row r="252" spans="1:22" ht="16.5" hidden="1" customHeight="1" x14ac:dyDescent="0.25">
      <c r="A252" s="228"/>
      <c r="B252" s="229"/>
      <c r="C252" s="230"/>
      <c r="D252" s="230"/>
      <c r="E252" s="230"/>
      <c r="F252" s="230"/>
      <c r="G252" s="230"/>
      <c r="H252" s="230"/>
      <c r="I252" s="157" t="e">
        <f t="shared" si="13"/>
        <v>#DIV/0!</v>
      </c>
      <c r="J252" s="227"/>
      <c r="K252" s="227"/>
      <c r="L252" s="227"/>
      <c r="M252" s="227"/>
      <c r="N252" s="227"/>
      <c r="O252" s="172"/>
      <c r="P252" s="172"/>
      <c r="Q252" s="172"/>
      <c r="R252" s="172"/>
      <c r="S252" s="172"/>
      <c r="T252" s="172"/>
      <c r="U252" s="172"/>
      <c r="V252" s="172"/>
    </row>
    <row r="253" spans="1:22" ht="16.5" hidden="1" customHeight="1" x14ac:dyDescent="0.25">
      <c r="A253" s="228"/>
      <c r="B253" s="229"/>
      <c r="C253" s="230"/>
      <c r="D253" s="230"/>
      <c r="E253" s="230"/>
      <c r="F253" s="230"/>
      <c r="G253" s="230"/>
      <c r="H253" s="230"/>
      <c r="I253" s="157" t="e">
        <f t="shared" si="13"/>
        <v>#DIV/0!</v>
      </c>
      <c r="J253" s="227"/>
      <c r="K253" s="227"/>
      <c r="L253" s="227"/>
      <c r="M253" s="227"/>
      <c r="N253" s="227"/>
      <c r="O253" s="172"/>
      <c r="P253" s="172"/>
      <c r="Q253" s="172"/>
      <c r="R253" s="172"/>
      <c r="S253" s="172"/>
      <c r="T253" s="172"/>
      <c r="U253" s="172"/>
      <c r="V253" s="172"/>
    </row>
    <row r="254" spans="1:22" ht="16.5" hidden="1" customHeight="1" x14ac:dyDescent="0.25">
      <c r="A254" s="228"/>
      <c r="B254" s="229"/>
      <c r="C254" s="230"/>
      <c r="D254" s="230"/>
      <c r="E254" s="230"/>
      <c r="F254" s="230"/>
      <c r="G254" s="230"/>
      <c r="H254" s="230"/>
      <c r="I254" s="157" t="e">
        <f t="shared" si="13"/>
        <v>#DIV/0!</v>
      </c>
      <c r="J254" s="227"/>
      <c r="K254" s="227"/>
      <c r="L254" s="227"/>
      <c r="M254" s="227"/>
      <c r="N254" s="227"/>
      <c r="O254" s="172"/>
      <c r="P254" s="172"/>
      <c r="Q254" s="172"/>
      <c r="R254" s="172"/>
      <c r="S254" s="172"/>
      <c r="T254" s="172"/>
      <c r="U254" s="172"/>
      <c r="V254" s="172"/>
    </row>
    <row r="255" spans="1:22" ht="16.5" hidden="1" customHeight="1" x14ac:dyDescent="0.25">
      <c r="A255" s="228"/>
      <c r="B255" s="229"/>
      <c r="C255" s="230"/>
      <c r="D255" s="230"/>
      <c r="E255" s="230"/>
      <c r="F255" s="230"/>
      <c r="G255" s="230"/>
      <c r="H255" s="230"/>
      <c r="I255" s="157" t="e">
        <f t="shared" si="13"/>
        <v>#DIV/0!</v>
      </c>
      <c r="J255" s="227"/>
      <c r="K255" s="227"/>
      <c r="L255" s="227"/>
      <c r="M255" s="227"/>
      <c r="N255" s="227"/>
      <c r="O255" s="172"/>
      <c r="P255" s="172"/>
      <c r="Q255" s="172"/>
      <c r="R255" s="172"/>
      <c r="S255" s="172"/>
      <c r="T255" s="172"/>
      <c r="U255" s="172"/>
      <c r="V255" s="172"/>
    </row>
    <row r="256" spans="1:22" ht="16.5" hidden="1" customHeight="1" x14ac:dyDescent="0.25">
      <c r="A256" s="228"/>
      <c r="B256" s="229"/>
      <c r="C256" s="230"/>
      <c r="D256" s="230"/>
      <c r="E256" s="230"/>
      <c r="F256" s="230"/>
      <c r="G256" s="230"/>
      <c r="H256" s="230"/>
      <c r="I256" s="157" t="e">
        <f t="shared" si="13"/>
        <v>#DIV/0!</v>
      </c>
      <c r="J256" s="227"/>
      <c r="K256" s="227"/>
      <c r="L256" s="227"/>
      <c r="M256" s="227"/>
      <c r="N256" s="227"/>
      <c r="O256" s="172"/>
      <c r="P256" s="172"/>
      <c r="Q256" s="172"/>
      <c r="R256" s="172"/>
      <c r="S256" s="172"/>
      <c r="T256" s="172"/>
      <c r="U256" s="172"/>
      <c r="V256" s="172"/>
    </row>
    <row r="257" spans="1:22" ht="16.5" hidden="1" customHeight="1" x14ac:dyDescent="0.25">
      <c r="A257" s="228"/>
      <c r="B257" s="229"/>
      <c r="C257" s="230"/>
      <c r="D257" s="230"/>
      <c r="E257" s="230"/>
      <c r="F257" s="230"/>
      <c r="G257" s="230"/>
      <c r="H257" s="230"/>
      <c r="I257" s="157" t="e">
        <f t="shared" si="13"/>
        <v>#DIV/0!</v>
      </c>
      <c r="J257" s="227"/>
      <c r="K257" s="227"/>
      <c r="L257" s="227"/>
      <c r="M257" s="227"/>
      <c r="N257" s="227"/>
      <c r="O257" s="172"/>
      <c r="P257" s="172"/>
      <c r="Q257" s="172"/>
      <c r="R257" s="172"/>
      <c r="S257" s="172"/>
      <c r="T257" s="172"/>
      <c r="U257" s="172"/>
      <c r="V257" s="172"/>
    </row>
    <row r="258" spans="1:22" ht="16.5" hidden="1" customHeight="1" x14ac:dyDescent="0.25">
      <c r="A258" s="228"/>
      <c r="B258" s="229"/>
      <c r="C258" s="230"/>
      <c r="D258" s="230"/>
      <c r="E258" s="230"/>
      <c r="F258" s="230"/>
      <c r="G258" s="230"/>
      <c r="H258" s="230"/>
      <c r="I258" s="157" t="e">
        <f t="shared" si="13"/>
        <v>#DIV/0!</v>
      </c>
      <c r="J258" s="227"/>
      <c r="K258" s="227"/>
      <c r="L258" s="227"/>
      <c r="M258" s="227"/>
      <c r="N258" s="227"/>
      <c r="O258" s="172"/>
      <c r="P258" s="172"/>
      <c r="Q258" s="172"/>
      <c r="R258" s="172"/>
      <c r="S258" s="172"/>
      <c r="T258" s="172"/>
      <c r="U258" s="172"/>
      <c r="V258" s="172"/>
    </row>
    <row r="259" spans="1:22" ht="16.5" hidden="1" customHeight="1" x14ac:dyDescent="0.25">
      <c r="A259" s="228"/>
      <c r="B259" s="229"/>
      <c r="C259" s="230"/>
      <c r="D259" s="230"/>
      <c r="E259" s="230"/>
      <c r="F259" s="230"/>
      <c r="G259" s="230"/>
      <c r="H259" s="230"/>
      <c r="I259" s="157" t="e">
        <f t="shared" si="13"/>
        <v>#DIV/0!</v>
      </c>
      <c r="J259" s="227"/>
      <c r="K259" s="227"/>
      <c r="L259" s="227"/>
      <c r="M259" s="227"/>
      <c r="N259" s="227"/>
      <c r="O259" s="172"/>
      <c r="P259" s="172"/>
      <c r="Q259" s="172"/>
      <c r="R259" s="172"/>
      <c r="S259" s="172"/>
      <c r="T259" s="172"/>
      <c r="U259" s="172"/>
      <c r="V259" s="172"/>
    </row>
    <row r="260" spans="1:22" ht="16.5" hidden="1" customHeight="1" x14ac:dyDescent="0.25">
      <c r="A260" s="228"/>
      <c r="B260" s="229"/>
      <c r="C260" s="230"/>
      <c r="D260" s="230"/>
      <c r="E260" s="230"/>
      <c r="F260" s="230"/>
      <c r="G260" s="230"/>
      <c r="H260" s="230"/>
      <c r="I260" s="157" t="e">
        <f t="shared" si="13"/>
        <v>#DIV/0!</v>
      </c>
      <c r="J260" s="227"/>
      <c r="K260" s="227"/>
      <c r="L260" s="227"/>
      <c r="M260" s="227"/>
      <c r="N260" s="227"/>
      <c r="O260" s="172"/>
      <c r="P260" s="172"/>
      <c r="Q260" s="172"/>
      <c r="R260" s="172"/>
      <c r="S260" s="172"/>
      <c r="T260" s="172"/>
      <c r="U260" s="172"/>
      <c r="V260" s="172"/>
    </row>
    <row r="261" spans="1:22" ht="16.5" hidden="1" customHeight="1" x14ac:dyDescent="0.25">
      <c r="A261" s="228"/>
      <c r="B261" s="229"/>
      <c r="C261" s="230"/>
      <c r="D261" s="230"/>
      <c r="E261" s="230"/>
      <c r="F261" s="230"/>
      <c r="G261" s="230"/>
      <c r="H261" s="230"/>
      <c r="I261" s="157" t="e">
        <f t="shared" si="13"/>
        <v>#DIV/0!</v>
      </c>
      <c r="J261" s="227"/>
      <c r="K261" s="227"/>
      <c r="L261" s="227"/>
      <c r="M261" s="227"/>
      <c r="N261" s="227"/>
      <c r="O261" s="172"/>
      <c r="P261" s="172"/>
      <c r="Q261" s="172"/>
      <c r="R261" s="172"/>
      <c r="S261" s="172"/>
      <c r="T261" s="172"/>
      <c r="U261" s="172"/>
      <c r="V261" s="172"/>
    </row>
    <row r="262" spans="1:22" ht="16.5" hidden="1" customHeight="1" x14ac:dyDescent="0.25">
      <c r="A262" s="228"/>
      <c r="B262" s="229"/>
      <c r="C262" s="230"/>
      <c r="D262" s="230"/>
      <c r="E262" s="230"/>
      <c r="F262" s="230"/>
      <c r="G262" s="230"/>
      <c r="H262" s="230"/>
      <c r="I262" s="157" t="e">
        <f t="shared" si="13"/>
        <v>#DIV/0!</v>
      </c>
      <c r="J262" s="227"/>
      <c r="K262" s="227"/>
      <c r="L262" s="227"/>
      <c r="M262" s="227"/>
      <c r="N262" s="227"/>
      <c r="O262" s="172"/>
      <c r="P262" s="172"/>
      <c r="Q262" s="172"/>
      <c r="R262" s="172"/>
      <c r="S262" s="172"/>
      <c r="T262" s="172"/>
      <c r="U262" s="172"/>
      <c r="V262" s="172"/>
    </row>
    <row r="263" spans="1:22" ht="16.5" hidden="1" customHeight="1" x14ac:dyDescent="0.25">
      <c r="A263" s="228"/>
      <c r="B263" s="229"/>
      <c r="C263" s="230"/>
      <c r="D263" s="230"/>
      <c r="E263" s="230"/>
      <c r="F263" s="230"/>
      <c r="G263" s="230"/>
      <c r="H263" s="230"/>
      <c r="I263" s="157" t="e">
        <f t="shared" si="13"/>
        <v>#DIV/0!</v>
      </c>
      <c r="J263" s="227"/>
      <c r="K263" s="227"/>
      <c r="L263" s="227"/>
      <c r="M263" s="227"/>
      <c r="N263" s="227"/>
      <c r="O263" s="172"/>
      <c r="P263" s="172"/>
      <c r="Q263" s="172"/>
      <c r="R263" s="172"/>
      <c r="S263" s="172"/>
      <c r="T263" s="172"/>
      <c r="U263" s="172"/>
      <c r="V263" s="172"/>
    </row>
    <row r="264" spans="1:22" ht="16.5" hidden="1" customHeight="1" x14ac:dyDescent="0.25">
      <c r="A264" s="228"/>
      <c r="B264" s="229"/>
      <c r="C264" s="230"/>
      <c r="D264" s="230"/>
      <c r="E264" s="230"/>
      <c r="F264" s="230"/>
      <c r="G264" s="230"/>
      <c r="H264" s="230"/>
      <c r="I264" s="157" t="e">
        <f t="shared" si="13"/>
        <v>#DIV/0!</v>
      </c>
      <c r="J264" s="227"/>
      <c r="K264" s="227"/>
      <c r="L264" s="227"/>
      <c r="M264" s="227"/>
      <c r="N264" s="227"/>
      <c r="O264" s="172"/>
      <c r="P264" s="172"/>
      <c r="Q264" s="172"/>
      <c r="R264" s="172"/>
      <c r="S264" s="172"/>
      <c r="T264" s="172"/>
      <c r="U264" s="172"/>
      <c r="V264" s="172"/>
    </row>
    <row r="265" spans="1:22" ht="16.5" hidden="1" customHeight="1" x14ac:dyDescent="0.25">
      <c r="A265" s="228"/>
      <c r="B265" s="229"/>
      <c r="C265" s="230"/>
      <c r="D265" s="230"/>
      <c r="E265" s="230"/>
      <c r="F265" s="230"/>
      <c r="G265" s="230"/>
      <c r="H265" s="230"/>
      <c r="I265" s="157" t="e">
        <f t="shared" si="13"/>
        <v>#DIV/0!</v>
      </c>
      <c r="J265" s="227"/>
      <c r="K265" s="227"/>
      <c r="L265" s="227"/>
      <c r="M265" s="227"/>
      <c r="N265" s="227"/>
      <c r="O265" s="172"/>
      <c r="P265" s="172"/>
      <c r="Q265" s="172"/>
      <c r="R265" s="172"/>
      <c r="S265" s="172"/>
      <c r="T265" s="172"/>
      <c r="U265" s="172"/>
      <c r="V265" s="172"/>
    </row>
    <row r="266" spans="1:22" ht="16.5" hidden="1" customHeight="1" x14ac:dyDescent="0.25">
      <c r="A266" s="228"/>
      <c r="B266" s="229"/>
      <c r="C266" s="230"/>
      <c r="D266" s="230"/>
      <c r="E266" s="230"/>
      <c r="F266" s="230"/>
      <c r="G266" s="230"/>
      <c r="H266" s="230"/>
      <c r="I266" s="157" t="e">
        <f t="shared" si="13"/>
        <v>#DIV/0!</v>
      </c>
      <c r="J266" s="227"/>
      <c r="K266" s="227"/>
      <c r="L266" s="227"/>
      <c r="M266" s="227"/>
      <c r="N266" s="227"/>
      <c r="O266" s="172"/>
      <c r="P266" s="172"/>
      <c r="Q266" s="172"/>
      <c r="R266" s="172"/>
      <c r="S266" s="172"/>
      <c r="T266" s="172"/>
      <c r="U266" s="172"/>
      <c r="V266" s="172"/>
    </row>
    <row r="267" spans="1:22" ht="16.5" hidden="1" customHeight="1" x14ac:dyDescent="0.25">
      <c r="A267" s="228"/>
      <c r="B267" s="229"/>
      <c r="C267" s="230"/>
      <c r="D267" s="230"/>
      <c r="E267" s="230"/>
      <c r="F267" s="230"/>
      <c r="G267" s="230"/>
      <c r="H267" s="230"/>
      <c r="I267" s="157" t="e">
        <f t="shared" si="13"/>
        <v>#DIV/0!</v>
      </c>
      <c r="J267" s="227"/>
      <c r="K267" s="227"/>
      <c r="L267" s="227"/>
      <c r="M267" s="227"/>
      <c r="N267" s="227"/>
      <c r="O267" s="172"/>
      <c r="P267" s="172"/>
      <c r="Q267" s="172"/>
      <c r="R267" s="172"/>
      <c r="S267" s="172"/>
      <c r="T267" s="172"/>
      <c r="U267" s="172"/>
      <c r="V267" s="172"/>
    </row>
    <row r="268" spans="1:22" ht="16.5" hidden="1" customHeight="1" x14ac:dyDescent="0.25">
      <c r="A268" s="228"/>
      <c r="B268" s="229"/>
      <c r="C268" s="230"/>
      <c r="D268" s="230"/>
      <c r="E268" s="230"/>
      <c r="F268" s="230"/>
      <c r="G268" s="230"/>
      <c r="H268" s="230"/>
      <c r="I268" s="157" t="e">
        <f t="shared" si="13"/>
        <v>#DIV/0!</v>
      </c>
      <c r="J268" s="227"/>
      <c r="K268" s="227"/>
      <c r="L268" s="227"/>
      <c r="M268" s="227"/>
      <c r="N268" s="227"/>
      <c r="O268" s="172"/>
      <c r="P268" s="172"/>
      <c r="Q268" s="172"/>
      <c r="R268" s="172"/>
      <c r="S268" s="172"/>
      <c r="T268" s="172"/>
      <c r="U268" s="172"/>
      <c r="V268" s="172"/>
    </row>
    <row r="269" spans="1:22" ht="16.5" hidden="1" customHeight="1" x14ac:dyDescent="0.25">
      <c r="A269" s="228"/>
      <c r="B269" s="229"/>
      <c r="C269" s="230"/>
      <c r="D269" s="230"/>
      <c r="E269" s="230"/>
      <c r="F269" s="230"/>
      <c r="G269" s="230"/>
      <c r="H269" s="230"/>
      <c r="I269" s="157" t="e">
        <f t="shared" si="13"/>
        <v>#DIV/0!</v>
      </c>
      <c r="J269" s="227"/>
      <c r="K269" s="227"/>
      <c r="L269" s="227"/>
      <c r="M269" s="227"/>
      <c r="N269" s="227"/>
      <c r="O269" s="172"/>
      <c r="P269" s="172"/>
      <c r="Q269" s="172"/>
      <c r="R269" s="172"/>
      <c r="S269" s="172"/>
      <c r="T269" s="172"/>
      <c r="U269" s="172"/>
      <c r="V269" s="172"/>
    </row>
    <row r="270" spans="1:22" ht="16.5" hidden="1" customHeight="1" x14ac:dyDescent="0.25">
      <c r="A270" s="228"/>
      <c r="B270" s="229"/>
      <c r="C270" s="230"/>
      <c r="D270" s="230"/>
      <c r="E270" s="230"/>
      <c r="F270" s="230"/>
      <c r="G270" s="230"/>
      <c r="H270" s="230"/>
      <c r="I270" s="157" t="e">
        <f t="shared" si="13"/>
        <v>#DIV/0!</v>
      </c>
      <c r="J270" s="227"/>
      <c r="K270" s="227"/>
      <c r="L270" s="227"/>
      <c r="M270" s="227"/>
      <c r="N270" s="227"/>
      <c r="O270" s="172"/>
      <c r="P270" s="172"/>
      <c r="Q270" s="172"/>
      <c r="R270" s="172"/>
      <c r="S270" s="172"/>
      <c r="T270" s="172"/>
      <c r="U270" s="172"/>
      <c r="V270" s="172"/>
    </row>
    <row r="271" spans="1:22" ht="16.5" hidden="1" customHeight="1" x14ac:dyDescent="0.25">
      <c r="A271" s="228"/>
      <c r="B271" s="229"/>
      <c r="C271" s="230"/>
      <c r="D271" s="230"/>
      <c r="E271" s="230"/>
      <c r="F271" s="230"/>
      <c r="G271" s="230"/>
      <c r="H271" s="230"/>
      <c r="I271" s="157" t="e">
        <f t="shared" si="13"/>
        <v>#DIV/0!</v>
      </c>
      <c r="J271" s="227"/>
      <c r="K271" s="227"/>
      <c r="L271" s="227"/>
      <c r="M271" s="227"/>
      <c r="N271" s="227"/>
      <c r="O271" s="172"/>
      <c r="P271" s="172"/>
      <c r="Q271" s="172"/>
      <c r="R271" s="172"/>
      <c r="S271" s="172"/>
      <c r="T271" s="172"/>
      <c r="U271" s="172"/>
      <c r="V271" s="172"/>
    </row>
    <row r="272" spans="1:22" ht="16.5" hidden="1" customHeight="1" x14ac:dyDescent="0.25">
      <c r="A272" s="228"/>
      <c r="B272" s="229"/>
      <c r="C272" s="230"/>
      <c r="D272" s="230"/>
      <c r="E272" s="230"/>
      <c r="F272" s="230"/>
      <c r="G272" s="230"/>
      <c r="H272" s="230"/>
      <c r="I272" s="157" t="e">
        <f t="shared" si="13"/>
        <v>#DIV/0!</v>
      </c>
      <c r="J272" s="227"/>
      <c r="K272" s="227"/>
      <c r="L272" s="227"/>
      <c r="M272" s="227"/>
      <c r="N272" s="227"/>
      <c r="O272" s="172"/>
      <c r="P272" s="172"/>
      <c r="Q272" s="172"/>
      <c r="R272" s="172"/>
      <c r="S272" s="172"/>
      <c r="T272" s="172"/>
      <c r="U272" s="172"/>
      <c r="V272" s="172"/>
    </row>
    <row r="273" spans="1:22" ht="16.5" hidden="1" customHeight="1" x14ac:dyDescent="0.25">
      <c r="A273" s="228"/>
      <c r="B273" s="229"/>
      <c r="C273" s="230"/>
      <c r="D273" s="230"/>
      <c r="E273" s="230"/>
      <c r="F273" s="230"/>
      <c r="G273" s="230"/>
      <c r="H273" s="230"/>
      <c r="I273" s="157" t="e">
        <f t="shared" si="13"/>
        <v>#DIV/0!</v>
      </c>
      <c r="J273" s="227"/>
      <c r="K273" s="227"/>
      <c r="L273" s="227"/>
      <c r="M273" s="227"/>
      <c r="N273" s="227"/>
      <c r="O273" s="172"/>
      <c r="P273" s="172"/>
      <c r="Q273" s="172"/>
      <c r="R273" s="172"/>
      <c r="S273" s="172"/>
      <c r="T273" s="172"/>
      <c r="U273" s="172"/>
      <c r="V273" s="172"/>
    </row>
    <row r="274" spans="1:22" ht="16.5" hidden="1" customHeight="1" x14ac:dyDescent="0.25">
      <c r="A274" s="228"/>
      <c r="B274" s="229"/>
      <c r="C274" s="230"/>
      <c r="D274" s="230"/>
      <c r="E274" s="230"/>
      <c r="F274" s="230"/>
      <c r="G274" s="230"/>
      <c r="H274" s="230"/>
      <c r="I274" s="157" t="e">
        <f t="shared" si="13"/>
        <v>#DIV/0!</v>
      </c>
      <c r="J274" s="227"/>
      <c r="K274" s="227"/>
      <c r="L274" s="227"/>
      <c r="M274" s="227"/>
      <c r="N274" s="227"/>
      <c r="O274" s="172"/>
      <c r="P274" s="172"/>
      <c r="Q274" s="172"/>
      <c r="R274" s="172"/>
      <c r="S274" s="172"/>
      <c r="T274" s="172"/>
      <c r="U274" s="172"/>
      <c r="V274" s="172"/>
    </row>
    <row r="275" spans="1:22" ht="16.5" hidden="1" customHeight="1" x14ac:dyDescent="0.25">
      <c r="A275" s="228"/>
      <c r="B275" s="229"/>
      <c r="C275" s="230"/>
      <c r="D275" s="230"/>
      <c r="E275" s="230"/>
      <c r="F275" s="230"/>
      <c r="G275" s="230"/>
      <c r="H275" s="230"/>
      <c r="I275" s="157" t="e">
        <f t="shared" si="13"/>
        <v>#DIV/0!</v>
      </c>
      <c r="J275" s="227"/>
      <c r="K275" s="227"/>
      <c r="L275" s="227"/>
      <c r="M275" s="227"/>
      <c r="N275" s="227"/>
      <c r="O275" s="172"/>
      <c r="P275" s="172"/>
      <c r="Q275" s="172"/>
      <c r="R275" s="172"/>
      <c r="S275" s="172"/>
      <c r="T275" s="172"/>
      <c r="U275" s="172"/>
      <c r="V275" s="172"/>
    </row>
    <row r="276" spans="1:22" ht="16.5" hidden="1" customHeight="1" x14ac:dyDescent="0.25">
      <c r="A276" s="228"/>
      <c r="B276" s="229"/>
      <c r="C276" s="230"/>
      <c r="D276" s="230"/>
      <c r="E276" s="230"/>
      <c r="F276" s="230"/>
      <c r="G276" s="230"/>
      <c r="H276" s="230"/>
      <c r="I276" s="157" t="e">
        <f t="shared" si="13"/>
        <v>#DIV/0!</v>
      </c>
      <c r="J276" s="227"/>
      <c r="K276" s="227"/>
      <c r="L276" s="227"/>
      <c r="M276" s="227"/>
      <c r="N276" s="227"/>
      <c r="O276" s="172"/>
      <c r="P276" s="172"/>
      <c r="Q276" s="172"/>
      <c r="R276" s="172"/>
      <c r="S276" s="172"/>
      <c r="T276" s="172"/>
      <c r="U276" s="172"/>
      <c r="V276" s="172"/>
    </row>
    <row r="277" spans="1:22" ht="16.5" hidden="1" customHeight="1" x14ac:dyDescent="0.25">
      <c r="A277" s="228"/>
      <c r="B277" s="229"/>
      <c r="C277" s="230"/>
      <c r="D277" s="230"/>
      <c r="E277" s="230"/>
      <c r="F277" s="230"/>
      <c r="G277" s="230"/>
      <c r="H277" s="230"/>
      <c r="I277" s="157" t="e">
        <f t="shared" si="13"/>
        <v>#DIV/0!</v>
      </c>
      <c r="J277" s="227"/>
      <c r="K277" s="227"/>
      <c r="L277" s="227"/>
      <c r="M277" s="227"/>
      <c r="N277" s="227"/>
      <c r="O277" s="172"/>
      <c r="P277" s="172"/>
      <c r="Q277" s="172"/>
      <c r="R277" s="172"/>
      <c r="S277" s="172"/>
      <c r="T277" s="172"/>
      <c r="U277" s="172"/>
      <c r="V277" s="172"/>
    </row>
    <row r="278" spans="1:22" ht="16.5" hidden="1" customHeight="1" x14ac:dyDescent="0.25">
      <c r="A278" s="228"/>
      <c r="B278" s="229"/>
      <c r="C278" s="230"/>
      <c r="D278" s="230"/>
      <c r="E278" s="230"/>
      <c r="F278" s="230"/>
      <c r="G278" s="230"/>
      <c r="H278" s="230"/>
      <c r="I278" s="157" t="e">
        <f t="shared" si="13"/>
        <v>#DIV/0!</v>
      </c>
      <c r="J278" s="227"/>
      <c r="K278" s="227"/>
      <c r="L278" s="227"/>
      <c r="M278" s="227"/>
      <c r="N278" s="227"/>
      <c r="O278" s="172"/>
      <c r="P278" s="172"/>
      <c r="Q278" s="172"/>
      <c r="R278" s="172"/>
      <c r="S278" s="172"/>
      <c r="T278" s="172"/>
      <c r="U278" s="172"/>
      <c r="V278" s="172"/>
    </row>
    <row r="279" spans="1:22" ht="16.5" hidden="1" customHeight="1" x14ac:dyDescent="0.25">
      <c r="A279" s="228"/>
      <c r="B279" s="229"/>
      <c r="C279" s="230"/>
      <c r="D279" s="230"/>
      <c r="E279" s="230"/>
      <c r="F279" s="230"/>
      <c r="G279" s="230"/>
      <c r="H279" s="230"/>
      <c r="I279" s="157" t="e">
        <f t="shared" si="13"/>
        <v>#DIV/0!</v>
      </c>
      <c r="J279" s="227"/>
      <c r="K279" s="227"/>
      <c r="L279" s="227"/>
      <c r="M279" s="227"/>
      <c r="N279" s="227"/>
      <c r="O279" s="172"/>
      <c r="P279" s="172"/>
      <c r="Q279" s="172"/>
      <c r="R279" s="172"/>
      <c r="S279" s="172"/>
      <c r="T279" s="172"/>
      <c r="U279" s="172"/>
      <c r="V279" s="172"/>
    </row>
    <row r="280" spans="1:22" ht="16.5" hidden="1" customHeight="1" x14ac:dyDescent="0.25">
      <c r="A280" s="228"/>
      <c r="B280" s="229"/>
      <c r="C280" s="230"/>
      <c r="D280" s="230"/>
      <c r="E280" s="230"/>
      <c r="F280" s="230"/>
      <c r="G280" s="230"/>
      <c r="H280" s="230"/>
      <c r="I280" s="157" t="e">
        <f t="shared" si="13"/>
        <v>#DIV/0!</v>
      </c>
      <c r="J280" s="227"/>
      <c r="K280" s="227"/>
      <c r="L280" s="227"/>
      <c r="M280" s="227"/>
      <c r="N280" s="227"/>
      <c r="O280" s="172"/>
      <c r="P280" s="172"/>
      <c r="Q280" s="172"/>
      <c r="R280" s="172"/>
      <c r="S280" s="172"/>
      <c r="T280" s="172"/>
      <c r="U280" s="172"/>
      <c r="V280" s="172"/>
    </row>
    <row r="281" spans="1:22" ht="16.5" hidden="1" customHeight="1" x14ac:dyDescent="0.25">
      <c r="A281" s="228"/>
      <c r="B281" s="229"/>
      <c r="C281" s="230"/>
      <c r="D281" s="230"/>
      <c r="E281" s="230"/>
      <c r="F281" s="230"/>
      <c r="G281" s="230"/>
      <c r="H281" s="230"/>
      <c r="I281" s="157" t="e">
        <f t="shared" si="13"/>
        <v>#DIV/0!</v>
      </c>
      <c r="J281" s="227"/>
      <c r="K281" s="227"/>
      <c r="L281" s="227"/>
      <c r="M281" s="227"/>
      <c r="N281" s="227"/>
      <c r="O281" s="172"/>
      <c r="P281" s="172"/>
      <c r="Q281" s="172"/>
      <c r="R281" s="172"/>
      <c r="S281" s="172"/>
      <c r="T281" s="172"/>
      <c r="U281" s="172"/>
      <c r="V281" s="172"/>
    </row>
    <row r="282" spans="1:22" ht="16.5" hidden="1" customHeight="1" x14ac:dyDescent="0.25">
      <c r="A282" s="228"/>
      <c r="B282" s="229"/>
      <c r="C282" s="230"/>
      <c r="D282" s="230"/>
      <c r="E282" s="230"/>
      <c r="F282" s="230"/>
      <c r="G282" s="230"/>
      <c r="H282" s="230"/>
      <c r="I282" s="157" t="e">
        <f t="shared" si="13"/>
        <v>#DIV/0!</v>
      </c>
      <c r="J282" s="227"/>
      <c r="K282" s="227"/>
      <c r="L282" s="227"/>
      <c r="M282" s="227"/>
      <c r="N282" s="227"/>
      <c r="O282" s="172"/>
      <c r="P282" s="172"/>
      <c r="Q282" s="172"/>
      <c r="R282" s="172"/>
      <c r="S282" s="172"/>
      <c r="T282" s="172"/>
      <c r="U282" s="172"/>
      <c r="V282" s="172"/>
    </row>
    <row r="283" spans="1:22" ht="16.5" hidden="1" customHeight="1" x14ac:dyDescent="0.25">
      <c r="A283" s="228"/>
      <c r="B283" s="229"/>
      <c r="C283" s="230"/>
      <c r="D283" s="230"/>
      <c r="E283" s="230"/>
      <c r="F283" s="230"/>
      <c r="G283" s="230"/>
      <c r="H283" s="230"/>
      <c r="I283" s="157" t="e">
        <f t="shared" si="13"/>
        <v>#DIV/0!</v>
      </c>
      <c r="J283" s="227"/>
      <c r="K283" s="227"/>
      <c r="L283" s="227"/>
      <c r="M283" s="227"/>
      <c r="N283" s="227"/>
      <c r="O283" s="172"/>
      <c r="P283" s="172"/>
      <c r="Q283" s="172"/>
      <c r="R283" s="172"/>
      <c r="S283" s="172"/>
      <c r="T283" s="172"/>
      <c r="U283" s="172"/>
      <c r="V283" s="172"/>
    </row>
    <row r="284" spans="1:22" ht="16.5" hidden="1" customHeight="1" x14ac:dyDescent="0.25">
      <c r="A284" s="228"/>
      <c r="B284" s="229"/>
      <c r="C284" s="230"/>
      <c r="D284" s="230"/>
      <c r="E284" s="230"/>
      <c r="F284" s="230"/>
      <c r="G284" s="230"/>
      <c r="H284" s="230"/>
      <c r="I284" s="157" t="e">
        <f t="shared" si="13"/>
        <v>#DIV/0!</v>
      </c>
      <c r="J284" s="227"/>
      <c r="K284" s="227"/>
      <c r="L284" s="227"/>
      <c r="M284" s="227"/>
      <c r="N284" s="227"/>
      <c r="O284" s="172"/>
      <c r="P284" s="172"/>
      <c r="Q284" s="172"/>
      <c r="R284" s="172"/>
      <c r="S284" s="172"/>
      <c r="T284" s="172"/>
      <c r="U284" s="172"/>
      <c r="V284" s="172"/>
    </row>
    <row r="285" spans="1:22" ht="16.5" hidden="1" customHeight="1" x14ac:dyDescent="0.25">
      <c r="A285" s="228"/>
      <c r="B285" s="229"/>
      <c r="C285" s="230"/>
      <c r="D285" s="230"/>
      <c r="E285" s="230"/>
      <c r="F285" s="230"/>
      <c r="G285" s="230"/>
      <c r="H285" s="230"/>
      <c r="I285" s="157" t="e">
        <f t="shared" si="13"/>
        <v>#DIV/0!</v>
      </c>
      <c r="J285" s="227"/>
      <c r="K285" s="227"/>
      <c r="L285" s="227"/>
      <c r="M285" s="227"/>
      <c r="N285" s="227"/>
      <c r="O285" s="172"/>
      <c r="P285" s="172"/>
      <c r="Q285" s="172"/>
      <c r="R285" s="172"/>
      <c r="S285" s="172"/>
      <c r="T285" s="172"/>
      <c r="U285" s="172"/>
      <c r="V285" s="172"/>
    </row>
    <row r="286" spans="1:22" ht="16.5" hidden="1" customHeight="1" x14ac:dyDescent="0.25">
      <c r="A286" s="228"/>
      <c r="B286" s="229"/>
      <c r="C286" s="230"/>
      <c r="D286" s="230"/>
      <c r="E286" s="230"/>
      <c r="F286" s="230"/>
      <c r="G286" s="230"/>
      <c r="H286" s="230"/>
      <c r="I286" s="157" t="e">
        <f t="shared" si="13"/>
        <v>#DIV/0!</v>
      </c>
      <c r="J286" s="227"/>
      <c r="K286" s="227"/>
      <c r="L286" s="227"/>
      <c r="M286" s="227"/>
      <c r="N286" s="227"/>
      <c r="O286" s="172"/>
      <c r="P286" s="172"/>
      <c r="Q286" s="172"/>
      <c r="R286" s="172"/>
      <c r="S286" s="172"/>
      <c r="T286" s="172"/>
      <c r="U286" s="172"/>
      <c r="V286" s="172"/>
    </row>
    <row r="287" spans="1:22" ht="16.5" hidden="1" customHeight="1" x14ac:dyDescent="0.25">
      <c r="A287" s="228"/>
      <c r="B287" s="229"/>
      <c r="C287" s="230"/>
      <c r="D287" s="230"/>
      <c r="E287" s="230"/>
      <c r="F287" s="230"/>
      <c r="G287" s="230"/>
      <c r="H287" s="230"/>
      <c r="I287" s="157" t="e">
        <f t="shared" si="13"/>
        <v>#DIV/0!</v>
      </c>
      <c r="J287" s="227"/>
      <c r="K287" s="227"/>
      <c r="L287" s="227"/>
      <c r="M287" s="227"/>
      <c r="N287" s="227"/>
      <c r="O287" s="172"/>
      <c r="P287" s="172"/>
      <c r="Q287" s="172"/>
      <c r="R287" s="172"/>
      <c r="S287" s="172"/>
      <c r="T287" s="172"/>
      <c r="U287" s="172"/>
      <c r="V287" s="172"/>
    </row>
    <row r="288" spans="1:22" ht="16.5" hidden="1" customHeight="1" x14ac:dyDescent="0.25">
      <c r="A288" s="228"/>
      <c r="B288" s="229"/>
      <c r="C288" s="230"/>
      <c r="D288" s="230"/>
      <c r="E288" s="230"/>
      <c r="F288" s="230"/>
      <c r="G288" s="230"/>
      <c r="H288" s="230"/>
      <c r="I288" s="157" t="e">
        <f t="shared" si="13"/>
        <v>#DIV/0!</v>
      </c>
      <c r="J288" s="227"/>
      <c r="K288" s="227"/>
      <c r="L288" s="227"/>
      <c r="M288" s="227"/>
      <c r="N288" s="227"/>
      <c r="O288" s="172"/>
      <c r="P288" s="172"/>
      <c r="Q288" s="172"/>
      <c r="R288" s="172"/>
      <c r="S288" s="172"/>
      <c r="T288" s="172"/>
      <c r="U288" s="172"/>
      <c r="V288" s="172"/>
    </row>
    <row r="289" spans="1:22" ht="16.5" hidden="1" customHeight="1" x14ac:dyDescent="0.25">
      <c r="A289" s="228"/>
      <c r="B289" s="229"/>
      <c r="C289" s="230"/>
      <c r="D289" s="230"/>
      <c r="E289" s="230"/>
      <c r="F289" s="230"/>
      <c r="G289" s="230"/>
      <c r="H289" s="230"/>
      <c r="I289" s="157" t="e">
        <f t="shared" si="13"/>
        <v>#DIV/0!</v>
      </c>
      <c r="J289" s="227"/>
      <c r="K289" s="227"/>
      <c r="L289" s="227"/>
      <c r="M289" s="227"/>
      <c r="N289" s="227"/>
      <c r="O289" s="172"/>
      <c r="P289" s="172"/>
      <c r="Q289" s="172"/>
      <c r="R289" s="172"/>
      <c r="S289" s="172"/>
      <c r="T289" s="172"/>
      <c r="U289" s="172"/>
      <c r="V289" s="172"/>
    </row>
    <row r="290" spans="1:22" ht="16.5" hidden="1" customHeight="1" x14ac:dyDescent="0.25">
      <c r="A290" s="228"/>
      <c r="B290" s="229"/>
      <c r="C290" s="230"/>
      <c r="D290" s="230"/>
      <c r="E290" s="230"/>
      <c r="F290" s="230"/>
      <c r="G290" s="230"/>
      <c r="H290" s="230"/>
      <c r="I290" s="157" t="e">
        <f t="shared" si="13"/>
        <v>#DIV/0!</v>
      </c>
      <c r="J290" s="227"/>
      <c r="K290" s="227"/>
      <c r="L290" s="227"/>
      <c r="M290" s="227"/>
      <c r="N290" s="227"/>
      <c r="O290" s="172"/>
      <c r="P290" s="172"/>
      <c r="Q290" s="172"/>
      <c r="R290" s="172"/>
      <c r="S290" s="172"/>
      <c r="T290" s="172"/>
      <c r="U290" s="172"/>
      <c r="V290" s="172"/>
    </row>
    <row r="291" spans="1:22" ht="16.5" hidden="1" customHeight="1" x14ac:dyDescent="0.25">
      <c r="A291" s="228"/>
      <c r="B291" s="229"/>
      <c r="C291" s="230"/>
      <c r="D291" s="230"/>
      <c r="E291" s="230"/>
      <c r="F291" s="230"/>
      <c r="G291" s="230"/>
      <c r="H291" s="230"/>
      <c r="I291" s="157" t="e">
        <f t="shared" si="13"/>
        <v>#DIV/0!</v>
      </c>
      <c r="J291" s="227"/>
      <c r="K291" s="227"/>
      <c r="L291" s="227"/>
      <c r="M291" s="227"/>
      <c r="N291" s="227"/>
      <c r="O291" s="172"/>
      <c r="P291" s="172"/>
      <c r="Q291" s="172"/>
      <c r="R291" s="172"/>
      <c r="S291" s="172"/>
      <c r="T291" s="172"/>
      <c r="U291" s="172"/>
      <c r="V291" s="172"/>
    </row>
    <row r="292" spans="1:22" ht="16.5" hidden="1" customHeight="1" x14ac:dyDescent="0.25">
      <c r="A292" s="228"/>
      <c r="B292" s="229"/>
      <c r="C292" s="230"/>
      <c r="D292" s="230"/>
      <c r="E292" s="230"/>
      <c r="F292" s="230"/>
      <c r="G292" s="230"/>
      <c r="H292" s="230"/>
      <c r="I292" s="157" t="e">
        <f t="shared" si="13"/>
        <v>#DIV/0!</v>
      </c>
      <c r="J292" s="227"/>
      <c r="K292" s="227"/>
      <c r="L292" s="227"/>
      <c r="M292" s="227"/>
      <c r="N292" s="227"/>
      <c r="O292" s="172"/>
      <c r="P292" s="172"/>
      <c r="Q292" s="172"/>
      <c r="R292" s="172"/>
      <c r="S292" s="172"/>
      <c r="T292" s="172"/>
      <c r="U292" s="172"/>
      <c r="V292" s="172"/>
    </row>
    <row r="293" spans="1:22" ht="16.5" hidden="1" customHeight="1" x14ac:dyDescent="0.25">
      <c r="A293" s="228"/>
      <c r="B293" s="229"/>
      <c r="C293" s="230"/>
      <c r="D293" s="230"/>
      <c r="E293" s="230"/>
      <c r="F293" s="230"/>
      <c r="G293" s="230"/>
      <c r="H293" s="230"/>
      <c r="I293" s="157" t="e">
        <f t="shared" si="13"/>
        <v>#DIV/0!</v>
      </c>
      <c r="J293" s="227"/>
      <c r="K293" s="227"/>
      <c r="L293" s="227"/>
      <c r="M293" s="227"/>
      <c r="N293" s="227"/>
      <c r="O293" s="172"/>
      <c r="P293" s="172"/>
      <c r="Q293" s="172"/>
      <c r="R293" s="172"/>
      <c r="S293" s="172"/>
      <c r="T293" s="172"/>
      <c r="U293" s="172"/>
      <c r="V293" s="172"/>
    </row>
    <row r="294" spans="1:22" ht="16.5" hidden="1" customHeight="1" x14ac:dyDescent="0.25">
      <c r="A294" s="228"/>
      <c r="B294" s="229"/>
      <c r="C294" s="230"/>
      <c r="D294" s="230"/>
      <c r="E294" s="230"/>
      <c r="F294" s="230"/>
      <c r="G294" s="230"/>
      <c r="H294" s="230"/>
      <c r="I294" s="157" t="e">
        <f t="shared" si="13"/>
        <v>#DIV/0!</v>
      </c>
      <c r="J294" s="227"/>
      <c r="K294" s="227"/>
      <c r="L294" s="227"/>
      <c r="M294" s="227"/>
      <c r="N294" s="227"/>
      <c r="O294" s="172"/>
      <c r="P294" s="172"/>
      <c r="Q294" s="172"/>
      <c r="R294" s="172"/>
      <c r="S294" s="172"/>
      <c r="T294" s="172"/>
      <c r="U294" s="172"/>
      <c r="V294" s="172"/>
    </row>
    <row r="295" spans="1:22" ht="16.5" hidden="1" customHeight="1" x14ac:dyDescent="0.25">
      <c r="A295" s="228"/>
      <c r="B295" s="229"/>
      <c r="C295" s="230"/>
      <c r="D295" s="230"/>
      <c r="E295" s="230"/>
      <c r="F295" s="230"/>
      <c r="G295" s="230"/>
      <c r="H295" s="230"/>
      <c r="I295" s="157" t="e">
        <f t="shared" si="13"/>
        <v>#DIV/0!</v>
      </c>
      <c r="J295" s="227"/>
      <c r="K295" s="227"/>
      <c r="L295" s="227"/>
      <c r="M295" s="227"/>
      <c r="N295" s="227"/>
      <c r="O295" s="172"/>
      <c r="P295" s="172"/>
      <c r="Q295" s="172"/>
      <c r="R295" s="172"/>
      <c r="S295" s="172"/>
      <c r="T295" s="172"/>
      <c r="U295" s="172"/>
      <c r="V295" s="172"/>
    </row>
    <row r="296" spans="1:22" ht="16.5" hidden="1" customHeight="1" x14ac:dyDescent="0.25">
      <c r="A296" s="228"/>
      <c r="B296" s="229"/>
      <c r="C296" s="230"/>
      <c r="D296" s="230"/>
      <c r="E296" s="230"/>
      <c r="F296" s="230"/>
      <c r="G296" s="230"/>
      <c r="H296" s="230"/>
      <c r="I296" s="157" t="e">
        <f t="shared" si="13"/>
        <v>#DIV/0!</v>
      </c>
      <c r="J296" s="227"/>
      <c r="K296" s="227"/>
      <c r="L296" s="227"/>
      <c r="M296" s="227"/>
      <c r="N296" s="227"/>
      <c r="O296" s="172"/>
      <c r="P296" s="172"/>
      <c r="Q296" s="172"/>
      <c r="R296" s="172"/>
      <c r="S296" s="172"/>
      <c r="T296" s="172"/>
      <c r="U296" s="172"/>
      <c r="V296" s="172"/>
    </row>
    <row r="297" spans="1:22" ht="16.5" hidden="1" customHeight="1" x14ac:dyDescent="0.25">
      <c r="A297" s="228"/>
      <c r="B297" s="229"/>
      <c r="C297" s="230"/>
      <c r="D297" s="230"/>
      <c r="E297" s="230"/>
      <c r="F297" s="230"/>
      <c r="G297" s="230"/>
      <c r="H297" s="230"/>
      <c r="I297" s="157" t="e">
        <f t="shared" si="13"/>
        <v>#DIV/0!</v>
      </c>
      <c r="J297" s="227"/>
      <c r="K297" s="227"/>
      <c r="L297" s="227"/>
      <c r="M297" s="227"/>
      <c r="N297" s="227"/>
      <c r="O297" s="172"/>
      <c r="P297" s="172"/>
      <c r="Q297" s="172"/>
      <c r="R297" s="172"/>
      <c r="S297" s="172"/>
      <c r="T297" s="172"/>
      <c r="U297" s="172"/>
      <c r="V297" s="172"/>
    </row>
    <row r="298" spans="1:22" ht="16.5" hidden="1" customHeight="1" x14ac:dyDescent="0.25">
      <c r="A298" s="228"/>
      <c r="B298" s="229"/>
      <c r="C298" s="230"/>
      <c r="D298" s="230"/>
      <c r="E298" s="230"/>
      <c r="F298" s="230"/>
      <c r="G298" s="230"/>
      <c r="H298" s="230"/>
      <c r="I298" s="157" t="e">
        <f t="shared" si="13"/>
        <v>#DIV/0!</v>
      </c>
      <c r="J298" s="227"/>
      <c r="K298" s="227"/>
      <c r="L298" s="227"/>
      <c r="M298" s="227"/>
      <c r="N298" s="227"/>
      <c r="O298" s="172"/>
      <c r="P298" s="172"/>
      <c r="Q298" s="172"/>
      <c r="R298" s="172"/>
      <c r="S298" s="172"/>
      <c r="T298" s="172"/>
      <c r="U298" s="172"/>
      <c r="V298" s="172"/>
    </row>
    <row r="299" spans="1:22" ht="16.5" hidden="1" customHeight="1" x14ac:dyDescent="0.25">
      <c r="A299" s="228"/>
      <c r="B299" s="229"/>
      <c r="C299" s="230"/>
      <c r="D299" s="230"/>
      <c r="E299" s="230"/>
      <c r="F299" s="230"/>
      <c r="G299" s="230"/>
      <c r="H299" s="230"/>
      <c r="I299" s="157" t="e">
        <f t="shared" si="13"/>
        <v>#DIV/0!</v>
      </c>
      <c r="J299" s="227"/>
      <c r="K299" s="227"/>
      <c r="L299" s="227"/>
      <c r="M299" s="227"/>
      <c r="N299" s="227"/>
      <c r="O299" s="172"/>
      <c r="P299" s="172"/>
      <c r="Q299" s="172"/>
      <c r="R299" s="172"/>
      <c r="S299" s="172"/>
      <c r="T299" s="172"/>
      <c r="U299" s="172"/>
      <c r="V299" s="172"/>
    </row>
    <row r="300" spans="1:22" ht="16.5" hidden="1" customHeight="1" x14ac:dyDescent="0.25">
      <c r="A300" s="228"/>
      <c r="B300" s="229"/>
      <c r="C300" s="230"/>
      <c r="D300" s="230"/>
      <c r="E300" s="230"/>
      <c r="F300" s="230"/>
      <c r="G300" s="230"/>
      <c r="H300" s="230"/>
      <c r="I300" s="157" t="e">
        <f t="shared" si="13"/>
        <v>#DIV/0!</v>
      </c>
      <c r="J300" s="227"/>
      <c r="K300" s="227"/>
      <c r="L300" s="227"/>
      <c r="M300" s="227"/>
      <c r="N300" s="227"/>
      <c r="O300" s="172"/>
      <c r="P300" s="172"/>
      <c r="Q300" s="172"/>
      <c r="R300" s="172"/>
      <c r="S300" s="172"/>
      <c r="T300" s="172"/>
      <c r="U300" s="172"/>
      <c r="V300" s="172"/>
    </row>
    <row r="301" spans="1:22" ht="16.5" hidden="1" customHeight="1" x14ac:dyDescent="0.25">
      <c r="A301" s="228"/>
      <c r="B301" s="229"/>
      <c r="C301" s="230"/>
      <c r="D301" s="230"/>
      <c r="E301" s="230"/>
      <c r="F301" s="230"/>
      <c r="G301" s="230"/>
      <c r="H301" s="230"/>
      <c r="I301" s="157" t="e">
        <f t="shared" si="13"/>
        <v>#DIV/0!</v>
      </c>
      <c r="J301" s="227"/>
      <c r="K301" s="227"/>
      <c r="L301" s="227"/>
      <c r="M301" s="227"/>
      <c r="N301" s="227"/>
      <c r="O301" s="172"/>
      <c r="P301" s="172"/>
      <c r="Q301" s="172"/>
      <c r="R301" s="172"/>
      <c r="S301" s="172"/>
      <c r="T301" s="172"/>
      <c r="U301" s="172"/>
      <c r="V301" s="172"/>
    </row>
    <row r="302" spans="1:22" ht="16.5" hidden="1" customHeight="1" x14ac:dyDescent="0.25">
      <c r="A302" s="228"/>
      <c r="B302" s="229"/>
      <c r="C302" s="230"/>
      <c r="D302" s="230"/>
      <c r="E302" s="230"/>
      <c r="F302" s="230"/>
      <c r="G302" s="230"/>
      <c r="H302" s="230"/>
      <c r="I302" s="157" t="e">
        <f t="shared" si="13"/>
        <v>#DIV/0!</v>
      </c>
      <c r="J302" s="227"/>
      <c r="K302" s="227"/>
      <c r="L302" s="227"/>
      <c r="M302" s="227"/>
      <c r="N302" s="227"/>
      <c r="O302" s="172"/>
      <c r="P302" s="172"/>
      <c r="Q302" s="172"/>
      <c r="R302" s="172"/>
      <c r="S302" s="172"/>
      <c r="T302" s="172"/>
      <c r="U302" s="172"/>
      <c r="V302" s="172"/>
    </row>
    <row r="303" spans="1:22" ht="16.5" hidden="1" customHeight="1" x14ac:dyDescent="0.25">
      <c r="A303" s="228"/>
      <c r="B303" s="229"/>
      <c r="C303" s="230"/>
      <c r="D303" s="230"/>
      <c r="E303" s="230"/>
      <c r="F303" s="230"/>
      <c r="G303" s="230"/>
      <c r="H303" s="230"/>
      <c r="I303" s="157" t="e">
        <f t="shared" si="13"/>
        <v>#DIV/0!</v>
      </c>
      <c r="J303" s="227"/>
      <c r="K303" s="227"/>
      <c r="L303" s="227"/>
      <c r="M303" s="227"/>
      <c r="N303" s="227"/>
      <c r="O303" s="172"/>
      <c r="P303" s="172"/>
      <c r="Q303" s="172"/>
      <c r="R303" s="172"/>
      <c r="S303" s="172"/>
      <c r="T303" s="172"/>
      <c r="U303" s="172"/>
      <c r="V303" s="172"/>
    </row>
    <row r="304" spans="1:22" ht="16.5" hidden="1" customHeight="1" x14ac:dyDescent="0.25">
      <c r="A304" s="228"/>
      <c r="B304" s="229"/>
      <c r="C304" s="230"/>
      <c r="D304" s="230"/>
      <c r="E304" s="230"/>
      <c r="F304" s="230"/>
      <c r="G304" s="230"/>
      <c r="H304" s="230"/>
      <c r="I304" s="157" t="e">
        <f t="shared" si="13"/>
        <v>#DIV/0!</v>
      </c>
      <c r="J304" s="227"/>
      <c r="K304" s="227"/>
      <c r="L304" s="227"/>
      <c r="M304" s="227"/>
      <c r="N304" s="227"/>
      <c r="O304" s="172"/>
      <c r="P304" s="172"/>
      <c r="Q304" s="172"/>
      <c r="R304" s="172"/>
      <c r="S304" s="172"/>
      <c r="T304" s="172"/>
      <c r="U304" s="172"/>
      <c r="V304" s="172"/>
    </row>
    <row r="305" spans="1:22" ht="16.5" hidden="1" customHeight="1" x14ac:dyDescent="0.25">
      <c r="A305" s="228"/>
      <c r="B305" s="229"/>
      <c r="C305" s="230"/>
      <c r="D305" s="230"/>
      <c r="E305" s="230"/>
      <c r="F305" s="230"/>
      <c r="G305" s="230"/>
      <c r="H305" s="230"/>
      <c r="I305" s="157" t="e">
        <f t="shared" si="13"/>
        <v>#DIV/0!</v>
      </c>
      <c r="J305" s="227"/>
      <c r="K305" s="227"/>
      <c r="L305" s="227"/>
      <c r="M305" s="227"/>
      <c r="N305" s="227"/>
      <c r="O305" s="172"/>
      <c r="P305" s="172"/>
      <c r="Q305" s="172"/>
      <c r="R305" s="172"/>
      <c r="S305" s="172"/>
      <c r="T305" s="172"/>
      <c r="U305" s="172"/>
      <c r="V305" s="172"/>
    </row>
    <row r="306" spans="1:22" ht="16.5" hidden="1" customHeight="1" x14ac:dyDescent="0.25">
      <c r="A306" s="228"/>
      <c r="B306" s="229"/>
      <c r="C306" s="230"/>
      <c r="D306" s="230"/>
      <c r="E306" s="230"/>
      <c r="F306" s="230"/>
      <c r="G306" s="230"/>
      <c r="H306" s="230"/>
      <c r="I306" s="157" t="e">
        <f t="shared" si="13"/>
        <v>#DIV/0!</v>
      </c>
      <c r="J306" s="227"/>
      <c r="K306" s="227"/>
      <c r="L306" s="227"/>
      <c r="M306" s="227"/>
      <c r="N306" s="227"/>
      <c r="O306" s="172"/>
      <c r="P306" s="172"/>
      <c r="Q306" s="172"/>
      <c r="R306" s="172"/>
      <c r="S306" s="172"/>
      <c r="T306" s="172"/>
      <c r="U306" s="172"/>
      <c r="V306" s="172"/>
    </row>
    <row r="307" spans="1:22" ht="16.5" hidden="1" customHeight="1" x14ac:dyDescent="0.25">
      <c r="A307" s="228"/>
      <c r="B307" s="229"/>
      <c r="C307" s="230"/>
      <c r="D307" s="230"/>
      <c r="E307" s="230"/>
      <c r="F307" s="230"/>
      <c r="G307" s="230"/>
      <c r="H307" s="230"/>
      <c r="I307" s="157" t="e">
        <f t="shared" si="13"/>
        <v>#DIV/0!</v>
      </c>
      <c r="J307" s="227"/>
      <c r="K307" s="227"/>
      <c r="L307" s="227"/>
      <c r="M307" s="227"/>
      <c r="N307" s="227"/>
      <c r="O307" s="172"/>
      <c r="P307" s="172"/>
      <c r="Q307" s="172"/>
      <c r="R307" s="172"/>
      <c r="S307" s="172"/>
      <c r="T307" s="172"/>
      <c r="U307" s="172"/>
      <c r="V307" s="172"/>
    </row>
    <row r="308" spans="1:22" ht="16.5" hidden="1" customHeight="1" x14ac:dyDescent="0.25">
      <c r="A308" s="228"/>
      <c r="B308" s="229"/>
      <c r="C308" s="230"/>
      <c r="D308" s="230"/>
      <c r="E308" s="230"/>
      <c r="F308" s="230"/>
      <c r="G308" s="230"/>
      <c r="H308" s="230"/>
      <c r="I308" s="157" t="e">
        <f t="shared" si="13"/>
        <v>#DIV/0!</v>
      </c>
      <c r="J308" s="227"/>
      <c r="K308" s="227"/>
      <c r="L308" s="227"/>
      <c r="M308" s="227"/>
      <c r="N308" s="227"/>
      <c r="O308" s="172"/>
      <c r="P308" s="172"/>
      <c r="Q308" s="172"/>
      <c r="R308" s="172"/>
      <c r="S308" s="172"/>
      <c r="T308" s="172"/>
      <c r="U308" s="172"/>
      <c r="V308" s="172"/>
    </row>
    <row r="309" spans="1:22" ht="16.5" hidden="1" customHeight="1" x14ac:dyDescent="0.25">
      <c r="A309" s="228"/>
      <c r="B309" s="229"/>
      <c r="C309" s="230"/>
      <c r="D309" s="230"/>
      <c r="E309" s="230"/>
      <c r="F309" s="230"/>
      <c r="G309" s="230"/>
      <c r="H309" s="230"/>
      <c r="I309" s="157" t="e">
        <f t="shared" si="13"/>
        <v>#DIV/0!</v>
      </c>
      <c r="J309" s="227"/>
      <c r="K309" s="227"/>
      <c r="L309" s="227"/>
      <c r="M309" s="227"/>
      <c r="N309" s="227"/>
      <c r="O309" s="172"/>
      <c r="P309" s="172"/>
      <c r="Q309" s="172"/>
      <c r="R309" s="172"/>
      <c r="S309" s="172"/>
      <c r="T309" s="172"/>
      <c r="U309" s="172"/>
      <c r="V309" s="172"/>
    </row>
    <row r="310" spans="1:22" ht="16.5" hidden="1" customHeight="1" x14ac:dyDescent="0.25">
      <c r="A310" s="228"/>
      <c r="B310" s="229"/>
      <c r="C310" s="230"/>
      <c r="D310" s="230"/>
      <c r="E310" s="230"/>
      <c r="F310" s="230"/>
      <c r="G310" s="230"/>
      <c r="H310" s="230"/>
      <c r="I310" s="157" t="e">
        <f t="shared" si="13"/>
        <v>#DIV/0!</v>
      </c>
      <c r="J310" s="227"/>
      <c r="K310" s="227"/>
      <c r="L310" s="227"/>
      <c r="M310" s="227"/>
      <c r="N310" s="227"/>
      <c r="O310" s="172"/>
      <c r="P310" s="172"/>
      <c r="Q310" s="172"/>
      <c r="R310" s="172"/>
      <c r="S310" s="172"/>
      <c r="T310" s="172"/>
      <c r="U310" s="172"/>
      <c r="V310" s="172"/>
    </row>
    <row r="311" spans="1:22" ht="16.5" hidden="1" customHeight="1" x14ac:dyDescent="0.25">
      <c r="A311" s="228"/>
      <c r="B311" s="229"/>
      <c r="C311" s="230"/>
      <c r="D311" s="230"/>
      <c r="E311" s="230"/>
      <c r="F311" s="230"/>
      <c r="G311" s="230"/>
      <c r="H311" s="230"/>
      <c r="I311" s="157" t="e">
        <f t="shared" si="13"/>
        <v>#DIV/0!</v>
      </c>
      <c r="J311" s="227"/>
      <c r="K311" s="227"/>
      <c r="L311" s="227"/>
      <c r="M311" s="227"/>
      <c r="N311" s="227"/>
      <c r="O311" s="172"/>
      <c r="P311" s="172"/>
      <c r="Q311" s="172"/>
      <c r="R311" s="172"/>
      <c r="S311" s="172"/>
      <c r="T311" s="172"/>
      <c r="U311" s="172"/>
      <c r="V311" s="172"/>
    </row>
    <row r="312" spans="1:22" ht="16.5" hidden="1" customHeight="1" x14ac:dyDescent="0.25">
      <c r="A312" s="228"/>
      <c r="B312" s="229"/>
      <c r="C312" s="230"/>
      <c r="D312" s="230"/>
      <c r="E312" s="230"/>
      <c r="F312" s="230"/>
      <c r="G312" s="230"/>
      <c r="H312" s="230"/>
      <c r="I312" s="157" t="e">
        <f t="shared" si="13"/>
        <v>#DIV/0!</v>
      </c>
      <c r="J312" s="227"/>
      <c r="K312" s="227"/>
      <c r="L312" s="227"/>
      <c r="M312" s="227"/>
      <c r="N312" s="227"/>
      <c r="O312" s="172"/>
      <c r="P312" s="172"/>
      <c r="Q312" s="172"/>
      <c r="R312" s="172"/>
      <c r="S312" s="172"/>
      <c r="T312" s="172"/>
      <c r="U312" s="172"/>
      <c r="V312" s="172"/>
    </row>
    <row r="313" spans="1:22" ht="16.5" hidden="1" customHeight="1" x14ac:dyDescent="0.25">
      <c r="A313" s="228"/>
      <c r="B313" s="229"/>
      <c r="C313" s="230"/>
      <c r="D313" s="230"/>
      <c r="E313" s="230"/>
      <c r="F313" s="230"/>
      <c r="G313" s="230"/>
      <c r="H313" s="230"/>
      <c r="I313" s="157" t="e">
        <f t="shared" si="13"/>
        <v>#DIV/0!</v>
      </c>
      <c r="J313" s="227"/>
      <c r="K313" s="227"/>
      <c r="L313" s="227"/>
      <c r="M313" s="227"/>
      <c r="N313" s="227"/>
      <c r="O313" s="172"/>
      <c r="P313" s="172"/>
      <c r="Q313" s="172"/>
      <c r="R313" s="172"/>
      <c r="S313" s="172"/>
      <c r="T313" s="172"/>
      <c r="U313" s="172"/>
      <c r="V313" s="172"/>
    </row>
    <row r="314" spans="1:22" ht="16.5" hidden="1" customHeight="1" x14ac:dyDescent="0.25">
      <c r="A314" s="228"/>
      <c r="B314" s="229"/>
      <c r="C314" s="230"/>
      <c r="D314" s="230"/>
      <c r="E314" s="230"/>
      <c r="F314" s="230"/>
      <c r="G314" s="230"/>
      <c r="H314" s="230"/>
      <c r="I314" s="157" t="e">
        <f t="shared" si="13"/>
        <v>#DIV/0!</v>
      </c>
      <c r="J314" s="227"/>
      <c r="K314" s="227"/>
      <c r="L314" s="227"/>
      <c r="M314" s="227"/>
      <c r="N314" s="227"/>
      <c r="O314" s="172"/>
      <c r="P314" s="172"/>
      <c r="Q314" s="172"/>
      <c r="R314" s="172"/>
      <c r="S314" s="172"/>
      <c r="T314" s="172"/>
      <c r="U314" s="172"/>
      <c r="V314" s="172"/>
    </row>
    <row r="315" spans="1:22" ht="16.5" hidden="1" customHeight="1" x14ac:dyDescent="0.25">
      <c r="A315" s="228"/>
      <c r="B315" s="229"/>
      <c r="C315" s="230"/>
      <c r="D315" s="230"/>
      <c r="E315" s="230"/>
      <c r="F315" s="230"/>
      <c r="G315" s="230"/>
      <c r="H315" s="230"/>
      <c r="I315" s="157" t="e">
        <f t="shared" si="13"/>
        <v>#DIV/0!</v>
      </c>
      <c r="J315" s="227"/>
      <c r="K315" s="227"/>
      <c r="L315" s="227"/>
      <c r="M315" s="227"/>
      <c r="N315" s="227"/>
      <c r="O315" s="172"/>
      <c r="P315" s="172"/>
      <c r="Q315" s="172"/>
      <c r="R315" s="172"/>
      <c r="S315" s="172"/>
      <c r="T315" s="172"/>
      <c r="U315" s="172"/>
      <c r="V315" s="172"/>
    </row>
    <row r="316" spans="1:22" ht="16.5" hidden="1" customHeight="1" x14ac:dyDescent="0.25">
      <c r="A316" s="228"/>
      <c r="B316" s="229"/>
      <c r="C316" s="230"/>
      <c r="D316" s="230"/>
      <c r="E316" s="230"/>
      <c r="F316" s="230"/>
      <c r="G316" s="230"/>
      <c r="H316" s="230"/>
      <c r="I316" s="157" t="e">
        <f t="shared" si="13"/>
        <v>#DIV/0!</v>
      </c>
      <c r="J316" s="227"/>
      <c r="K316" s="227"/>
      <c r="L316" s="227"/>
      <c r="M316" s="227"/>
      <c r="N316" s="227"/>
      <c r="O316" s="172"/>
      <c r="P316" s="172"/>
      <c r="Q316" s="172"/>
      <c r="R316" s="172"/>
      <c r="S316" s="172"/>
      <c r="T316" s="172"/>
      <c r="U316" s="172"/>
      <c r="V316" s="172"/>
    </row>
    <row r="317" spans="1:22" ht="16.5" hidden="1" customHeight="1" x14ac:dyDescent="0.25">
      <c r="A317" s="228"/>
      <c r="B317" s="229"/>
      <c r="C317" s="230"/>
      <c r="D317" s="230"/>
      <c r="E317" s="230"/>
      <c r="F317" s="230"/>
      <c r="G317" s="230"/>
      <c r="H317" s="230"/>
      <c r="I317" s="157" t="e">
        <f t="shared" si="13"/>
        <v>#DIV/0!</v>
      </c>
      <c r="J317" s="227"/>
      <c r="K317" s="227"/>
      <c r="L317" s="227"/>
      <c r="M317" s="227"/>
      <c r="N317" s="227"/>
      <c r="O317" s="172"/>
      <c r="P317" s="172"/>
      <c r="Q317" s="172"/>
      <c r="R317" s="172"/>
      <c r="S317" s="172"/>
      <c r="T317" s="172"/>
      <c r="U317" s="172"/>
      <c r="V317" s="172"/>
    </row>
    <row r="318" spans="1:22" ht="16.5" hidden="1" customHeight="1" x14ac:dyDescent="0.25">
      <c r="A318" s="228"/>
      <c r="B318" s="229"/>
      <c r="C318" s="230"/>
      <c r="D318" s="230"/>
      <c r="E318" s="230"/>
      <c r="F318" s="230"/>
      <c r="G318" s="230"/>
      <c r="H318" s="230"/>
      <c r="I318" s="157" t="e">
        <f t="shared" si="13"/>
        <v>#DIV/0!</v>
      </c>
      <c r="J318" s="227"/>
      <c r="K318" s="227"/>
      <c r="L318" s="227"/>
      <c r="M318" s="227"/>
      <c r="N318" s="227"/>
      <c r="O318" s="172"/>
      <c r="P318" s="172"/>
      <c r="Q318" s="172"/>
      <c r="R318" s="172"/>
      <c r="S318" s="172"/>
      <c r="T318" s="172"/>
      <c r="U318" s="172"/>
      <c r="V318" s="172"/>
    </row>
    <row r="319" spans="1:22" ht="16.5" hidden="1" customHeight="1" x14ac:dyDescent="0.25">
      <c r="A319" s="228"/>
      <c r="B319" s="229"/>
      <c r="C319" s="230"/>
      <c r="D319" s="230"/>
      <c r="E319" s="230"/>
      <c r="F319" s="230"/>
      <c r="G319" s="230"/>
      <c r="H319" s="230"/>
      <c r="I319" s="157" t="e">
        <f t="shared" si="13"/>
        <v>#DIV/0!</v>
      </c>
      <c r="J319" s="227"/>
      <c r="K319" s="227"/>
      <c r="L319" s="227"/>
      <c r="M319" s="227"/>
      <c r="N319" s="227"/>
      <c r="O319" s="172"/>
      <c r="P319" s="172"/>
      <c r="Q319" s="172"/>
      <c r="R319" s="172"/>
      <c r="S319" s="172"/>
      <c r="T319" s="172"/>
      <c r="U319" s="172"/>
      <c r="V319" s="172"/>
    </row>
    <row r="320" spans="1:22" ht="16.5" hidden="1" customHeight="1" x14ac:dyDescent="0.25">
      <c r="A320" s="228"/>
      <c r="B320" s="229"/>
      <c r="C320" s="230"/>
      <c r="D320" s="230"/>
      <c r="E320" s="230"/>
      <c r="F320" s="230"/>
      <c r="G320" s="230"/>
      <c r="H320" s="230"/>
      <c r="I320" s="157" t="e">
        <f t="shared" si="13"/>
        <v>#DIV/0!</v>
      </c>
      <c r="J320" s="227"/>
      <c r="K320" s="227"/>
      <c r="L320" s="227"/>
      <c r="M320" s="227"/>
      <c r="N320" s="227"/>
      <c r="O320" s="172"/>
      <c r="P320" s="172"/>
      <c r="Q320" s="172"/>
      <c r="R320" s="172"/>
      <c r="S320" s="172"/>
      <c r="T320" s="172"/>
      <c r="U320" s="172"/>
      <c r="V320" s="172"/>
    </row>
    <row r="321" spans="1:22" ht="16.5" hidden="1" customHeight="1" x14ac:dyDescent="0.25">
      <c r="A321" s="228"/>
      <c r="B321" s="229"/>
      <c r="C321" s="230"/>
      <c r="D321" s="230"/>
      <c r="E321" s="230"/>
      <c r="F321" s="230"/>
      <c r="G321" s="230"/>
      <c r="H321" s="230"/>
      <c r="I321" s="157" t="e">
        <f t="shared" si="13"/>
        <v>#DIV/0!</v>
      </c>
      <c r="J321" s="227"/>
      <c r="K321" s="227"/>
      <c r="L321" s="227"/>
      <c r="M321" s="227"/>
      <c r="N321" s="227"/>
      <c r="O321" s="172"/>
      <c r="P321" s="172"/>
      <c r="Q321" s="172"/>
      <c r="R321" s="172"/>
      <c r="S321" s="172"/>
      <c r="T321" s="172"/>
      <c r="U321" s="172"/>
      <c r="V321" s="172"/>
    </row>
    <row r="322" spans="1:22" ht="16.5" hidden="1" customHeight="1" x14ac:dyDescent="0.25">
      <c r="A322" s="228"/>
      <c r="B322" s="229"/>
      <c r="C322" s="230"/>
      <c r="D322" s="230"/>
      <c r="E322" s="230"/>
      <c r="F322" s="230"/>
      <c r="G322" s="230"/>
      <c r="H322" s="230"/>
      <c r="I322" s="157" t="e">
        <f t="shared" si="13"/>
        <v>#DIV/0!</v>
      </c>
      <c r="J322" s="227"/>
      <c r="K322" s="227"/>
      <c r="L322" s="227"/>
      <c r="M322" s="227"/>
      <c r="N322" s="227"/>
      <c r="O322" s="172"/>
      <c r="P322" s="172"/>
      <c r="Q322" s="172"/>
      <c r="R322" s="172"/>
      <c r="S322" s="172"/>
      <c r="T322" s="172"/>
      <c r="U322" s="172"/>
      <c r="V322" s="172"/>
    </row>
    <row r="323" spans="1:22" ht="16.5" hidden="1" customHeight="1" x14ac:dyDescent="0.25">
      <c r="A323" s="228"/>
      <c r="B323" s="229"/>
      <c r="C323" s="230"/>
      <c r="D323" s="230"/>
      <c r="E323" s="230"/>
      <c r="F323" s="230"/>
      <c r="G323" s="230"/>
      <c r="H323" s="230"/>
      <c r="I323" s="157" t="e">
        <f t="shared" si="13"/>
        <v>#DIV/0!</v>
      </c>
      <c r="J323" s="227"/>
      <c r="K323" s="227"/>
      <c r="L323" s="227"/>
      <c r="M323" s="227"/>
      <c r="N323" s="227"/>
      <c r="O323" s="172"/>
      <c r="P323" s="172"/>
      <c r="Q323" s="172"/>
      <c r="R323" s="172"/>
      <c r="S323" s="172"/>
      <c r="T323" s="172"/>
      <c r="U323" s="172"/>
      <c r="V323" s="172"/>
    </row>
    <row r="324" spans="1:22" ht="16.5" hidden="1" customHeight="1" x14ac:dyDescent="0.25">
      <c r="A324" s="228"/>
      <c r="B324" s="229"/>
      <c r="C324" s="230"/>
      <c r="D324" s="230"/>
      <c r="E324" s="230"/>
      <c r="F324" s="230"/>
      <c r="G324" s="230"/>
      <c r="H324" s="230"/>
      <c r="I324" s="157" t="e">
        <f t="shared" si="13"/>
        <v>#DIV/0!</v>
      </c>
      <c r="J324" s="227"/>
      <c r="K324" s="227"/>
      <c r="L324" s="227"/>
      <c r="M324" s="227"/>
      <c r="N324" s="227"/>
      <c r="O324" s="172"/>
      <c r="P324" s="172"/>
      <c r="Q324" s="172"/>
      <c r="R324" s="172"/>
      <c r="S324" s="172"/>
      <c r="T324" s="172"/>
      <c r="U324" s="172"/>
      <c r="V324" s="172"/>
    </row>
    <row r="325" spans="1:22" ht="16.5" hidden="1" customHeight="1" x14ac:dyDescent="0.25">
      <c r="A325" s="228"/>
      <c r="B325" s="229"/>
      <c r="C325" s="230"/>
      <c r="D325" s="230"/>
      <c r="E325" s="230"/>
      <c r="F325" s="230"/>
      <c r="G325" s="230"/>
      <c r="H325" s="230"/>
      <c r="I325" s="157" t="e">
        <f t="shared" si="13"/>
        <v>#DIV/0!</v>
      </c>
      <c r="J325" s="227"/>
      <c r="K325" s="227"/>
      <c r="L325" s="227"/>
      <c r="M325" s="227"/>
      <c r="N325" s="227"/>
      <c r="O325" s="172"/>
      <c r="P325" s="172"/>
      <c r="Q325" s="172"/>
      <c r="R325" s="172"/>
      <c r="S325" s="172"/>
      <c r="T325" s="172"/>
      <c r="U325" s="172"/>
      <c r="V325" s="172"/>
    </row>
    <row r="326" spans="1:22" ht="16.5" hidden="1" customHeight="1" x14ac:dyDescent="0.25">
      <c r="A326" s="228"/>
      <c r="B326" s="229"/>
      <c r="C326" s="230"/>
      <c r="D326" s="230"/>
      <c r="E326" s="230"/>
      <c r="F326" s="230"/>
      <c r="G326" s="230"/>
      <c r="H326" s="230"/>
      <c r="I326" s="157" t="e">
        <f t="shared" si="13"/>
        <v>#DIV/0!</v>
      </c>
      <c r="J326" s="227"/>
      <c r="K326" s="227"/>
      <c r="L326" s="227"/>
      <c r="M326" s="227"/>
      <c r="N326" s="227"/>
      <c r="O326" s="172"/>
      <c r="P326" s="172"/>
      <c r="Q326" s="172"/>
      <c r="R326" s="172"/>
      <c r="S326" s="172"/>
      <c r="T326" s="172"/>
      <c r="U326" s="172"/>
      <c r="V326" s="172"/>
    </row>
    <row r="327" spans="1:22" ht="16.5" hidden="1" customHeight="1" x14ac:dyDescent="0.25">
      <c r="A327" s="228"/>
      <c r="B327" s="229"/>
      <c r="C327" s="230"/>
      <c r="D327" s="230"/>
      <c r="E327" s="230"/>
      <c r="F327" s="230"/>
      <c r="G327" s="230"/>
      <c r="H327" s="230"/>
      <c r="I327" s="157" t="e">
        <f t="shared" si="13"/>
        <v>#DIV/0!</v>
      </c>
      <c r="J327" s="227"/>
      <c r="K327" s="227"/>
      <c r="L327" s="227"/>
      <c r="M327" s="227"/>
      <c r="N327" s="227"/>
      <c r="O327" s="172"/>
      <c r="P327" s="172"/>
      <c r="Q327" s="172"/>
      <c r="R327" s="172"/>
      <c r="S327" s="172"/>
      <c r="T327" s="172"/>
      <c r="U327" s="172"/>
      <c r="V327" s="172"/>
    </row>
    <row r="328" spans="1:22" ht="16.5" hidden="1" customHeight="1" x14ac:dyDescent="0.25">
      <c r="A328" s="228"/>
      <c r="B328" s="229"/>
      <c r="C328" s="230"/>
      <c r="D328" s="230"/>
      <c r="E328" s="230"/>
      <c r="F328" s="230"/>
      <c r="G328" s="230"/>
      <c r="H328" s="230"/>
      <c r="I328" s="157" t="e">
        <f t="shared" si="13"/>
        <v>#DIV/0!</v>
      </c>
      <c r="J328" s="227"/>
      <c r="K328" s="227"/>
      <c r="L328" s="227"/>
      <c r="M328" s="227"/>
      <c r="N328" s="227"/>
      <c r="O328" s="172"/>
      <c r="P328" s="172"/>
      <c r="Q328" s="172"/>
      <c r="R328" s="172"/>
      <c r="S328" s="172"/>
      <c r="T328" s="172"/>
      <c r="U328" s="172"/>
      <c r="V328" s="172"/>
    </row>
    <row r="329" spans="1:22" ht="16.5" customHeight="1" x14ac:dyDescent="0.25">
      <c r="A329" s="172"/>
      <c r="B329" s="172"/>
      <c r="C329" s="172"/>
      <c r="D329" s="172"/>
      <c r="E329" s="172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  <c r="Q329" s="172"/>
      <c r="R329" s="172"/>
      <c r="S329" s="172"/>
      <c r="T329" s="172"/>
      <c r="U329" s="172"/>
      <c r="V329" s="172"/>
    </row>
    <row r="330" spans="1:22" ht="16.5" customHeight="1" x14ac:dyDescent="0.25">
      <c r="A330" s="172"/>
      <c r="B330" s="172"/>
      <c r="C330" s="172"/>
      <c r="D330" s="172"/>
      <c r="E330" s="172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  <c r="Q330" s="172"/>
      <c r="R330" s="172"/>
      <c r="S330" s="172"/>
      <c r="T330" s="172"/>
      <c r="U330" s="172"/>
      <c r="V330" s="172"/>
    </row>
    <row r="331" spans="1:22" ht="16.5" customHeight="1" x14ac:dyDescent="0.25">
      <c r="A331" s="172"/>
      <c r="B331" s="172"/>
      <c r="C331" s="172"/>
      <c r="D331" s="172"/>
      <c r="E331" s="172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  <c r="Q331" s="172"/>
      <c r="R331" s="172"/>
      <c r="S331" s="172"/>
      <c r="T331" s="172"/>
      <c r="U331" s="172"/>
      <c r="V331" s="172"/>
    </row>
    <row r="332" spans="1:22" ht="16.5" customHeight="1" x14ac:dyDescent="0.25">
      <c r="A332" s="172"/>
      <c r="B332" s="172"/>
      <c r="C332" s="172"/>
      <c r="D332" s="172"/>
      <c r="E332" s="172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  <c r="Q332" s="172"/>
      <c r="R332" s="172"/>
      <c r="S332" s="172"/>
      <c r="T332" s="172"/>
      <c r="U332" s="172"/>
      <c r="V332" s="172"/>
    </row>
    <row r="333" spans="1:22" ht="16.5" customHeight="1" x14ac:dyDescent="0.25">
      <c r="A333" s="172"/>
      <c r="B333" s="172"/>
      <c r="C333" s="172"/>
      <c r="D333" s="172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  <c r="Q333" s="172"/>
      <c r="R333" s="172"/>
      <c r="S333" s="172"/>
      <c r="T333" s="172"/>
      <c r="U333" s="172"/>
      <c r="V333" s="172"/>
    </row>
    <row r="334" spans="1:22" ht="16.5" customHeight="1" x14ac:dyDescent="0.25">
      <c r="A334" s="172"/>
      <c r="B334" s="172"/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</row>
    <row r="335" spans="1:22" ht="16.5" customHeight="1" x14ac:dyDescent="0.25">
      <c r="A335" s="172"/>
      <c r="B335" s="172"/>
      <c r="C335" s="172"/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  <c r="Q335" s="172"/>
      <c r="R335" s="172"/>
      <c r="S335" s="172"/>
      <c r="T335" s="172"/>
      <c r="U335" s="172"/>
      <c r="V335" s="172"/>
    </row>
    <row r="336" spans="1:22" ht="16.5" customHeight="1" x14ac:dyDescent="0.25">
      <c r="A336" s="172"/>
      <c r="B336" s="172"/>
      <c r="C336" s="172"/>
      <c r="D336" s="172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  <c r="Q336" s="172"/>
      <c r="R336" s="172"/>
      <c r="S336" s="172"/>
      <c r="T336" s="172"/>
      <c r="U336" s="172"/>
      <c r="V336" s="172"/>
    </row>
    <row r="337" spans="1:22" ht="16.5" customHeight="1" x14ac:dyDescent="0.25">
      <c r="A337" s="172"/>
      <c r="B337" s="172"/>
      <c r="C337" s="172"/>
      <c r="D337" s="172"/>
      <c r="E337" s="172"/>
      <c r="F337" s="172"/>
      <c r="G337" s="172"/>
      <c r="H337" s="172"/>
      <c r="I337" s="172"/>
      <c r="J337" s="172"/>
      <c r="K337" s="172"/>
      <c r="L337" s="172"/>
      <c r="M337" s="172"/>
      <c r="N337" s="172"/>
      <c r="O337" s="172"/>
      <c r="P337" s="172"/>
      <c r="Q337" s="172"/>
      <c r="R337" s="172"/>
      <c r="S337" s="172"/>
      <c r="T337" s="172"/>
      <c r="U337" s="172"/>
      <c r="V337" s="172"/>
    </row>
    <row r="338" spans="1:22" ht="16.5" customHeight="1" x14ac:dyDescent="0.25">
      <c r="A338" s="172"/>
      <c r="B338" s="172"/>
      <c r="C338" s="172"/>
      <c r="D338" s="172"/>
      <c r="E338" s="172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2"/>
      <c r="Q338" s="172"/>
      <c r="R338" s="172"/>
      <c r="S338" s="172"/>
      <c r="T338" s="172"/>
      <c r="U338" s="172"/>
      <c r="V338" s="172"/>
    </row>
    <row r="339" spans="1:22" ht="16.5" customHeight="1" x14ac:dyDescent="0.25">
      <c r="A339" s="172"/>
      <c r="B339" s="172"/>
      <c r="C339" s="172"/>
      <c r="D339" s="172"/>
      <c r="E339" s="172"/>
      <c r="F339" s="172"/>
      <c r="G339" s="172"/>
      <c r="H339" s="172"/>
      <c r="I339" s="172"/>
      <c r="J339" s="172"/>
      <c r="K339" s="172"/>
      <c r="L339" s="172"/>
      <c r="M339" s="172"/>
      <c r="N339" s="172"/>
      <c r="O339" s="172"/>
      <c r="P339" s="172"/>
      <c r="Q339" s="172"/>
      <c r="R339" s="172"/>
      <c r="S339" s="172"/>
      <c r="T339" s="172"/>
      <c r="U339" s="172"/>
      <c r="V339" s="172"/>
    </row>
    <row r="340" spans="1:22" ht="16.5" customHeight="1" x14ac:dyDescent="0.25">
      <c r="A340" s="172"/>
      <c r="B340" s="172"/>
      <c r="C340" s="172"/>
      <c r="D340" s="172"/>
      <c r="E340" s="172"/>
      <c r="F340" s="172"/>
      <c r="G340" s="172"/>
      <c r="H340" s="172"/>
      <c r="I340" s="172"/>
      <c r="J340" s="172"/>
      <c r="K340" s="172"/>
      <c r="L340" s="172"/>
      <c r="M340" s="172"/>
      <c r="N340" s="172"/>
      <c r="O340" s="172"/>
      <c r="P340" s="172"/>
      <c r="Q340" s="172"/>
      <c r="R340" s="172"/>
      <c r="S340" s="172"/>
      <c r="T340" s="172"/>
      <c r="U340" s="172"/>
      <c r="V340" s="172"/>
    </row>
    <row r="341" spans="1:22" ht="16.5" customHeight="1" x14ac:dyDescent="0.25">
      <c r="A341" s="172"/>
      <c r="B341" s="172"/>
      <c r="C341" s="172"/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72"/>
      <c r="Q341" s="172"/>
      <c r="R341" s="172"/>
      <c r="S341" s="172"/>
      <c r="T341" s="172"/>
      <c r="U341" s="172"/>
      <c r="V341" s="172"/>
    </row>
    <row r="342" spans="1:22" ht="16.5" customHeight="1" x14ac:dyDescent="0.25">
      <c r="A342" s="172"/>
      <c r="B342" s="172"/>
      <c r="C342" s="172"/>
      <c r="D342" s="172"/>
      <c r="E342" s="172"/>
      <c r="F342" s="172"/>
      <c r="G342" s="172"/>
      <c r="H342" s="172"/>
      <c r="I342" s="172"/>
      <c r="J342" s="172"/>
      <c r="K342" s="172"/>
      <c r="L342" s="172"/>
      <c r="M342" s="172"/>
      <c r="N342" s="172"/>
      <c r="O342" s="172"/>
      <c r="P342" s="172"/>
      <c r="Q342" s="172"/>
      <c r="R342" s="172"/>
      <c r="S342" s="172"/>
      <c r="T342" s="172"/>
      <c r="U342" s="172"/>
      <c r="V342" s="172"/>
    </row>
    <row r="343" spans="1:22" ht="16.5" customHeight="1" x14ac:dyDescent="0.25">
      <c r="A343" s="172"/>
      <c r="B343" s="172"/>
      <c r="C343" s="172"/>
      <c r="D343" s="172"/>
      <c r="E343" s="172"/>
      <c r="F343" s="172"/>
      <c r="G343" s="172"/>
      <c r="H343" s="172"/>
      <c r="I343" s="172"/>
      <c r="J343" s="172"/>
      <c r="K343" s="172"/>
      <c r="L343" s="172"/>
      <c r="M343" s="172"/>
      <c r="N343" s="172"/>
      <c r="O343" s="172"/>
      <c r="P343" s="172"/>
      <c r="Q343" s="172"/>
      <c r="R343" s="172"/>
      <c r="S343" s="172"/>
      <c r="T343" s="172"/>
      <c r="U343" s="172"/>
      <c r="V343" s="172"/>
    </row>
    <row r="344" spans="1:22" ht="16.5" customHeight="1" x14ac:dyDescent="0.25">
      <c r="A344" s="172"/>
      <c r="B344" s="172"/>
      <c r="C344" s="172"/>
      <c r="D344" s="172"/>
      <c r="E344" s="172"/>
      <c r="F344" s="172"/>
      <c r="G344" s="172"/>
      <c r="H344" s="172"/>
      <c r="I344" s="172"/>
      <c r="J344" s="172"/>
      <c r="K344" s="172"/>
      <c r="L344" s="172"/>
      <c r="M344" s="172"/>
      <c r="N344" s="172"/>
      <c r="O344" s="172"/>
      <c r="P344" s="172"/>
      <c r="Q344" s="172"/>
      <c r="R344" s="172"/>
      <c r="S344" s="172"/>
      <c r="T344" s="172"/>
      <c r="U344" s="172"/>
      <c r="V344" s="172"/>
    </row>
    <row r="345" spans="1:22" ht="16.5" customHeight="1" x14ac:dyDescent="0.25">
      <c r="A345" s="172"/>
      <c r="B345" s="172"/>
      <c r="C345" s="172"/>
      <c r="D345" s="172"/>
      <c r="E345" s="172"/>
      <c r="F345" s="172"/>
      <c r="G345" s="172"/>
      <c r="H345" s="172"/>
      <c r="I345" s="172"/>
      <c r="J345" s="172"/>
      <c r="K345" s="172"/>
      <c r="L345" s="172"/>
      <c r="M345" s="172"/>
      <c r="N345" s="172"/>
      <c r="O345" s="172"/>
      <c r="P345" s="172"/>
      <c r="Q345" s="172"/>
      <c r="R345" s="172"/>
      <c r="S345" s="172"/>
      <c r="T345" s="172"/>
      <c r="U345" s="172"/>
      <c r="V345" s="172"/>
    </row>
    <row r="346" spans="1:22" ht="16.5" customHeight="1" x14ac:dyDescent="0.25">
      <c r="A346" s="172"/>
      <c r="B346" s="172"/>
      <c r="C346" s="172"/>
      <c r="D346" s="172"/>
      <c r="E346" s="172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  <c r="Q346" s="172"/>
      <c r="R346" s="172"/>
      <c r="S346" s="172"/>
      <c r="T346" s="172"/>
      <c r="U346" s="172"/>
      <c r="V346" s="172"/>
    </row>
    <row r="347" spans="1:22" ht="16.5" customHeight="1" x14ac:dyDescent="0.25">
      <c r="A347" s="172"/>
      <c r="B347" s="172"/>
      <c r="C347" s="172"/>
      <c r="D347" s="172"/>
      <c r="E347" s="172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  <c r="Q347" s="172"/>
      <c r="R347" s="172"/>
      <c r="S347" s="172"/>
      <c r="T347" s="172"/>
      <c r="U347" s="172"/>
      <c r="V347" s="172"/>
    </row>
    <row r="348" spans="1:22" ht="16.5" customHeight="1" x14ac:dyDescent="0.25">
      <c r="A348" s="172"/>
      <c r="B348" s="172"/>
      <c r="C348" s="172"/>
      <c r="D348" s="172"/>
      <c r="E348" s="172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</row>
    <row r="349" spans="1:22" ht="16.5" customHeight="1" x14ac:dyDescent="0.25">
      <c r="A349" s="172"/>
      <c r="B349" s="172"/>
      <c r="C349" s="172"/>
      <c r="D349" s="172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2"/>
      <c r="S349" s="172"/>
      <c r="T349" s="172"/>
      <c r="U349" s="172"/>
      <c r="V349" s="172"/>
    </row>
    <row r="350" spans="1:22" ht="16.5" customHeight="1" x14ac:dyDescent="0.25">
      <c r="A350" s="172"/>
      <c r="B350" s="172"/>
      <c r="C350" s="172"/>
      <c r="D350" s="172"/>
      <c r="E350" s="172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  <c r="Q350" s="172"/>
      <c r="R350" s="172"/>
      <c r="S350" s="172"/>
      <c r="T350" s="172"/>
      <c r="U350" s="172"/>
      <c r="V350" s="172"/>
    </row>
    <row r="351" spans="1:22" ht="16.5" customHeight="1" x14ac:dyDescent="0.25">
      <c r="A351" s="172"/>
      <c r="B351" s="172"/>
      <c r="C351" s="172"/>
      <c r="D351" s="172"/>
      <c r="E351" s="172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  <c r="Q351" s="172"/>
      <c r="R351" s="172"/>
      <c r="S351" s="172"/>
      <c r="T351" s="172"/>
      <c r="U351" s="172"/>
      <c r="V351" s="172"/>
    </row>
    <row r="352" spans="1:22" ht="16.5" customHeight="1" x14ac:dyDescent="0.25">
      <c r="A352" s="172"/>
      <c r="B352" s="172"/>
      <c r="C352" s="172"/>
      <c r="D352" s="172"/>
      <c r="E352" s="172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  <c r="Q352" s="172"/>
      <c r="R352" s="172"/>
      <c r="S352" s="172"/>
      <c r="T352" s="172"/>
      <c r="U352" s="172"/>
      <c r="V352" s="172"/>
    </row>
    <row r="353" spans="1:22" ht="16.5" customHeight="1" x14ac:dyDescent="0.25">
      <c r="A353" s="172"/>
      <c r="B353" s="172"/>
      <c r="C353" s="172"/>
      <c r="D353" s="172"/>
      <c r="E353" s="172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  <c r="Q353" s="172"/>
      <c r="R353" s="172"/>
      <c r="S353" s="172"/>
      <c r="T353" s="172"/>
      <c r="U353" s="172"/>
      <c r="V353" s="172"/>
    </row>
    <row r="354" spans="1:22" ht="16.5" customHeight="1" x14ac:dyDescent="0.25">
      <c r="A354" s="172"/>
      <c r="B354" s="172"/>
      <c r="C354" s="172"/>
      <c r="D354" s="172"/>
      <c r="E354" s="172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72"/>
      <c r="Q354" s="172"/>
      <c r="R354" s="172"/>
      <c r="S354" s="172"/>
      <c r="T354" s="172"/>
      <c r="U354" s="172"/>
      <c r="V354" s="172"/>
    </row>
    <row r="355" spans="1:22" ht="16.5" customHeight="1" x14ac:dyDescent="0.25">
      <c r="A355" s="172"/>
      <c r="B355" s="172"/>
      <c r="C355" s="172"/>
      <c r="D355" s="172"/>
      <c r="E355" s="172"/>
      <c r="F355" s="172"/>
      <c r="G355" s="172"/>
      <c r="H355" s="172"/>
      <c r="I355" s="172"/>
      <c r="J355" s="172"/>
      <c r="K355" s="172"/>
      <c r="L355" s="172"/>
      <c r="M355" s="172"/>
      <c r="N355" s="172"/>
      <c r="O355" s="172"/>
      <c r="P355" s="172"/>
      <c r="Q355" s="172"/>
      <c r="R355" s="172"/>
      <c r="S355" s="172"/>
      <c r="T355" s="172"/>
      <c r="U355" s="172"/>
      <c r="V355" s="172"/>
    </row>
    <row r="356" spans="1:22" ht="16.5" customHeight="1" x14ac:dyDescent="0.25">
      <c r="A356" s="172"/>
      <c r="B356" s="172"/>
      <c r="C356" s="172"/>
      <c r="D356" s="172"/>
      <c r="E356" s="172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  <c r="Q356" s="172"/>
      <c r="R356" s="172"/>
      <c r="S356" s="172"/>
      <c r="T356" s="172"/>
      <c r="U356" s="172"/>
      <c r="V356" s="172"/>
    </row>
    <row r="357" spans="1:22" ht="16.5" customHeight="1" x14ac:dyDescent="0.25">
      <c r="A357" s="172"/>
      <c r="B357" s="172"/>
      <c r="C357" s="172"/>
      <c r="D357" s="172"/>
      <c r="E357" s="172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172"/>
      <c r="Q357" s="172"/>
      <c r="R357" s="172"/>
      <c r="S357" s="172"/>
      <c r="T357" s="172"/>
      <c r="U357" s="172"/>
      <c r="V357" s="172"/>
    </row>
    <row r="358" spans="1:22" ht="16.5" customHeight="1" x14ac:dyDescent="0.25">
      <c r="A358" s="172"/>
      <c r="B358" s="172"/>
      <c r="C358" s="172"/>
      <c r="D358" s="172"/>
      <c r="E358" s="172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72"/>
      <c r="Q358" s="172"/>
      <c r="R358" s="172"/>
      <c r="S358" s="172"/>
      <c r="T358" s="172"/>
      <c r="U358" s="172"/>
      <c r="V358" s="172"/>
    </row>
    <row r="359" spans="1:22" ht="16.5" customHeight="1" x14ac:dyDescent="0.25">
      <c r="A359" s="172"/>
      <c r="B359" s="172"/>
      <c r="C359" s="172"/>
      <c r="D359" s="172"/>
      <c r="E359" s="172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  <c r="Q359" s="172"/>
      <c r="R359" s="172"/>
      <c r="S359" s="172"/>
      <c r="T359" s="172"/>
      <c r="U359" s="172"/>
      <c r="V359" s="172"/>
    </row>
    <row r="360" spans="1:22" ht="16.5" customHeight="1" x14ac:dyDescent="0.25">
      <c r="A360" s="172"/>
      <c r="B360" s="172"/>
      <c r="C360" s="172"/>
      <c r="D360" s="172"/>
      <c r="E360" s="172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2"/>
      <c r="Q360" s="172"/>
      <c r="R360" s="172"/>
      <c r="S360" s="172"/>
      <c r="T360" s="172"/>
      <c r="U360" s="172"/>
      <c r="V360" s="172"/>
    </row>
    <row r="361" spans="1:22" ht="16.5" customHeight="1" x14ac:dyDescent="0.25">
      <c r="A361" s="172"/>
      <c r="B361" s="172"/>
      <c r="C361" s="172"/>
      <c r="D361" s="172"/>
      <c r="E361" s="172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72"/>
      <c r="Q361" s="172"/>
      <c r="R361" s="172"/>
      <c r="S361" s="172"/>
      <c r="T361" s="172"/>
      <c r="U361" s="172"/>
      <c r="V361" s="172"/>
    </row>
    <row r="362" spans="1:22" ht="16.5" customHeight="1" x14ac:dyDescent="0.25">
      <c r="A362" s="172"/>
      <c r="B362" s="172"/>
      <c r="C362" s="172"/>
      <c r="D362" s="172"/>
      <c r="E362" s="172"/>
      <c r="F362" s="172"/>
      <c r="G362" s="172"/>
      <c r="H362" s="172"/>
      <c r="I362" s="172"/>
      <c r="J362" s="172"/>
      <c r="K362" s="172"/>
      <c r="L362" s="172"/>
      <c r="M362" s="172"/>
      <c r="N362" s="172"/>
      <c r="O362" s="172"/>
      <c r="P362" s="172"/>
      <c r="Q362" s="172"/>
      <c r="R362" s="172"/>
      <c r="S362" s="172"/>
      <c r="T362" s="172"/>
      <c r="U362" s="172"/>
      <c r="V362" s="172"/>
    </row>
    <row r="363" spans="1:22" ht="16.5" customHeight="1" x14ac:dyDescent="0.25">
      <c r="A363" s="172"/>
      <c r="B363" s="172"/>
      <c r="C363" s="172"/>
      <c r="D363" s="172"/>
      <c r="E363" s="172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  <c r="Q363" s="172"/>
      <c r="R363" s="172"/>
      <c r="S363" s="172"/>
      <c r="T363" s="172"/>
      <c r="U363" s="172"/>
      <c r="V363" s="172"/>
    </row>
    <row r="364" spans="1:22" ht="16.5" customHeight="1" x14ac:dyDescent="0.25">
      <c r="A364" s="172"/>
      <c r="B364" s="172"/>
      <c r="C364" s="172"/>
      <c r="D364" s="172"/>
      <c r="E364" s="172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  <c r="Q364" s="172"/>
      <c r="R364" s="172"/>
      <c r="S364" s="172"/>
      <c r="T364" s="172"/>
      <c r="U364" s="172"/>
      <c r="V364" s="172"/>
    </row>
    <row r="365" spans="1:22" ht="16.5" customHeight="1" x14ac:dyDescent="0.25">
      <c r="A365" s="172"/>
      <c r="B365" s="172"/>
      <c r="C365" s="172"/>
      <c r="D365" s="172"/>
      <c r="E365" s="172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  <c r="Q365" s="172"/>
      <c r="R365" s="172"/>
      <c r="S365" s="172"/>
      <c r="T365" s="172"/>
      <c r="U365" s="172"/>
      <c r="V365" s="172"/>
    </row>
    <row r="366" spans="1:22" ht="16.5" customHeight="1" x14ac:dyDescent="0.25">
      <c r="A366" s="172"/>
      <c r="B366" s="172"/>
      <c r="C366" s="172"/>
      <c r="D366" s="172"/>
      <c r="E366" s="172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  <c r="Q366" s="172"/>
      <c r="R366" s="172"/>
      <c r="S366" s="172"/>
      <c r="T366" s="172"/>
      <c r="U366" s="172"/>
      <c r="V366" s="172"/>
    </row>
    <row r="367" spans="1:22" ht="16.5" customHeight="1" x14ac:dyDescent="0.25">
      <c r="A367" s="172"/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</row>
    <row r="368" spans="1:22" ht="16.5" customHeight="1" x14ac:dyDescent="0.25">
      <c r="A368" s="172"/>
      <c r="B368" s="172"/>
      <c r="C368" s="172"/>
      <c r="D368" s="172"/>
      <c r="E368" s="172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  <c r="Q368" s="172"/>
      <c r="R368" s="172"/>
      <c r="S368" s="172"/>
      <c r="T368" s="172"/>
      <c r="U368" s="172"/>
      <c r="V368" s="172"/>
    </row>
    <row r="369" spans="1:22" ht="16.5" customHeight="1" x14ac:dyDescent="0.25">
      <c r="A369" s="172"/>
      <c r="B369" s="172"/>
      <c r="C369" s="172"/>
      <c r="D369" s="172"/>
      <c r="E369" s="172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  <c r="Q369" s="172"/>
      <c r="R369" s="172"/>
      <c r="S369" s="172"/>
      <c r="T369" s="172"/>
      <c r="U369" s="172"/>
      <c r="V369" s="172"/>
    </row>
    <row r="370" spans="1:22" ht="16.5" customHeight="1" x14ac:dyDescent="0.25">
      <c r="A370" s="172"/>
      <c r="B370" s="172"/>
      <c r="C370" s="172"/>
      <c r="D370" s="172"/>
      <c r="E370" s="172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</row>
    <row r="371" spans="1:22" ht="16.5" customHeight="1" x14ac:dyDescent="0.25">
      <c r="A371" s="172"/>
      <c r="B371" s="172"/>
      <c r="C371" s="172"/>
      <c r="D371" s="172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  <c r="Q371" s="172"/>
      <c r="R371" s="172"/>
      <c r="S371" s="172"/>
      <c r="T371" s="172"/>
      <c r="U371" s="172"/>
      <c r="V371" s="172"/>
    </row>
    <row r="372" spans="1:22" ht="16.5" customHeight="1" x14ac:dyDescent="0.25">
      <c r="A372" s="172"/>
      <c r="B372" s="172"/>
      <c r="C372" s="172"/>
      <c r="D372" s="172"/>
      <c r="E372" s="172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2"/>
      <c r="Q372" s="172"/>
      <c r="R372" s="172"/>
      <c r="S372" s="172"/>
      <c r="T372" s="172"/>
      <c r="U372" s="172"/>
      <c r="V372" s="172"/>
    </row>
    <row r="373" spans="1:22" ht="16.5" customHeight="1" x14ac:dyDescent="0.25">
      <c r="A373" s="172"/>
      <c r="B373" s="172"/>
      <c r="C373" s="172"/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  <c r="Q373" s="172"/>
      <c r="R373" s="172"/>
      <c r="S373" s="172"/>
      <c r="T373" s="172"/>
      <c r="U373" s="172"/>
      <c r="V373" s="172"/>
    </row>
    <row r="374" spans="1:22" ht="16.5" customHeight="1" x14ac:dyDescent="0.25">
      <c r="A374" s="172"/>
      <c r="B374" s="172"/>
      <c r="C374" s="172"/>
      <c r="D374" s="172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  <c r="Q374" s="172"/>
      <c r="R374" s="172"/>
      <c r="S374" s="172"/>
      <c r="T374" s="172"/>
      <c r="U374" s="172"/>
      <c r="V374" s="172"/>
    </row>
    <row r="375" spans="1:22" ht="16.5" customHeight="1" x14ac:dyDescent="0.25">
      <c r="A375" s="172"/>
      <c r="B375" s="172"/>
      <c r="C375" s="172"/>
      <c r="D375" s="172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72"/>
      <c r="Q375" s="172"/>
      <c r="R375" s="172"/>
      <c r="S375" s="172"/>
      <c r="T375" s="172"/>
      <c r="U375" s="172"/>
      <c r="V375" s="172"/>
    </row>
    <row r="376" spans="1:22" ht="16.5" customHeight="1" x14ac:dyDescent="0.25">
      <c r="A376" s="172"/>
      <c r="B376" s="172"/>
      <c r="C376" s="172"/>
      <c r="D376" s="172"/>
      <c r="E376" s="172"/>
      <c r="F376" s="172"/>
      <c r="G376" s="172"/>
      <c r="H376" s="172"/>
      <c r="I376" s="172"/>
      <c r="J376" s="172"/>
      <c r="K376" s="172"/>
      <c r="L376" s="172"/>
      <c r="M376" s="172"/>
      <c r="N376" s="172"/>
      <c r="O376" s="172"/>
      <c r="P376" s="172"/>
      <c r="Q376" s="172"/>
      <c r="R376" s="172"/>
      <c r="S376" s="172"/>
      <c r="T376" s="172"/>
      <c r="U376" s="172"/>
      <c r="V376" s="172"/>
    </row>
    <row r="377" spans="1:22" ht="16.5" customHeight="1" x14ac:dyDescent="0.25">
      <c r="A377" s="172"/>
      <c r="B377" s="172"/>
      <c r="C377" s="172"/>
      <c r="D377" s="172"/>
      <c r="E377" s="172"/>
      <c r="F377" s="172"/>
      <c r="G377" s="172"/>
      <c r="H377" s="172"/>
      <c r="I377" s="172"/>
      <c r="J377" s="172"/>
      <c r="K377" s="172"/>
      <c r="L377" s="172"/>
      <c r="M377" s="172"/>
      <c r="N377" s="172"/>
      <c r="O377" s="172"/>
      <c r="P377" s="172"/>
      <c r="Q377" s="172"/>
      <c r="R377" s="172"/>
      <c r="S377" s="172"/>
      <c r="T377" s="172"/>
      <c r="U377" s="172"/>
      <c r="V377" s="172"/>
    </row>
    <row r="378" spans="1:22" ht="16.5" customHeight="1" x14ac:dyDescent="0.25">
      <c r="A378" s="172"/>
      <c r="B378" s="172"/>
      <c r="C378" s="172"/>
      <c r="D378" s="172"/>
      <c r="E378" s="172"/>
      <c r="F378" s="172"/>
      <c r="G378" s="172"/>
      <c r="H378" s="172"/>
      <c r="I378" s="172"/>
      <c r="J378" s="172"/>
      <c r="K378" s="172"/>
      <c r="L378" s="172"/>
      <c r="M378" s="172"/>
      <c r="N378" s="172"/>
      <c r="O378" s="172"/>
      <c r="P378" s="172"/>
      <c r="Q378" s="172"/>
      <c r="R378" s="172"/>
      <c r="S378" s="172"/>
      <c r="T378" s="172"/>
      <c r="U378" s="172"/>
      <c r="V378" s="172"/>
    </row>
    <row r="379" spans="1:22" ht="16.5" customHeight="1" x14ac:dyDescent="0.25">
      <c r="A379" s="172"/>
      <c r="B379" s="172"/>
      <c r="C379" s="172"/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72"/>
      <c r="P379" s="172"/>
      <c r="Q379" s="172"/>
      <c r="R379" s="172"/>
      <c r="S379" s="172"/>
      <c r="T379" s="172"/>
      <c r="U379" s="172"/>
      <c r="V379" s="172"/>
    </row>
    <row r="380" spans="1:22" ht="16.5" customHeight="1" x14ac:dyDescent="0.25">
      <c r="A380" s="172"/>
      <c r="B380" s="172"/>
      <c r="C380" s="172"/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  <c r="Q380" s="172"/>
      <c r="R380" s="172"/>
      <c r="S380" s="172"/>
      <c r="T380" s="172"/>
      <c r="U380" s="172"/>
      <c r="V380" s="172"/>
    </row>
    <row r="381" spans="1:22" ht="16.5" customHeight="1" x14ac:dyDescent="0.25">
      <c r="A381" s="172"/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</row>
    <row r="382" spans="1:22" ht="16.5" customHeight="1" x14ac:dyDescent="0.25">
      <c r="A382" s="172"/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</row>
    <row r="383" spans="1:22" ht="16.5" customHeight="1" x14ac:dyDescent="0.25">
      <c r="A383" s="172"/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</row>
    <row r="384" spans="1:22" ht="16.5" customHeight="1" x14ac:dyDescent="0.25">
      <c r="A384" s="172"/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</row>
    <row r="385" spans="1:22" ht="16.5" customHeight="1" x14ac:dyDescent="0.25">
      <c r="A385" s="172"/>
      <c r="B385" s="172"/>
      <c r="C385" s="172"/>
      <c r="D385" s="172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72"/>
      <c r="S385" s="172"/>
      <c r="T385" s="172"/>
      <c r="U385" s="172"/>
      <c r="V385" s="172"/>
    </row>
    <row r="386" spans="1:22" ht="16.5" customHeight="1" x14ac:dyDescent="0.25">
      <c r="A386" s="172"/>
      <c r="B386" s="172"/>
      <c r="C386" s="172"/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  <c r="Q386" s="172"/>
      <c r="R386" s="172"/>
      <c r="S386" s="172"/>
      <c r="T386" s="172"/>
      <c r="U386" s="172"/>
      <c r="V386" s="172"/>
    </row>
    <row r="387" spans="1:22" ht="16.5" customHeight="1" x14ac:dyDescent="0.25">
      <c r="A387" s="172"/>
      <c r="B387" s="172"/>
      <c r="C387" s="172"/>
      <c r="D387" s="172"/>
      <c r="E387" s="172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</row>
    <row r="388" spans="1:22" ht="16.5" customHeight="1" x14ac:dyDescent="0.25">
      <c r="A388" s="172"/>
      <c r="B388" s="172"/>
      <c r="C388" s="172"/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  <c r="Q388" s="172"/>
      <c r="R388" s="172"/>
      <c r="S388" s="172"/>
      <c r="T388" s="172"/>
      <c r="U388" s="172"/>
      <c r="V388" s="172"/>
    </row>
    <row r="389" spans="1:22" ht="16.5" customHeight="1" x14ac:dyDescent="0.25">
      <c r="A389" s="172"/>
      <c r="B389" s="172"/>
      <c r="C389" s="172"/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  <c r="Q389" s="172"/>
      <c r="R389" s="172"/>
      <c r="S389" s="172"/>
      <c r="T389" s="172"/>
      <c r="U389" s="172"/>
      <c r="V389" s="172"/>
    </row>
    <row r="390" spans="1:22" ht="16.5" customHeight="1" x14ac:dyDescent="0.25">
      <c r="A390" s="172"/>
      <c r="B390" s="172"/>
      <c r="C390" s="172"/>
      <c r="D390" s="172"/>
      <c r="E390" s="172"/>
      <c r="F390" s="172"/>
      <c r="G390" s="172"/>
      <c r="H390" s="172"/>
      <c r="I390" s="172"/>
      <c r="J390" s="172"/>
      <c r="K390" s="172"/>
      <c r="L390" s="172"/>
      <c r="M390" s="172"/>
      <c r="N390" s="172"/>
      <c r="O390" s="172"/>
      <c r="P390" s="172"/>
      <c r="Q390" s="172"/>
      <c r="R390" s="172"/>
      <c r="S390" s="172"/>
      <c r="T390" s="172"/>
      <c r="U390" s="172"/>
      <c r="V390" s="172"/>
    </row>
    <row r="391" spans="1:22" ht="16.5" customHeight="1" x14ac:dyDescent="0.25">
      <c r="A391" s="172"/>
      <c r="B391" s="172"/>
      <c r="C391" s="172"/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  <c r="Q391" s="172"/>
      <c r="R391" s="172"/>
      <c r="S391" s="172"/>
      <c r="T391" s="172"/>
      <c r="U391" s="172"/>
      <c r="V391" s="172"/>
    </row>
    <row r="392" spans="1:22" ht="16.5" customHeight="1" x14ac:dyDescent="0.25">
      <c r="A392" s="172"/>
      <c r="B392" s="172"/>
      <c r="C392" s="172"/>
      <c r="D392" s="172"/>
      <c r="E392" s="172"/>
      <c r="F392" s="172"/>
      <c r="G392" s="172"/>
      <c r="H392" s="172"/>
      <c r="I392" s="172"/>
      <c r="J392" s="172"/>
      <c r="K392" s="172"/>
      <c r="L392" s="172"/>
      <c r="M392" s="172"/>
      <c r="N392" s="172"/>
      <c r="O392" s="172"/>
      <c r="P392" s="172"/>
      <c r="Q392" s="172"/>
      <c r="R392" s="172"/>
      <c r="S392" s="172"/>
      <c r="T392" s="172"/>
      <c r="U392" s="172"/>
      <c r="V392" s="172"/>
    </row>
    <row r="393" spans="1:22" ht="16.5" customHeight="1" x14ac:dyDescent="0.25">
      <c r="A393" s="172"/>
      <c r="B393" s="172"/>
      <c r="C393" s="172"/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172"/>
      <c r="Q393" s="172"/>
      <c r="R393" s="172"/>
      <c r="S393" s="172"/>
      <c r="T393" s="172"/>
      <c r="U393" s="172"/>
      <c r="V393" s="172"/>
    </row>
    <row r="394" spans="1:22" ht="16.5" customHeight="1" x14ac:dyDescent="0.25">
      <c r="A394" s="172"/>
      <c r="B394" s="172"/>
      <c r="C394" s="172"/>
      <c r="D394" s="172"/>
      <c r="E394" s="172"/>
      <c r="F394" s="172"/>
      <c r="G394" s="172"/>
      <c r="H394" s="172"/>
      <c r="I394" s="172"/>
      <c r="J394" s="172"/>
      <c r="K394" s="172"/>
      <c r="L394" s="172"/>
      <c r="M394" s="172"/>
      <c r="N394" s="172"/>
      <c r="O394" s="172"/>
      <c r="P394" s="172"/>
      <c r="Q394" s="172"/>
      <c r="R394" s="172"/>
      <c r="S394" s="172"/>
      <c r="T394" s="172"/>
      <c r="U394" s="172"/>
      <c r="V394" s="172"/>
    </row>
    <row r="395" spans="1:22" ht="16.5" customHeight="1" x14ac:dyDescent="0.25">
      <c r="A395" s="172"/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</row>
    <row r="396" spans="1:22" ht="16.5" customHeight="1" x14ac:dyDescent="0.25">
      <c r="A396" s="172"/>
      <c r="B396" s="172"/>
      <c r="C396" s="172"/>
      <c r="D396" s="172"/>
      <c r="E396" s="172"/>
      <c r="F396" s="172"/>
      <c r="G396" s="172"/>
      <c r="H396" s="172"/>
      <c r="I396" s="172"/>
      <c r="J396" s="172"/>
      <c r="K396" s="172"/>
      <c r="L396" s="172"/>
      <c r="M396" s="172"/>
      <c r="N396" s="172"/>
      <c r="O396" s="172"/>
      <c r="P396" s="172"/>
      <c r="Q396" s="172"/>
      <c r="R396" s="172"/>
      <c r="S396" s="172"/>
      <c r="T396" s="172"/>
      <c r="U396" s="172"/>
      <c r="V396" s="172"/>
    </row>
    <row r="397" spans="1:22" ht="16.5" customHeight="1" x14ac:dyDescent="0.25">
      <c r="A397" s="172"/>
      <c r="B397" s="172"/>
      <c r="C397" s="172"/>
      <c r="D397" s="172"/>
      <c r="E397" s="172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  <c r="Q397" s="172"/>
      <c r="R397" s="172"/>
      <c r="S397" s="172"/>
      <c r="T397" s="172"/>
      <c r="U397" s="172"/>
      <c r="V397" s="172"/>
    </row>
    <row r="398" spans="1:22" ht="16.5" customHeight="1" x14ac:dyDescent="0.25">
      <c r="A398" s="172"/>
      <c r="B398" s="172"/>
      <c r="C398" s="172"/>
      <c r="D398" s="172"/>
      <c r="E398" s="172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  <c r="Q398" s="172"/>
      <c r="R398" s="172"/>
      <c r="S398" s="172"/>
      <c r="T398" s="172"/>
      <c r="U398" s="172"/>
      <c r="V398" s="172"/>
    </row>
    <row r="399" spans="1:22" ht="16.5" customHeight="1" x14ac:dyDescent="0.25">
      <c r="A399" s="172"/>
      <c r="B399" s="172"/>
      <c r="C399" s="172"/>
      <c r="D399" s="172"/>
      <c r="E399" s="172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  <c r="Q399" s="172"/>
      <c r="R399" s="172"/>
      <c r="S399" s="172"/>
      <c r="T399" s="172"/>
      <c r="U399" s="172"/>
      <c r="V399" s="172"/>
    </row>
    <row r="400" spans="1:22" ht="16.5" customHeight="1" x14ac:dyDescent="0.25">
      <c r="A400" s="172"/>
      <c r="B400" s="172"/>
      <c r="C400" s="172"/>
      <c r="D400" s="172"/>
      <c r="E400" s="172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  <c r="Q400" s="172"/>
      <c r="R400" s="172"/>
      <c r="S400" s="172"/>
      <c r="T400" s="172"/>
      <c r="U400" s="172"/>
      <c r="V400" s="172"/>
    </row>
    <row r="401" spans="1:22" ht="16.5" customHeight="1" x14ac:dyDescent="0.25">
      <c r="A401" s="172"/>
      <c r="B401" s="172"/>
      <c r="C401" s="172"/>
      <c r="D401" s="172"/>
      <c r="E401" s="172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  <c r="Q401" s="172"/>
      <c r="R401" s="172"/>
      <c r="S401" s="172"/>
      <c r="T401" s="172"/>
      <c r="U401" s="172"/>
      <c r="V401" s="172"/>
    </row>
    <row r="402" spans="1:22" ht="16.5" customHeight="1" x14ac:dyDescent="0.25">
      <c r="A402" s="172"/>
      <c r="B402" s="172"/>
      <c r="C402" s="172"/>
      <c r="D402" s="172"/>
      <c r="E402" s="172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  <c r="Q402" s="172"/>
      <c r="R402" s="172"/>
      <c r="S402" s="172"/>
      <c r="T402" s="172"/>
      <c r="U402" s="172"/>
      <c r="V402" s="172"/>
    </row>
    <row r="403" spans="1:22" ht="16.5" customHeight="1" x14ac:dyDescent="0.25">
      <c r="A403" s="172"/>
      <c r="B403" s="172"/>
      <c r="C403" s="172"/>
      <c r="D403" s="172"/>
      <c r="E403" s="172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  <c r="Q403" s="172"/>
      <c r="R403" s="172"/>
      <c r="S403" s="172"/>
      <c r="T403" s="172"/>
      <c r="U403" s="172"/>
      <c r="V403" s="172"/>
    </row>
    <row r="404" spans="1:22" ht="16.5" customHeight="1" x14ac:dyDescent="0.25">
      <c r="A404" s="172"/>
      <c r="B404" s="172"/>
      <c r="C404" s="172"/>
      <c r="D404" s="172"/>
      <c r="E404" s="172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  <c r="Q404" s="172"/>
      <c r="R404" s="172"/>
      <c r="S404" s="172"/>
      <c r="T404" s="172"/>
      <c r="U404" s="172"/>
      <c r="V404" s="172"/>
    </row>
    <row r="405" spans="1:22" ht="16.5" customHeight="1" x14ac:dyDescent="0.25">
      <c r="A405" s="172"/>
      <c r="B405" s="172"/>
      <c r="C405" s="172"/>
      <c r="D405" s="172"/>
      <c r="E405" s="172"/>
      <c r="F405" s="172"/>
      <c r="G405" s="172"/>
      <c r="H405" s="172"/>
      <c r="I405" s="172"/>
      <c r="J405" s="172"/>
      <c r="K405" s="172"/>
      <c r="L405" s="172"/>
      <c r="M405" s="172"/>
      <c r="N405" s="172"/>
      <c r="O405" s="172"/>
      <c r="P405" s="172"/>
      <c r="Q405" s="172"/>
      <c r="R405" s="172"/>
      <c r="S405" s="172"/>
      <c r="T405" s="172"/>
      <c r="U405" s="172"/>
      <c r="V405" s="172"/>
    </row>
    <row r="406" spans="1:22" ht="16.5" customHeight="1" x14ac:dyDescent="0.25">
      <c r="A406" s="172"/>
      <c r="B406" s="172"/>
      <c r="C406" s="172"/>
      <c r="D406" s="172"/>
      <c r="E406" s="172"/>
      <c r="F406" s="172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  <c r="Q406" s="172"/>
      <c r="R406" s="172"/>
      <c r="S406" s="172"/>
      <c r="T406" s="172"/>
      <c r="U406" s="172"/>
      <c r="V406" s="172"/>
    </row>
    <row r="407" spans="1:22" ht="16.5" customHeight="1" x14ac:dyDescent="0.25">
      <c r="A407" s="172"/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</row>
    <row r="408" spans="1:22" ht="16.5" customHeight="1" x14ac:dyDescent="0.25">
      <c r="A408" s="172"/>
      <c r="B408" s="172"/>
      <c r="C408" s="172"/>
      <c r="D408" s="172"/>
      <c r="E408" s="172"/>
      <c r="F408" s="172"/>
      <c r="G408" s="172"/>
      <c r="H408" s="172"/>
      <c r="I408" s="172"/>
      <c r="J408" s="172"/>
      <c r="K408" s="172"/>
      <c r="L408" s="172"/>
      <c r="M408" s="172"/>
      <c r="N408" s="172"/>
      <c r="O408" s="172"/>
      <c r="P408" s="172"/>
      <c r="Q408" s="172"/>
      <c r="R408" s="172"/>
      <c r="S408" s="172"/>
      <c r="T408" s="172"/>
      <c r="U408" s="172"/>
      <c r="V408" s="172"/>
    </row>
    <row r="409" spans="1:22" ht="16.5" customHeight="1" x14ac:dyDescent="0.25">
      <c r="A409" s="172"/>
      <c r="B409" s="172"/>
      <c r="C409" s="172"/>
      <c r="D409" s="172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  <c r="Q409" s="172"/>
      <c r="R409" s="172"/>
      <c r="S409" s="172"/>
      <c r="T409" s="172"/>
      <c r="U409" s="172"/>
      <c r="V409" s="172"/>
    </row>
    <row r="410" spans="1:22" ht="16.5" customHeight="1" x14ac:dyDescent="0.25">
      <c r="A410" s="172"/>
      <c r="B410" s="172"/>
      <c r="C410" s="172"/>
      <c r="D410" s="172"/>
      <c r="E410" s="172"/>
      <c r="F410" s="172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  <c r="Q410" s="172"/>
      <c r="R410" s="172"/>
      <c r="S410" s="172"/>
      <c r="T410" s="172"/>
      <c r="U410" s="172"/>
      <c r="V410" s="172"/>
    </row>
    <row r="411" spans="1:22" ht="16.5" customHeight="1" x14ac:dyDescent="0.25">
      <c r="A411" s="172"/>
      <c r="B411" s="172"/>
      <c r="C411" s="172"/>
      <c r="D411" s="172"/>
      <c r="E411" s="172"/>
      <c r="F411" s="172"/>
      <c r="G411" s="172"/>
      <c r="H411" s="172"/>
      <c r="I411" s="172"/>
      <c r="J411" s="172"/>
      <c r="K411" s="172"/>
      <c r="L411" s="172"/>
      <c r="M411" s="172"/>
      <c r="N411" s="172"/>
      <c r="O411" s="172"/>
      <c r="P411" s="172"/>
      <c r="Q411" s="172"/>
      <c r="R411" s="172"/>
      <c r="S411" s="172"/>
      <c r="T411" s="172"/>
      <c r="U411" s="172"/>
      <c r="V411" s="172"/>
    </row>
    <row r="412" spans="1:22" ht="16.5" customHeight="1" x14ac:dyDescent="0.25">
      <c r="A412" s="172"/>
      <c r="B412" s="172"/>
      <c r="C412" s="172"/>
      <c r="D412" s="172"/>
      <c r="E412" s="172"/>
      <c r="F412" s="172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  <c r="Q412" s="172"/>
      <c r="R412" s="172"/>
      <c r="S412" s="172"/>
      <c r="T412" s="172"/>
      <c r="U412" s="172"/>
      <c r="V412" s="172"/>
    </row>
    <row r="413" spans="1:22" ht="16.5" customHeight="1" x14ac:dyDescent="0.25">
      <c r="A413" s="172"/>
      <c r="B413" s="172"/>
      <c r="C413" s="172"/>
      <c r="D413" s="172"/>
      <c r="E413" s="172"/>
      <c r="F413" s="172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  <c r="Q413" s="172"/>
      <c r="R413" s="172"/>
      <c r="S413" s="172"/>
      <c r="T413" s="172"/>
      <c r="U413" s="172"/>
      <c r="V413" s="172"/>
    </row>
    <row r="414" spans="1:22" ht="16.5" customHeight="1" x14ac:dyDescent="0.25">
      <c r="A414" s="172"/>
      <c r="B414" s="172"/>
      <c r="C414" s="172"/>
      <c r="D414" s="172"/>
      <c r="E414" s="172"/>
      <c r="F414" s="172"/>
      <c r="G414" s="172"/>
      <c r="H414" s="172"/>
      <c r="I414" s="172"/>
      <c r="J414" s="172"/>
      <c r="K414" s="172"/>
      <c r="L414" s="172"/>
      <c r="M414" s="172"/>
      <c r="N414" s="172"/>
      <c r="O414" s="172"/>
      <c r="P414" s="172"/>
      <c r="Q414" s="172"/>
      <c r="R414" s="172"/>
      <c r="S414" s="172"/>
      <c r="T414" s="172"/>
      <c r="U414" s="172"/>
      <c r="V414" s="172"/>
    </row>
    <row r="415" spans="1:22" ht="16.5" customHeight="1" x14ac:dyDescent="0.25">
      <c r="A415" s="172"/>
      <c r="B415" s="172"/>
      <c r="C415" s="172"/>
      <c r="D415" s="172"/>
      <c r="E415" s="172"/>
      <c r="F415" s="172"/>
      <c r="G415" s="172"/>
      <c r="H415" s="172"/>
      <c r="I415" s="172"/>
      <c r="J415" s="172"/>
      <c r="K415" s="172"/>
      <c r="L415" s="172"/>
      <c r="M415" s="172"/>
      <c r="N415" s="172"/>
      <c r="O415" s="172"/>
      <c r="P415" s="172"/>
      <c r="Q415" s="172"/>
      <c r="R415" s="172"/>
      <c r="S415" s="172"/>
      <c r="T415" s="172"/>
      <c r="U415" s="172"/>
      <c r="V415" s="172"/>
    </row>
    <row r="416" spans="1:22" ht="16.5" customHeight="1" x14ac:dyDescent="0.25">
      <c r="A416" s="172"/>
      <c r="B416" s="172"/>
      <c r="C416" s="172"/>
      <c r="D416" s="172"/>
      <c r="E416" s="172"/>
      <c r="F416" s="172"/>
      <c r="G416" s="172"/>
      <c r="H416" s="172"/>
      <c r="I416" s="172"/>
      <c r="J416" s="172"/>
      <c r="K416" s="172"/>
      <c r="L416" s="172"/>
      <c r="M416" s="172"/>
      <c r="N416" s="172"/>
      <c r="O416" s="172"/>
      <c r="P416" s="172"/>
      <c r="Q416" s="172"/>
      <c r="R416" s="172"/>
      <c r="S416" s="172"/>
      <c r="T416" s="172"/>
      <c r="U416" s="172"/>
      <c r="V416" s="172"/>
    </row>
    <row r="417" spans="1:22" ht="16.5" customHeight="1" x14ac:dyDescent="0.25">
      <c r="A417" s="172"/>
      <c r="B417" s="172"/>
      <c r="C417" s="172"/>
      <c r="D417" s="172"/>
      <c r="E417" s="172"/>
      <c r="F417" s="172"/>
      <c r="G417" s="172"/>
      <c r="H417" s="172"/>
      <c r="I417" s="172"/>
      <c r="J417" s="172"/>
      <c r="K417" s="172"/>
      <c r="L417" s="172"/>
      <c r="M417" s="172"/>
      <c r="N417" s="172"/>
      <c r="O417" s="172"/>
      <c r="P417" s="172"/>
      <c r="Q417" s="172"/>
      <c r="R417" s="172"/>
      <c r="S417" s="172"/>
      <c r="T417" s="172"/>
      <c r="U417" s="172"/>
      <c r="V417" s="172"/>
    </row>
    <row r="418" spans="1:22" ht="16.5" customHeight="1" x14ac:dyDescent="0.25">
      <c r="A418" s="172"/>
      <c r="B418" s="172"/>
      <c r="C418" s="172"/>
      <c r="D418" s="172"/>
      <c r="E418" s="172"/>
      <c r="F418" s="172"/>
      <c r="G418" s="172"/>
      <c r="H418" s="172"/>
      <c r="I418" s="172"/>
      <c r="J418" s="172"/>
      <c r="K418" s="172"/>
      <c r="L418" s="172"/>
      <c r="M418" s="172"/>
      <c r="N418" s="172"/>
      <c r="O418" s="172"/>
      <c r="P418" s="172"/>
      <c r="Q418" s="172"/>
      <c r="R418" s="172"/>
      <c r="S418" s="172"/>
      <c r="T418" s="172"/>
      <c r="U418" s="172"/>
      <c r="V418" s="172"/>
    </row>
    <row r="419" spans="1:22" ht="16.5" customHeight="1" x14ac:dyDescent="0.25">
      <c r="A419" s="172"/>
      <c r="B419" s="172"/>
      <c r="C419" s="172"/>
      <c r="D419" s="172"/>
      <c r="E419" s="172"/>
      <c r="F419" s="172"/>
      <c r="G419" s="172"/>
      <c r="H419" s="172"/>
      <c r="I419" s="172"/>
      <c r="J419" s="172"/>
      <c r="K419" s="172"/>
      <c r="L419" s="172"/>
      <c r="M419" s="172"/>
      <c r="N419" s="172"/>
      <c r="O419" s="172"/>
      <c r="P419" s="172"/>
      <c r="Q419" s="172"/>
      <c r="R419" s="172"/>
      <c r="S419" s="172"/>
      <c r="T419" s="172"/>
      <c r="U419" s="172"/>
      <c r="V419" s="172"/>
    </row>
    <row r="420" spans="1:22" ht="16.5" customHeight="1" x14ac:dyDescent="0.25">
      <c r="A420" s="172"/>
      <c r="B420" s="172"/>
      <c r="C420" s="172"/>
      <c r="D420" s="172"/>
      <c r="E420" s="172"/>
      <c r="F420" s="172"/>
      <c r="G420" s="172"/>
      <c r="H420" s="172"/>
      <c r="I420" s="172"/>
      <c r="J420" s="172"/>
      <c r="K420" s="172"/>
      <c r="L420" s="172"/>
      <c r="M420" s="172"/>
      <c r="N420" s="172"/>
      <c r="O420" s="172"/>
      <c r="P420" s="172"/>
      <c r="Q420" s="172"/>
      <c r="R420" s="172"/>
      <c r="S420" s="172"/>
      <c r="T420" s="172"/>
      <c r="U420" s="172"/>
      <c r="V420" s="172"/>
    </row>
    <row r="421" spans="1:22" ht="16.5" customHeight="1" x14ac:dyDescent="0.25">
      <c r="A421" s="172"/>
      <c r="B421" s="172"/>
      <c r="C421" s="172"/>
      <c r="D421" s="172"/>
      <c r="E421" s="172"/>
      <c r="F421" s="172"/>
      <c r="G421" s="172"/>
      <c r="H421" s="172"/>
      <c r="I421" s="172"/>
      <c r="J421" s="172"/>
      <c r="K421" s="172"/>
      <c r="L421" s="172"/>
      <c r="M421" s="172"/>
      <c r="N421" s="172"/>
      <c r="O421" s="172"/>
      <c r="P421" s="172"/>
      <c r="Q421" s="172"/>
      <c r="R421" s="172"/>
      <c r="S421" s="172"/>
      <c r="T421" s="172"/>
      <c r="U421" s="172"/>
      <c r="V421" s="172"/>
    </row>
    <row r="422" spans="1:22" ht="16.5" customHeight="1" x14ac:dyDescent="0.25">
      <c r="A422" s="172"/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</row>
    <row r="423" spans="1:22" ht="16.5" customHeight="1" x14ac:dyDescent="0.25">
      <c r="A423" s="172"/>
      <c r="B423" s="172"/>
      <c r="C423" s="172"/>
      <c r="D423" s="172"/>
      <c r="E423" s="172"/>
      <c r="F423" s="172"/>
      <c r="G423" s="172"/>
      <c r="H423" s="172"/>
      <c r="I423" s="172"/>
      <c r="J423" s="172"/>
      <c r="K423" s="172"/>
      <c r="L423" s="172"/>
      <c r="M423" s="172"/>
      <c r="N423" s="172"/>
      <c r="O423" s="172"/>
      <c r="P423" s="172"/>
      <c r="Q423" s="172"/>
      <c r="R423" s="172"/>
      <c r="S423" s="172"/>
      <c r="T423" s="172"/>
      <c r="U423" s="172"/>
      <c r="V423" s="172"/>
    </row>
    <row r="424" spans="1:22" ht="16.5" customHeight="1" x14ac:dyDescent="0.25">
      <c r="A424" s="172"/>
      <c r="B424" s="172"/>
      <c r="C424" s="172"/>
      <c r="D424" s="172"/>
      <c r="E424" s="172"/>
      <c r="F424" s="172"/>
      <c r="G424" s="172"/>
      <c r="H424" s="172"/>
      <c r="I424" s="172"/>
      <c r="J424" s="172"/>
      <c r="K424" s="172"/>
      <c r="L424" s="172"/>
      <c r="M424" s="172"/>
      <c r="N424" s="172"/>
      <c r="O424" s="172"/>
      <c r="P424" s="172"/>
      <c r="Q424" s="172"/>
      <c r="R424" s="172"/>
      <c r="S424" s="172"/>
      <c r="T424" s="172"/>
      <c r="U424" s="172"/>
      <c r="V424" s="172"/>
    </row>
    <row r="425" spans="1:22" ht="16.5" customHeight="1" x14ac:dyDescent="0.25">
      <c r="A425" s="172"/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</row>
    <row r="426" spans="1:22" ht="16.5" customHeight="1" x14ac:dyDescent="0.25">
      <c r="A426" s="172"/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</row>
    <row r="427" spans="1:22" ht="16.5" customHeight="1" x14ac:dyDescent="0.25">
      <c r="A427" s="172"/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</row>
    <row r="428" spans="1:22" ht="16.5" customHeight="1" x14ac:dyDescent="0.25">
      <c r="A428" s="172"/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</row>
    <row r="429" spans="1:22" ht="16.5" customHeight="1" x14ac:dyDescent="0.25">
      <c r="A429" s="172"/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</row>
    <row r="430" spans="1:22" ht="16.5" customHeight="1" x14ac:dyDescent="0.25">
      <c r="A430" s="172"/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</row>
    <row r="431" spans="1:22" ht="16.5" customHeight="1" x14ac:dyDescent="0.25">
      <c r="A431" s="172"/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</row>
    <row r="432" spans="1:22" ht="16.5" customHeight="1" x14ac:dyDescent="0.25">
      <c r="A432" s="172"/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</row>
    <row r="433" spans="1:22" ht="16.5" customHeight="1" x14ac:dyDescent="0.25">
      <c r="A433" s="172"/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</row>
    <row r="434" spans="1:22" ht="16.5" customHeight="1" x14ac:dyDescent="0.25">
      <c r="A434" s="172"/>
      <c r="B434" s="172"/>
      <c r="C434" s="172"/>
      <c r="D434" s="172"/>
      <c r="E434" s="172"/>
      <c r="F434" s="172"/>
      <c r="G434" s="172"/>
      <c r="H434" s="172"/>
      <c r="I434" s="172"/>
      <c r="J434" s="172"/>
      <c r="K434" s="172"/>
      <c r="L434" s="172"/>
      <c r="M434" s="172"/>
      <c r="N434" s="172"/>
      <c r="O434" s="172"/>
      <c r="P434" s="172"/>
      <c r="Q434" s="172"/>
      <c r="R434" s="172"/>
      <c r="S434" s="172"/>
      <c r="T434" s="172"/>
      <c r="U434" s="172"/>
      <c r="V434" s="172"/>
    </row>
    <row r="435" spans="1:22" ht="16.5" customHeight="1" x14ac:dyDescent="0.25">
      <c r="A435" s="172"/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</row>
    <row r="436" spans="1:22" ht="16.5" customHeight="1" x14ac:dyDescent="0.25">
      <c r="A436" s="172"/>
      <c r="B436" s="172"/>
      <c r="C436" s="172"/>
      <c r="D436" s="172"/>
      <c r="E436" s="172"/>
      <c r="F436" s="172"/>
      <c r="G436" s="172"/>
      <c r="H436" s="172"/>
      <c r="I436" s="172"/>
      <c r="J436" s="172"/>
      <c r="K436" s="172"/>
      <c r="L436" s="172"/>
      <c r="M436" s="172"/>
      <c r="N436" s="172"/>
      <c r="O436" s="172"/>
      <c r="P436" s="172"/>
      <c r="Q436" s="172"/>
      <c r="R436" s="172"/>
      <c r="S436" s="172"/>
      <c r="T436" s="172"/>
      <c r="U436" s="172"/>
      <c r="V436" s="172"/>
    </row>
    <row r="437" spans="1:22" ht="16.5" customHeight="1" x14ac:dyDescent="0.25">
      <c r="A437" s="172"/>
      <c r="B437" s="172"/>
      <c r="C437" s="172"/>
      <c r="D437" s="172"/>
      <c r="E437" s="172"/>
      <c r="F437" s="172"/>
      <c r="G437" s="172"/>
      <c r="H437" s="172"/>
      <c r="I437" s="172"/>
      <c r="J437" s="172"/>
      <c r="K437" s="172"/>
      <c r="L437" s="172"/>
      <c r="M437" s="172"/>
      <c r="N437" s="172"/>
      <c r="O437" s="172"/>
      <c r="P437" s="172"/>
      <c r="Q437" s="172"/>
      <c r="R437" s="172"/>
      <c r="S437" s="172"/>
      <c r="T437" s="172"/>
      <c r="U437" s="172"/>
      <c r="V437" s="172"/>
    </row>
    <row r="438" spans="1:22" ht="16.5" customHeight="1" x14ac:dyDescent="0.25">
      <c r="A438" s="172"/>
      <c r="B438" s="172"/>
      <c r="C438" s="172"/>
      <c r="D438" s="172"/>
      <c r="E438" s="172"/>
      <c r="F438" s="172"/>
      <c r="G438" s="172"/>
      <c r="H438" s="172"/>
      <c r="I438" s="172"/>
      <c r="J438" s="172"/>
      <c r="K438" s="172"/>
      <c r="L438" s="172"/>
      <c r="M438" s="172"/>
      <c r="N438" s="172"/>
      <c r="O438" s="172"/>
      <c r="P438" s="172"/>
      <c r="Q438" s="172"/>
      <c r="R438" s="172"/>
      <c r="S438" s="172"/>
      <c r="T438" s="172"/>
      <c r="U438" s="172"/>
      <c r="V438" s="172"/>
    </row>
    <row r="439" spans="1:22" ht="16.5" customHeight="1" x14ac:dyDescent="0.25">
      <c r="A439" s="172"/>
      <c r="B439" s="172"/>
      <c r="C439" s="172"/>
      <c r="D439" s="172"/>
      <c r="E439" s="172"/>
      <c r="F439" s="172"/>
      <c r="G439" s="172"/>
      <c r="H439" s="172"/>
      <c r="I439" s="172"/>
      <c r="J439" s="172"/>
      <c r="K439" s="172"/>
      <c r="L439" s="172"/>
      <c r="M439" s="172"/>
      <c r="N439" s="172"/>
      <c r="O439" s="172"/>
      <c r="P439" s="172"/>
      <c r="Q439" s="172"/>
      <c r="R439" s="172"/>
      <c r="S439" s="172"/>
      <c r="T439" s="172"/>
      <c r="U439" s="172"/>
      <c r="V439" s="172"/>
    </row>
    <row r="440" spans="1:22" ht="16.5" customHeight="1" x14ac:dyDescent="0.25">
      <c r="A440" s="172"/>
      <c r="B440" s="172"/>
      <c r="C440" s="172"/>
      <c r="D440" s="172"/>
      <c r="E440" s="172"/>
      <c r="F440" s="172"/>
      <c r="G440" s="172"/>
      <c r="H440" s="172"/>
      <c r="I440" s="172"/>
      <c r="J440" s="172"/>
      <c r="K440" s="172"/>
      <c r="L440" s="172"/>
      <c r="M440" s="172"/>
      <c r="N440" s="172"/>
      <c r="O440" s="172"/>
      <c r="P440" s="172"/>
      <c r="Q440" s="172"/>
      <c r="R440" s="172"/>
      <c r="S440" s="172"/>
      <c r="T440" s="172"/>
      <c r="U440" s="172"/>
      <c r="V440" s="172"/>
    </row>
    <row r="441" spans="1:22" ht="16.5" customHeight="1" x14ac:dyDescent="0.25">
      <c r="A441" s="172"/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</row>
    <row r="442" spans="1:22" ht="16.5" customHeight="1" x14ac:dyDescent="0.25">
      <c r="A442" s="172"/>
      <c r="B442" s="172"/>
      <c r="C442" s="172"/>
      <c r="D442" s="172"/>
      <c r="E442" s="172"/>
      <c r="F442" s="172"/>
      <c r="G442" s="172"/>
      <c r="H442" s="172"/>
      <c r="I442" s="172"/>
      <c r="J442" s="172"/>
      <c r="K442" s="172"/>
      <c r="L442" s="172"/>
      <c r="M442" s="172"/>
      <c r="N442" s="172"/>
      <c r="O442" s="172"/>
      <c r="P442" s="172"/>
      <c r="Q442" s="172"/>
      <c r="R442" s="172"/>
      <c r="S442" s="172"/>
      <c r="T442" s="172"/>
      <c r="U442" s="172"/>
      <c r="V442" s="172"/>
    </row>
    <row r="443" spans="1:22" ht="16.5" customHeight="1" x14ac:dyDescent="0.25">
      <c r="A443" s="172"/>
      <c r="B443" s="172"/>
      <c r="C443" s="172"/>
      <c r="D443" s="172"/>
      <c r="E443" s="172"/>
      <c r="F443" s="172"/>
      <c r="G443" s="172"/>
      <c r="H443" s="172"/>
      <c r="I443" s="172"/>
      <c r="J443" s="172"/>
      <c r="K443" s="172"/>
      <c r="L443" s="172"/>
      <c r="M443" s="172"/>
      <c r="N443" s="172"/>
      <c r="O443" s="172"/>
      <c r="P443" s="172"/>
      <c r="Q443" s="172"/>
      <c r="R443" s="172"/>
      <c r="S443" s="172"/>
      <c r="T443" s="172"/>
      <c r="U443" s="172"/>
      <c r="V443" s="172"/>
    </row>
    <row r="444" spans="1:22" ht="16.5" customHeight="1" x14ac:dyDescent="0.25">
      <c r="A444" s="172"/>
      <c r="B444" s="172"/>
      <c r="C444" s="172"/>
      <c r="D444" s="172"/>
      <c r="E444" s="172"/>
      <c r="F444" s="172"/>
      <c r="G444" s="172"/>
      <c r="H444" s="172"/>
      <c r="I444" s="172"/>
      <c r="J444" s="172"/>
      <c r="K444" s="172"/>
      <c r="L444" s="172"/>
      <c r="M444" s="172"/>
      <c r="N444" s="172"/>
      <c r="O444" s="172"/>
      <c r="P444" s="172"/>
      <c r="Q444" s="172"/>
      <c r="R444" s="172"/>
      <c r="S444" s="172"/>
      <c r="T444" s="172"/>
      <c r="U444" s="172"/>
      <c r="V444" s="172"/>
    </row>
    <row r="445" spans="1:22" ht="16.5" customHeight="1" x14ac:dyDescent="0.25">
      <c r="A445" s="172"/>
      <c r="B445" s="172"/>
      <c r="C445" s="172"/>
      <c r="D445" s="172"/>
      <c r="E445" s="172"/>
      <c r="F445" s="172"/>
      <c r="G445" s="172"/>
      <c r="H445" s="172"/>
      <c r="I445" s="172"/>
      <c r="J445" s="172"/>
      <c r="K445" s="172"/>
      <c r="L445" s="172"/>
      <c r="M445" s="172"/>
      <c r="N445" s="172"/>
      <c r="O445" s="172"/>
      <c r="P445" s="172"/>
      <c r="Q445" s="172"/>
      <c r="R445" s="172"/>
      <c r="S445" s="172"/>
      <c r="T445" s="172"/>
      <c r="U445" s="172"/>
      <c r="V445" s="172"/>
    </row>
    <row r="446" spans="1:22" ht="16.5" customHeight="1" x14ac:dyDescent="0.25">
      <c r="A446" s="172"/>
      <c r="B446" s="172"/>
      <c r="C446" s="172"/>
      <c r="D446" s="172"/>
      <c r="E446" s="172"/>
      <c r="F446" s="172"/>
      <c r="G446" s="172"/>
      <c r="H446" s="172"/>
      <c r="I446" s="172"/>
      <c r="J446" s="172"/>
      <c r="K446" s="172"/>
      <c r="L446" s="172"/>
      <c r="M446" s="172"/>
      <c r="N446" s="172"/>
      <c r="O446" s="172"/>
      <c r="P446" s="172"/>
      <c r="Q446" s="172"/>
      <c r="R446" s="172"/>
      <c r="S446" s="172"/>
      <c r="T446" s="172"/>
      <c r="U446" s="172"/>
      <c r="V446" s="172"/>
    </row>
    <row r="447" spans="1:22" ht="16.5" customHeight="1" x14ac:dyDescent="0.25">
      <c r="A447" s="172"/>
      <c r="B447" s="172"/>
      <c r="C447" s="172"/>
      <c r="D447" s="172"/>
      <c r="E447" s="172"/>
      <c r="F447" s="172"/>
      <c r="G447" s="172"/>
      <c r="H447" s="172"/>
      <c r="I447" s="172"/>
      <c r="J447" s="172"/>
      <c r="K447" s="172"/>
      <c r="L447" s="172"/>
      <c r="M447" s="172"/>
      <c r="N447" s="172"/>
      <c r="O447" s="172"/>
      <c r="P447" s="172"/>
      <c r="Q447" s="172"/>
      <c r="R447" s="172"/>
      <c r="S447" s="172"/>
      <c r="T447" s="172"/>
      <c r="U447" s="172"/>
      <c r="V447" s="172"/>
    </row>
    <row r="448" spans="1:22" ht="16.5" customHeight="1" x14ac:dyDescent="0.25">
      <c r="A448" s="172"/>
      <c r="B448" s="172"/>
      <c r="C448" s="172"/>
      <c r="D448" s="172"/>
      <c r="E448" s="172"/>
      <c r="F448" s="172"/>
      <c r="G448" s="172"/>
      <c r="H448" s="172"/>
      <c r="I448" s="172"/>
      <c r="J448" s="172"/>
      <c r="K448" s="172"/>
      <c r="L448" s="172"/>
      <c r="M448" s="172"/>
      <c r="N448" s="172"/>
      <c r="O448" s="172"/>
      <c r="P448" s="172"/>
      <c r="Q448" s="172"/>
      <c r="R448" s="172"/>
      <c r="S448" s="172"/>
      <c r="T448" s="172"/>
      <c r="U448" s="172"/>
      <c r="V448" s="172"/>
    </row>
    <row r="449" spans="1:22" ht="16.5" customHeight="1" x14ac:dyDescent="0.25">
      <c r="A449" s="172"/>
      <c r="B449" s="172"/>
      <c r="C449" s="172"/>
      <c r="D449" s="172"/>
      <c r="E449" s="172"/>
      <c r="F449" s="172"/>
      <c r="G449" s="172"/>
      <c r="H449" s="172"/>
      <c r="I449" s="172"/>
      <c r="J449" s="172"/>
      <c r="K449" s="172"/>
      <c r="L449" s="172"/>
      <c r="M449" s="172"/>
      <c r="N449" s="172"/>
      <c r="O449" s="172"/>
      <c r="P449" s="172"/>
      <c r="Q449" s="172"/>
      <c r="R449" s="172"/>
      <c r="S449" s="172"/>
      <c r="T449" s="172"/>
      <c r="U449" s="172"/>
      <c r="V449" s="172"/>
    </row>
    <row r="450" spans="1:22" ht="16.5" customHeight="1" x14ac:dyDescent="0.25">
      <c r="A450" s="172"/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</row>
    <row r="451" spans="1:22" ht="16.5" customHeight="1" x14ac:dyDescent="0.25">
      <c r="A451" s="172"/>
      <c r="B451" s="172"/>
      <c r="C451" s="172"/>
      <c r="D451" s="172"/>
      <c r="E451" s="172"/>
      <c r="F451" s="172"/>
      <c r="G451" s="172"/>
      <c r="H451" s="172"/>
      <c r="I451" s="172"/>
      <c r="J451" s="172"/>
      <c r="K451" s="172"/>
      <c r="L451" s="172"/>
      <c r="M451" s="172"/>
      <c r="N451" s="172"/>
      <c r="O451" s="172"/>
      <c r="P451" s="172"/>
      <c r="Q451" s="172"/>
      <c r="R451" s="172"/>
      <c r="S451" s="172"/>
      <c r="T451" s="172"/>
      <c r="U451" s="172"/>
      <c r="V451" s="172"/>
    </row>
    <row r="452" spans="1:22" ht="16.5" customHeight="1" x14ac:dyDescent="0.25">
      <c r="A452" s="172"/>
      <c r="B452" s="172"/>
      <c r="C452" s="172"/>
      <c r="D452" s="172"/>
      <c r="E452" s="172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  <c r="Q452" s="172"/>
      <c r="R452" s="172"/>
      <c r="S452" s="172"/>
      <c r="T452" s="172"/>
      <c r="U452" s="172"/>
      <c r="V452" s="172"/>
    </row>
    <row r="453" spans="1:22" ht="16.5" customHeight="1" x14ac:dyDescent="0.25">
      <c r="A453" s="172"/>
      <c r="B453" s="172"/>
      <c r="C453" s="172"/>
      <c r="D453" s="172"/>
      <c r="E453" s="172"/>
      <c r="F453" s="172"/>
      <c r="G453" s="172"/>
      <c r="H453" s="172"/>
      <c r="I453" s="172"/>
      <c r="J453" s="172"/>
      <c r="K453" s="172"/>
      <c r="L453" s="172"/>
      <c r="M453" s="172"/>
      <c r="N453" s="172"/>
      <c r="O453" s="172"/>
      <c r="P453" s="172"/>
      <c r="Q453" s="172"/>
      <c r="R453" s="172"/>
      <c r="S453" s="172"/>
      <c r="T453" s="172"/>
      <c r="U453" s="172"/>
      <c r="V453" s="172"/>
    </row>
    <row r="454" spans="1:22" ht="16.5" customHeight="1" x14ac:dyDescent="0.25">
      <c r="A454" s="172"/>
      <c r="B454" s="172"/>
      <c r="C454" s="172"/>
      <c r="D454" s="172"/>
      <c r="E454" s="172"/>
      <c r="F454" s="172"/>
      <c r="G454" s="172"/>
      <c r="H454" s="172"/>
      <c r="I454" s="172"/>
      <c r="J454" s="172"/>
      <c r="K454" s="172"/>
      <c r="L454" s="172"/>
      <c r="M454" s="172"/>
      <c r="N454" s="172"/>
      <c r="O454" s="172"/>
      <c r="P454" s="172"/>
      <c r="Q454" s="172"/>
      <c r="R454" s="172"/>
      <c r="S454" s="172"/>
      <c r="T454" s="172"/>
      <c r="U454" s="172"/>
      <c r="V454" s="172"/>
    </row>
    <row r="455" spans="1:22" ht="16.5" customHeight="1" x14ac:dyDescent="0.25">
      <c r="A455" s="172"/>
      <c r="B455" s="172"/>
      <c r="C455" s="172"/>
      <c r="D455" s="172"/>
      <c r="E455" s="172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2"/>
      <c r="Q455" s="172"/>
      <c r="R455" s="172"/>
      <c r="S455" s="172"/>
      <c r="T455" s="172"/>
      <c r="U455" s="172"/>
      <c r="V455" s="172"/>
    </row>
    <row r="456" spans="1:22" ht="16.5" customHeight="1" x14ac:dyDescent="0.25">
      <c r="A456" s="172"/>
      <c r="B456" s="172"/>
      <c r="C456" s="172"/>
      <c r="D456" s="172"/>
      <c r="E456" s="172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  <c r="Q456" s="172"/>
      <c r="R456" s="172"/>
      <c r="S456" s="172"/>
      <c r="T456" s="172"/>
      <c r="U456" s="172"/>
      <c r="V456" s="172"/>
    </row>
    <row r="457" spans="1:22" ht="16.5" customHeight="1" x14ac:dyDescent="0.25">
      <c r="A457" s="172"/>
      <c r="B457" s="172"/>
      <c r="C457" s="172"/>
      <c r="D457" s="172"/>
      <c r="E457" s="172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  <c r="Q457" s="172"/>
      <c r="R457" s="172"/>
      <c r="S457" s="172"/>
      <c r="T457" s="172"/>
      <c r="U457" s="172"/>
      <c r="V457" s="172"/>
    </row>
    <row r="458" spans="1:22" ht="16.5" customHeight="1" x14ac:dyDescent="0.25">
      <c r="A458" s="172"/>
      <c r="B458" s="172"/>
      <c r="C458" s="172"/>
      <c r="D458" s="172"/>
      <c r="E458" s="172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  <c r="Q458" s="172"/>
      <c r="R458" s="172"/>
      <c r="S458" s="172"/>
      <c r="T458" s="172"/>
      <c r="U458" s="172"/>
      <c r="V458" s="172"/>
    </row>
    <row r="459" spans="1:22" ht="16.5" customHeight="1" x14ac:dyDescent="0.25">
      <c r="A459" s="172"/>
      <c r="B459" s="172"/>
      <c r="C459" s="172"/>
      <c r="D459" s="172"/>
      <c r="E459" s="172"/>
      <c r="F459" s="172"/>
      <c r="G459" s="172"/>
      <c r="H459" s="172"/>
      <c r="I459" s="172"/>
      <c r="J459" s="172"/>
      <c r="K459" s="172"/>
      <c r="L459" s="172"/>
      <c r="M459" s="172"/>
      <c r="N459" s="172"/>
      <c r="O459" s="172"/>
      <c r="P459" s="172"/>
      <c r="Q459" s="172"/>
      <c r="R459" s="172"/>
      <c r="S459" s="172"/>
      <c r="T459" s="172"/>
      <c r="U459" s="172"/>
      <c r="V459" s="172"/>
    </row>
    <row r="460" spans="1:22" ht="16.5" customHeight="1" x14ac:dyDescent="0.25">
      <c r="A460" s="172"/>
      <c r="B460" s="172"/>
      <c r="C460" s="172"/>
      <c r="D460" s="172"/>
      <c r="E460" s="172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  <c r="Q460" s="172"/>
      <c r="R460" s="172"/>
      <c r="S460" s="172"/>
      <c r="T460" s="172"/>
      <c r="U460" s="172"/>
      <c r="V460" s="172"/>
    </row>
    <row r="461" spans="1:22" ht="16.5" customHeight="1" x14ac:dyDescent="0.25">
      <c r="A461" s="172"/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</row>
    <row r="462" spans="1:22" ht="16.5" customHeight="1" x14ac:dyDescent="0.25">
      <c r="A462" s="172"/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</row>
    <row r="463" spans="1:22" ht="16.5" customHeight="1" x14ac:dyDescent="0.25">
      <c r="A463" s="172"/>
      <c r="B463" s="172"/>
      <c r="C463" s="172"/>
      <c r="D463" s="172"/>
      <c r="E463" s="172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  <c r="Q463" s="172"/>
      <c r="R463" s="172"/>
      <c r="S463" s="172"/>
      <c r="T463" s="172"/>
      <c r="U463" s="172"/>
      <c r="V463" s="172"/>
    </row>
    <row r="464" spans="1:22" ht="16.5" customHeight="1" x14ac:dyDescent="0.25">
      <c r="A464" s="172"/>
      <c r="B464" s="172"/>
      <c r="C464" s="172"/>
      <c r="D464" s="172"/>
      <c r="E464" s="172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  <c r="Q464" s="172"/>
      <c r="R464" s="172"/>
      <c r="S464" s="172"/>
      <c r="T464" s="172"/>
      <c r="U464" s="172"/>
      <c r="V464" s="172"/>
    </row>
    <row r="465" spans="1:22" ht="16.5" customHeight="1" x14ac:dyDescent="0.25">
      <c r="A465" s="172"/>
      <c r="B465" s="172"/>
      <c r="C465" s="172"/>
      <c r="D465" s="172"/>
      <c r="E465" s="172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  <c r="Q465" s="172"/>
      <c r="R465" s="172"/>
      <c r="S465" s="172"/>
      <c r="T465" s="172"/>
      <c r="U465" s="172"/>
      <c r="V465" s="172"/>
    </row>
    <row r="466" spans="1:22" ht="16.5" customHeight="1" x14ac:dyDescent="0.25">
      <c r="A466" s="172"/>
      <c r="B466" s="172"/>
      <c r="C466" s="172"/>
      <c r="D466" s="172"/>
      <c r="E466" s="172"/>
      <c r="F466" s="172"/>
      <c r="G466" s="172"/>
      <c r="H466" s="172"/>
      <c r="I466" s="172"/>
      <c r="J466" s="172"/>
      <c r="K466" s="172"/>
      <c r="L466" s="172"/>
      <c r="M466" s="172"/>
      <c r="N466" s="172"/>
      <c r="O466" s="172"/>
      <c r="P466" s="172"/>
      <c r="Q466" s="172"/>
      <c r="R466" s="172"/>
      <c r="S466" s="172"/>
      <c r="T466" s="172"/>
      <c r="U466" s="172"/>
      <c r="V466" s="172"/>
    </row>
    <row r="467" spans="1:22" ht="16.5" customHeight="1" x14ac:dyDescent="0.25">
      <c r="A467" s="172"/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</row>
    <row r="468" spans="1:22" ht="16.5" customHeight="1" x14ac:dyDescent="0.25">
      <c r="A468" s="172"/>
      <c r="B468" s="172"/>
      <c r="C468" s="172"/>
      <c r="D468" s="172"/>
      <c r="E468" s="172"/>
      <c r="F468" s="172"/>
      <c r="G468" s="172"/>
      <c r="H468" s="172"/>
      <c r="I468" s="172"/>
      <c r="J468" s="172"/>
      <c r="K468" s="172"/>
      <c r="L468" s="172"/>
      <c r="M468" s="172"/>
      <c r="N468" s="172"/>
      <c r="O468" s="172"/>
      <c r="P468" s="172"/>
      <c r="Q468" s="172"/>
      <c r="R468" s="172"/>
      <c r="S468" s="172"/>
      <c r="T468" s="172"/>
      <c r="U468" s="172"/>
      <c r="V468" s="172"/>
    </row>
    <row r="469" spans="1:22" ht="16.5" customHeight="1" x14ac:dyDescent="0.25">
      <c r="A469" s="172"/>
      <c r="B469" s="172"/>
      <c r="C469" s="172"/>
      <c r="D469" s="172"/>
      <c r="E469" s="172"/>
      <c r="F469" s="172"/>
      <c r="G469" s="172"/>
      <c r="H469" s="172"/>
      <c r="I469" s="172"/>
      <c r="J469" s="172"/>
      <c r="K469" s="172"/>
      <c r="L469" s="172"/>
      <c r="M469" s="172"/>
      <c r="N469" s="172"/>
      <c r="O469" s="172"/>
      <c r="P469" s="172"/>
      <c r="Q469" s="172"/>
      <c r="R469" s="172"/>
      <c r="S469" s="172"/>
      <c r="T469" s="172"/>
      <c r="U469" s="172"/>
      <c r="V469" s="172"/>
    </row>
    <row r="470" spans="1:22" ht="16.5" customHeight="1" x14ac:dyDescent="0.25">
      <c r="A470" s="172"/>
      <c r="B470" s="172"/>
      <c r="C470" s="172"/>
      <c r="D470" s="172"/>
      <c r="E470" s="172"/>
      <c r="F470" s="172"/>
      <c r="G470" s="172"/>
      <c r="H470" s="172"/>
      <c r="I470" s="172"/>
      <c r="J470" s="172"/>
      <c r="K470" s="172"/>
      <c r="L470" s="172"/>
      <c r="M470" s="172"/>
      <c r="N470" s="172"/>
      <c r="O470" s="172"/>
      <c r="P470" s="172"/>
      <c r="Q470" s="172"/>
      <c r="R470" s="172"/>
      <c r="S470" s="172"/>
      <c r="T470" s="172"/>
      <c r="U470" s="172"/>
      <c r="V470" s="172"/>
    </row>
    <row r="471" spans="1:22" ht="16.5" customHeight="1" x14ac:dyDescent="0.25">
      <c r="A471" s="172"/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</row>
    <row r="472" spans="1:22" ht="16.5" customHeight="1" x14ac:dyDescent="0.25">
      <c r="A472" s="172"/>
      <c r="B472" s="172"/>
      <c r="C472" s="172"/>
      <c r="D472" s="172"/>
      <c r="E472" s="172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2"/>
      <c r="Q472" s="172"/>
      <c r="R472" s="172"/>
      <c r="S472" s="172"/>
      <c r="T472" s="172"/>
      <c r="U472" s="172"/>
      <c r="V472" s="172"/>
    </row>
    <row r="473" spans="1:22" ht="16.5" customHeight="1" x14ac:dyDescent="0.25">
      <c r="A473" s="172"/>
      <c r="B473" s="172"/>
      <c r="C473" s="172"/>
      <c r="D473" s="172"/>
      <c r="E473" s="172"/>
      <c r="F473" s="172"/>
      <c r="G473" s="172"/>
      <c r="H473" s="172"/>
      <c r="I473" s="172"/>
      <c r="J473" s="172"/>
      <c r="K473" s="172"/>
      <c r="L473" s="172"/>
      <c r="M473" s="172"/>
      <c r="N473" s="172"/>
      <c r="O473" s="172"/>
      <c r="P473" s="172"/>
      <c r="Q473" s="172"/>
      <c r="R473" s="172"/>
      <c r="S473" s="172"/>
      <c r="T473" s="172"/>
      <c r="U473" s="172"/>
      <c r="V473" s="172"/>
    </row>
    <row r="474" spans="1:22" ht="16.5" customHeight="1" x14ac:dyDescent="0.25">
      <c r="A474" s="172"/>
      <c r="B474" s="172"/>
      <c r="C474" s="172"/>
      <c r="D474" s="172"/>
      <c r="E474" s="172"/>
      <c r="F474" s="172"/>
      <c r="G474" s="172"/>
      <c r="H474" s="172"/>
      <c r="I474" s="172"/>
      <c r="J474" s="172"/>
      <c r="K474" s="172"/>
      <c r="L474" s="172"/>
      <c r="M474" s="172"/>
      <c r="N474" s="172"/>
      <c r="O474" s="172"/>
      <c r="P474" s="172"/>
      <c r="Q474" s="172"/>
      <c r="R474" s="172"/>
      <c r="S474" s="172"/>
      <c r="T474" s="172"/>
      <c r="U474" s="172"/>
      <c r="V474" s="172"/>
    </row>
    <row r="475" spans="1:22" ht="16.5" customHeight="1" x14ac:dyDescent="0.25">
      <c r="A475" s="172"/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</row>
    <row r="476" spans="1:22" ht="16.5" customHeight="1" x14ac:dyDescent="0.25">
      <c r="A476" s="172"/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</row>
    <row r="477" spans="1:22" ht="16.5" customHeight="1" x14ac:dyDescent="0.25">
      <c r="A477" s="172"/>
      <c r="B477" s="172"/>
      <c r="C477" s="172"/>
      <c r="D477" s="172"/>
      <c r="E477" s="172"/>
      <c r="F477" s="172"/>
      <c r="G477" s="172"/>
      <c r="H477" s="172"/>
      <c r="I477" s="172"/>
      <c r="J477" s="172"/>
      <c r="K477" s="172"/>
      <c r="L477" s="172"/>
      <c r="M477" s="172"/>
      <c r="N477" s="172"/>
      <c r="O477" s="172"/>
      <c r="P477" s="172"/>
      <c r="Q477" s="172"/>
      <c r="R477" s="172"/>
      <c r="S477" s="172"/>
      <c r="T477" s="172"/>
      <c r="U477" s="172"/>
      <c r="V477" s="172"/>
    </row>
    <row r="478" spans="1:22" ht="16.5" customHeight="1" x14ac:dyDescent="0.25">
      <c r="A478" s="172"/>
      <c r="B478" s="172"/>
      <c r="C478" s="172"/>
      <c r="D478" s="172"/>
      <c r="E478" s="172"/>
      <c r="F478" s="172"/>
      <c r="G478" s="172"/>
      <c r="H478" s="172"/>
      <c r="I478" s="172"/>
      <c r="J478" s="172"/>
      <c r="K478" s="172"/>
      <c r="L478" s="172"/>
      <c r="M478" s="172"/>
      <c r="N478" s="172"/>
      <c r="O478" s="172"/>
      <c r="P478" s="172"/>
      <c r="Q478" s="172"/>
      <c r="R478" s="172"/>
      <c r="S478" s="172"/>
      <c r="T478" s="172"/>
      <c r="U478" s="172"/>
      <c r="V478" s="172"/>
    </row>
    <row r="479" spans="1:22" ht="16.5" customHeight="1" x14ac:dyDescent="0.25">
      <c r="A479" s="172"/>
      <c r="B479" s="172"/>
      <c r="C479" s="172"/>
      <c r="D479" s="172"/>
      <c r="E479" s="172"/>
      <c r="F479" s="172"/>
      <c r="G479" s="172"/>
      <c r="H479" s="172"/>
      <c r="I479" s="172"/>
      <c r="J479" s="172"/>
      <c r="K479" s="172"/>
      <c r="L479" s="172"/>
      <c r="M479" s="172"/>
      <c r="N479" s="172"/>
      <c r="O479" s="172"/>
      <c r="P479" s="172"/>
      <c r="Q479" s="172"/>
      <c r="R479" s="172"/>
      <c r="S479" s="172"/>
      <c r="T479" s="172"/>
      <c r="U479" s="172"/>
      <c r="V479" s="172"/>
    </row>
    <row r="480" spans="1:22" ht="16.5" customHeight="1" x14ac:dyDescent="0.25">
      <c r="A480" s="172"/>
      <c r="B480" s="172"/>
      <c r="C480" s="172"/>
      <c r="D480" s="172"/>
      <c r="E480" s="172"/>
      <c r="F480" s="172"/>
      <c r="G480" s="172"/>
      <c r="H480" s="172"/>
      <c r="I480" s="172"/>
      <c r="J480" s="172"/>
      <c r="K480" s="172"/>
      <c r="L480" s="172"/>
      <c r="M480" s="172"/>
      <c r="N480" s="172"/>
      <c r="O480" s="172"/>
      <c r="P480" s="172"/>
      <c r="Q480" s="172"/>
      <c r="R480" s="172"/>
      <c r="S480" s="172"/>
      <c r="T480" s="172"/>
      <c r="U480" s="172"/>
      <c r="V480" s="172"/>
    </row>
    <row r="481" spans="1:22" ht="16.5" customHeight="1" x14ac:dyDescent="0.25">
      <c r="A481" s="172"/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</row>
    <row r="482" spans="1:22" ht="16.5" customHeight="1" x14ac:dyDescent="0.25">
      <c r="A482" s="172"/>
      <c r="B482" s="172"/>
      <c r="C482" s="172"/>
      <c r="D482" s="172"/>
      <c r="E482" s="172"/>
      <c r="F482" s="172"/>
      <c r="G482" s="172"/>
      <c r="H482" s="172"/>
      <c r="I482" s="172"/>
      <c r="J482" s="172"/>
      <c r="K482" s="172"/>
      <c r="L482" s="172"/>
      <c r="M482" s="172"/>
      <c r="N482" s="172"/>
      <c r="O482" s="172"/>
      <c r="P482" s="172"/>
      <c r="Q482" s="172"/>
      <c r="R482" s="172"/>
      <c r="S482" s="172"/>
      <c r="T482" s="172"/>
      <c r="U482" s="172"/>
      <c r="V482" s="172"/>
    </row>
    <row r="483" spans="1:22" ht="16.5" customHeight="1" x14ac:dyDescent="0.25">
      <c r="A483" s="172"/>
      <c r="B483" s="172"/>
      <c r="C483" s="172"/>
      <c r="D483" s="172"/>
      <c r="E483" s="172"/>
      <c r="F483" s="172"/>
      <c r="G483" s="172"/>
      <c r="H483" s="172"/>
      <c r="I483" s="172"/>
      <c r="J483" s="172"/>
      <c r="K483" s="172"/>
      <c r="L483" s="172"/>
      <c r="M483" s="172"/>
      <c r="N483" s="172"/>
      <c r="O483" s="172"/>
      <c r="P483" s="172"/>
      <c r="Q483" s="172"/>
      <c r="R483" s="172"/>
      <c r="S483" s="172"/>
      <c r="T483" s="172"/>
      <c r="U483" s="172"/>
      <c r="V483" s="172"/>
    </row>
    <row r="484" spans="1:22" ht="16.5" customHeight="1" x14ac:dyDescent="0.25">
      <c r="A484" s="172"/>
      <c r="B484" s="172"/>
      <c r="C484" s="172"/>
      <c r="D484" s="172"/>
      <c r="E484" s="172"/>
      <c r="F484" s="172"/>
      <c r="G484" s="172"/>
      <c r="H484" s="172"/>
      <c r="I484" s="172"/>
      <c r="J484" s="172"/>
      <c r="K484" s="172"/>
      <c r="L484" s="172"/>
      <c r="M484" s="172"/>
      <c r="N484" s="172"/>
      <c r="O484" s="172"/>
      <c r="P484" s="172"/>
      <c r="Q484" s="172"/>
      <c r="R484" s="172"/>
      <c r="S484" s="172"/>
      <c r="T484" s="172"/>
      <c r="U484" s="172"/>
      <c r="V484" s="172"/>
    </row>
    <row r="485" spans="1:22" ht="16.5" customHeight="1" x14ac:dyDescent="0.25">
      <c r="A485" s="172"/>
      <c r="B485" s="172"/>
      <c r="C485" s="172"/>
      <c r="D485" s="172"/>
      <c r="E485" s="172"/>
      <c r="F485" s="172"/>
      <c r="G485" s="172"/>
      <c r="H485" s="172"/>
      <c r="I485" s="172"/>
      <c r="J485" s="172"/>
      <c r="K485" s="172"/>
      <c r="L485" s="172"/>
      <c r="M485" s="172"/>
      <c r="N485" s="172"/>
      <c r="O485" s="172"/>
      <c r="P485" s="172"/>
      <c r="Q485" s="172"/>
      <c r="R485" s="172"/>
      <c r="S485" s="172"/>
      <c r="T485" s="172"/>
      <c r="U485" s="172"/>
      <c r="V485" s="172"/>
    </row>
    <row r="486" spans="1:22" ht="16.5" customHeight="1" x14ac:dyDescent="0.25">
      <c r="A486" s="172"/>
      <c r="B486" s="172"/>
      <c r="C486" s="172"/>
      <c r="D486" s="172"/>
      <c r="E486" s="172"/>
      <c r="F486" s="172"/>
      <c r="G486" s="172"/>
      <c r="H486" s="172"/>
      <c r="I486" s="172"/>
      <c r="J486" s="172"/>
      <c r="K486" s="172"/>
      <c r="L486" s="172"/>
      <c r="M486" s="172"/>
      <c r="N486" s="172"/>
      <c r="O486" s="172"/>
      <c r="P486" s="172"/>
      <c r="Q486" s="172"/>
      <c r="R486" s="172"/>
      <c r="S486" s="172"/>
      <c r="T486" s="172"/>
      <c r="U486" s="172"/>
      <c r="V486" s="172"/>
    </row>
    <row r="487" spans="1:22" ht="16.5" customHeight="1" x14ac:dyDescent="0.25">
      <c r="A487" s="172"/>
      <c r="B487" s="172"/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2"/>
      <c r="N487" s="172"/>
      <c r="O487" s="172"/>
      <c r="P487" s="172"/>
      <c r="Q487" s="172"/>
      <c r="R487" s="172"/>
      <c r="S487" s="172"/>
      <c r="T487" s="172"/>
      <c r="U487" s="172"/>
      <c r="V487" s="172"/>
    </row>
    <row r="488" spans="1:22" ht="16.5" customHeight="1" x14ac:dyDescent="0.25">
      <c r="A488" s="172"/>
      <c r="B488" s="172"/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172"/>
      <c r="Q488" s="172"/>
      <c r="R488" s="172"/>
      <c r="S488" s="172"/>
      <c r="T488" s="172"/>
      <c r="U488" s="172"/>
      <c r="V488" s="172"/>
    </row>
    <row r="489" spans="1:22" ht="16.5" customHeight="1" x14ac:dyDescent="0.25">
      <c r="A489" s="172"/>
      <c r="B489" s="172"/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2"/>
      <c r="N489" s="172"/>
      <c r="O489" s="172"/>
      <c r="P489" s="172"/>
      <c r="Q489" s="172"/>
      <c r="R489" s="172"/>
      <c r="S489" s="172"/>
      <c r="T489" s="172"/>
      <c r="U489" s="172"/>
      <c r="V489" s="172"/>
    </row>
    <row r="490" spans="1:22" ht="16.5" customHeight="1" x14ac:dyDescent="0.25">
      <c r="A490" s="172"/>
      <c r="B490" s="172"/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2"/>
      <c r="N490" s="172"/>
      <c r="O490" s="172"/>
      <c r="P490" s="172"/>
      <c r="Q490" s="172"/>
      <c r="R490" s="172"/>
      <c r="S490" s="172"/>
      <c r="T490" s="172"/>
      <c r="U490" s="172"/>
      <c r="V490" s="172"/>
    </row>
    <row r="491" spans="1:22" ht="16.5" customHeight="1" x14ac:dyDescent="0.25">
      <c r="A491" s="172"/>
      <c r="B491" s="172"/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2"/>
      <c r="N491" s="172"/>
      <c r="O491" s="172"/>
      <c r="P491" s="172"/>
      <c r="Q491" s="172"/>
      <c r="R491" s="172"/>
      <c r="S491" s="172"/>
      <c r="T491" s="172"/>
      <c r="U491" s="172"/>
      <c r="V491" s="172"/>
    </row>
    <row r="492" spans="1:22" ht="16.5" customHeight="1" x14ac:dyDescent="0.25">
      <c r="A492" s="172"/>
      <c r="B492" s="172"/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2"/>
      <c r="N492" s="172"/>
      <c r="O492" s="172"/>
      <c r="P492" s="172"/>
      <c r="Q492" s="172"/>
      <c r="R492" s="172"/>
      <c r="S492" s="172"/>
      <c r="T492" s="172"/>
      <c r="U492" s="172"/>
      <c r="V492" s="172"/>
    </row>
    <row r="493" spans="1:22" ht="16.5" customHeight="1" x14ac:dyDescent="0.25">
      <c r="A493" s="172"/>
      <c r="B493" s="172"/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2"/>
      <c r="N493" s="172"/>
      <c r="O493" s="172"/>
      <c r="P493" s="172"/>
      <c r="Q493" s="172"/>
      <c r="R493" s="172"/>
      <c r="S493" s="172"/>
      <c r="T493" s="172"/>
      <c r="U493" s="172"/>
      <c r="V493" s="172"/>
    </row>
    <row r="494" spans="1:22" ht="16.5" customHeight="1" x14ac:dyDescent="0.25">
      <c r="A494" s="172"/>
      <c r="B494" s="172"/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2"/>
      <c r="N494" s="172"/>
      <c r="O494" s="172"/>
      <c r="P494" s="172"/>
      <c r="Q494" s="172"/>
      <c r="R494" s="172"/>
      <c r="S494" s="172"/>
      <c r="T494" s="172"/>
      <c r="U494" s="172"/>
      <c r="V494" s="172"/>
    </row>
    <row r="495" spans="1:22" ht="16.5" customHeight="1" x14ac:dyDescent="0.25">
      <c r="A495" s="172"/>
      <c r="B495" s="172"/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2"/>
      <c r="N495" s="172"/>
      <c r="O495" s="172"/>
      <c r="P495" s="172"/>
      <c r="Q495" s="172"/>
      <c r="R495" s="172"/>
      <c r="S495" s="172"/>
      <c r="T495" s="172"/>
      <c r="U495" s="172"/>
      <c r="V495" s="172"/>
    </row>
    <row r="496" spans="1:22" ht="16.5" customHeight="1" x14ac:dyDescent="0.25">
      <c r="A496" s="172"/>
      <c r="B496" s="172"/>
      <c r="C496" s="172"/>
      <c r="D496" s="172"/>
      <c r="E496" s="172"/>
      <c r="F496" s="172"/>
      <c r="G496" s="172"/>
      <c r="H496" s="172"/>
      <c r="I496" s="172"/>
      <c r="J496" s="172"/>
      <c r="K496" s="172"/>
      <c r="L496" s="172"/>
      <c r="M496" s="172"/>
      <c r="N496" s="172"/>
      <c r="O496" s="172"/>
      <c r="P496" s="172"/>
      <c r="Q496" s="172"/>
      <c r="R496" s="172"/>
      <c r="S496" s="172"/>
      <c r="T496" s="172"/>
      <c r="U496" s="172"/>
      <c r="V496" s="172"/>
    </row>
    <row r="497" spans="1:22" ht="16.5" customHeight="1" x14ac:dyDescent="0.25">
      <c r="A497" s="172"/>
      <c r="B497" s="172"/>
      <c r="C497" s="172"/>
      <c r="D497" s="172"/>
      <c r="E497" s="172"/>
      <c r="F497" s="172"/>
      <c r="G497" s="172"/>
      <c r="H497" s="172"/>
      <c r="I497" s="172"/>
      <c r="J497" s="172"/>
      <c r="K497" s="172"/>
      <c r="L497" s="172"/>
      <c r="M497" s="172"/>
      <c r="N497" s="172"/>
      <c r="O497" s="172"/>
      <c r="P497" s="172"/>
      <c r="Q497" s="172"/>
      <c r="R497" s="172"/>
      <c r="S497" s="172"/>
      <c r="T497" s="172"/>
      <c r="U497" s="172"/>
      <c r="V497" s="172"/>
    </row>
    <row r="498" spans="1:22" ht="16.5" customHeight="1" x14ac:dyDescent="0.25">
      <c r="A498" s="172"/>
      <c r="B498" s="172"/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72"/>
      <c r="N498" s="172"/>
      <c r="O498" s="172"/>
      <c r="P498" s="172"/>
      <c r="Q498" s="172"/>
      <c r="R498" s="172"/>
      <c r="S498" s="172"/>
      <c r="T498" s="172"/>
      <c r="U498" s="172"/>
      <c r="V498" s="172"/>
    </row>
    <row r="499" spans="1:22" ht="16.5" customHeight="1" x14ac:dyDescent="0.25">
      <c r="A499" s="172"/>
      <c r="B499" s="172"/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  <c r="Q499" s="172"/>
      <c r="R499" s="172"/>
      <c r="S499" s="172"/>
      <c r="T499" s="172"/>
      <c r="U499" s="172"/>
      <c r="V499" s="172"/>
    </row>
    <row r="500" spans="1:22" ht="16.5" customHeight="1" x14ac:dyDescent="0.25">
      <c r="A500" s="172"/>
      <c r="B500" s="172"/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2"/>
      <c r="N500" s="172"/>
      <c r="O500" s="172"/>
      <c r="P500" s="172"/>
      <c r="Q500" s="172"/>
      <c r="R500" s="172"/>
      <c r="S500" s="172"/>
      <c r="T500" s="172"/>
      <c r="U500" s="172"/>
      <c r="V500" s="172"/>
    </row>
    <row r="501" spans="1:22" ht="16.5" customHeight="1" x14ac:dyDescent="0.25">
      <c r="A501" s="172"/>
      <c r="B501" s="172"/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2"/>
      <c r="N501" s="172"/>
      <c r="O501" s="172"/>
      <c r="P501" s="172"/>
      <c r="Q501" s="172"/>
      <c r="R501" s="172"/>
      <c r="S501" s="172"/>
      <c r="T501" s="172"/>
      <c r="U501" s="172"/>
      <c r="V501" s="172"/>
    </row>
    <row r="502" spans="1:22" ht="16.5" customHeight="1" x14ac:dyDescent="0.25">
      <c r="A502" s="172"/>
      <c r="B502" s="172"/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2"/>
      <c r="N502" s="172"/>
      <c r="O502" s="172"/>
      <c r="P502" s="172"/>
      <c r="Q502" s="172"/>
      <c r="R502" s="172"/>
      <c r="S502" s="172"/>
      <c r="T502" s="172"/>
      <c r="U502" s="172"/>
      <c r="V502" s="172"/>
    </row>
    <row r="503" spans="1:22" ht="16.5" customHeight="1" x14ac:dyDescent="0.25">
      <c r="A503" s="172"/>
      <c r="B503" s="172"/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2"/>
      <c r="N503" s="172"/>
      <c r="O503" s="172"/>
      <c r="P503" s="172"/>
      <c r="Q503" s="172"/>
      <c r="R503" s="172"/>
      <c r="S503" s="172"/>
      <c r="T503" s="172"/>
      <c r="U503" s="172"/>
      <c r="V503" s="172"/>
    </row>
    <row r="504" spans="1:22" ht="16.5" customHeight="1" x14ac:dyDescent="0.25">
      <c r="A504" s="172"/>
      <c r="B504" s="172"/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2"/>
      <c r="N504" s="172"/>
      <c r="O504" s="172"/>
      <c r="P504" s="172"/>
      <c r="Q504" s="172"/>
      <c r="R504" s="172"/>
      <c r="S504" s="172"/>
      <c r="T504" s="172"/>
      <c r="U504" s="172"/>
      <c r="V504" s="172"/>
    </row>
    <row r="505" spans="1:22" ht="16.5" customHeight="1" x14ac:dyDescent="0.25">
      <c r="A505" s="172"/>
      <c r="B505" s="172"/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2"/>
      <c r="N505" s="172"/>
      <c r="O505" s="172"/>
      <c r="P505" s="172"/>
      <c r="Q505" s="172"/>
      <c r="R505" s="172"/>
      <c r="S505" s="172"/>
      <c r="T505" s="172"/>
      <c r="U505" s="172"/>
      <c r="V505" s="172"/>
    </row>
    <row r="506" spans="1:22" ht="16.5" customHeight="1" x14ac:dyDescent="0.25">
      <c r="A506" s="172"/>
      <c r="B506" s="172"/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2"/>
      <c r="N506" s="172"/>
      <c r="O506" s="172"/>
      <c r="P506" s="172"/>
      <c r="Q506" s="172"/>
      <c r="R506" s="172"/>
      <c r="S506" s="172"/>
      <c r="T506" s="172"/>
      <c r="U506" s="172"/>
      <c r="V506" s="172"/>
    </row>
    <row r="507" spans="1:22" ht="16.5" customHeight="1" x14ac:dyDescent="0.25">
      <c r="A507" s="172"/>
      <c r="B507" s="172"/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2"/>
      <c r="N507" s="172"/>
      <c r="O507" s="172"/>
      <c r="P507" s="172"/>
      <c r="Q507" s="172"/>
      <c r="R507" s="172"/>
      <c r="S507" s="172"/>
      <c r="T507" s="172"/>
      <c r="U507" s="172"/>
      <c r="V507" s="172"/>
    </row>
    <row r="508" spans="1:22" ht="16.5" customHeight="1" x14ac:dyDescent="0.25">
      <c r="A508" s="172"/>
      <c r="B508" s="172"/>
      <c r="C508" s="172"/>
      <c r="D508" s="172"/>
      <c r="E508" s="172"/>
      <c r="F508" s="172"/>
      <c r="G508" s="172"/>
      <c r="H508" s="172"/>
      <c r="I508" s="172"/>
      <c r="J508" s="172"/>
      <c r="K508" s="172"/>
      <c r="L508" s="172"/>
      <c r="M508" s="172"/>
      <c r="N508" s="172"/>
      <c r="O508" s="172"/>
      <c r="P508" s="172"/>
      <c r="Q508" s="172"/>
      <c r="R508" s="172"/>
      <c r="S508" s="172"/>
      <c r="T508" s="172"/>
      <c r="U508" s="172"/>
      <c r="V508" s="172"/>
    </row>
    <row r="509" spans="1:22" ht="16.5" customHeight="1" x14ac:dyDescent="0.25">
      <c r="A509" s="172"/>
      <c r="B509" s="172"/>
      <c r="C509" s="172"/>
      <c r="D509" s="172"/>
      <c r="E509" s="172"/>
      <c r="F509" s="172"/>
      <c r="G509" s="172"/>
      <c r="H509" s="172"/>
      <c r="I509" s="172"/>
      <c r="J509" s="172"/>
      <c r="K509" s="172"/>
      <c r="L509" s="172"/>
      <c r="M509" s="172"/>
      <c r="N509" s="172"/>
      <c r="O509" s="172"/>
      <c r="P509" s="172"/>
      <c r="Q509" s="172"/>
      <c r="R509" s="172"/>
      <c r="S509" s="172"/>
      <c r="T509" s="172"/>
      <c r="U509" s="172"/>
      <c r="V509" s="172"/>
    </row>
    <row r="510" spans="1:22" ht="16.5" customHeight="1" x14ac:dyDescent="0.25">
      <c r="A510" s="172"/>
      <c r="B510" s="172"/>
      <c r="C510" s="172"/>
      <c r="D510" s="172"/>
      <c r="E510" s="172"/>
      <c r="F510" s="172"/>
      <c r="G510" s="172"/>
      <c r="H510" s="172"/>
      <c r="I510" s="172"/>
      <c r="J510" s="172"/>
      <c r="K510" s="172"/>
      <c r="L510" s="172"/>
      <c r="M510" s="172"/>
      <c r="N510" s="172"/>
      <c r="O510" s="172"/>
      <c r="P510" s="172"/>
      <c r="Q510" s="172"/>
      <c r="R510" s="172"/>
      <c r="S510" s="172"/>
      <c r="T510" s="172"/>
      <c r="U510" s="172"/>
      <c r="V510" s="172"/>
    </row>
    <row r="511" spans="1:22" ht="16.5" customHeight="1" x14ac:dyDescent="0.25">
      <c r="A511" s="172"/>
      <c r="B511" s="172"/>
      <c r="C511" s="172"/>
      <c r="D511" s="172"/>
      <c r="E511" s="172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  <c r="Q511" s="172"/>
      <c r="R511" s="172"/>
      <c r="S511" s="172"/>
      <c r="T511" s="172"/>
      <c r="U511" s="172"/>
      <c r="V511" s="172"/>
    </row>
    <row r="512" spans="1:22" ht="16.5" customHeight="1" x14ac:dyDescent="0.25">
      <c r="A512" s="172"/>
      <c r="B512" s="172"/>
      <c r="C512" s="172"/>
      <c r="D512" s="172"/>
      <c r="E512" s="172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  <c r="Q512" s="172"/>
      <c r="R512" s="172"/>
      <c r="S512" s="172"/>
      <c r="T512" s="172"/>
      <c r="U512" s="172"/>
      <c r="V512" s="172"/>
    </row>
    <row r="513" spans="1:22" ht="16.5" customHeight="1" x14ac:dyDescent="0.25">
      <c r="A513" s="172"/>
      <c r="B513" s="172"/>
      <c r="C513" s="172"/>
      <c r="D513" s="172"/>
      <c r="E513" s="172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  <c r="Q513" s="172"/>
      <c r="R513" s="172"/>
      <c r="S513" s="172"/>
      <c r="T513" s="172"/>
      <c r="U513" s="172"/>
      <c r="V513" s="172"/>
    </row>
    <row r="514" spans="1:22" ht="16.5" customHeight="1" x14ac:dyDescent="0.25">
      <c r="A514" s="172"/>
      <c r="B514" s="172"/>
      <c r="C514" s="172"/>
      <c r="D514" s="172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  <c r="Q514" s="172"/>
      <c r="R514" s="172"/>
      <c r="S514" s="172"/>
      <c r="T514" s="172"/>
      <c r="U514" s="172"/>
      <c r="V514" s="172"/>
    </row>
    <row r="515" spans="1:22" ht="16.5" customHeight="1" x14ac:dyDescent="0.25">
      <c r="A515" s="172"/>
      <c r="B515" s="172"/>
      <c r="C515" s="172"/>
      <c r="D515" s="172"/>
      <c r="E515" s="172"/>
      <c r="F515" s="172"/>
      <c r="G515" s="172"/>
      <c r="H515" s="172"/>
      <c r="I515" s="172"/>
      <c r="J515" s="172"/>
      <c r="K515" s="172"/>
      <c r="L515" s="172"/>
      <c r="M515" s="172"/>
      <c r="N515" s="172"/>
      <c r="O515" s="172"/>
      <c r="P515" s="172"/>
      <c r="Q515" s="172"/>
      <c r="R515" s="172"/>
      <c r="S515" s="172"/>
      <c r="T515" s="172"/>
      <c r="U515" s="172"/>
      <c r="V515" s="172"/>
    </row>
    <row r="516" spans="1:22" ht="16.5" customHeight="1" x14ac:dyDescent="0.25">
      <c r="A516" s="172"/>
      <c r="B516" s="172"/>
      <c r="C516" s="172"/>
      <c r="D516" s="172"/>
      <c r="E516" s="172"/>
      <c r="F516" s="172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  <c r="Q516" s="172"/>
      <c r="R516" s="172"/>
      <c r="S516" s="172"/>
      <c r="T516" s="172"/>
      <c r="U516" s="172"/>
      <c r="V516" s="172"/>
    </row>
    <row r="517" spans="1:22" ht="16.5" customHeight="1" x14ac:dyDescent="0.25">
      <c r="A517" s="172"/>
      <c r="B517" s="172"/>
      <c r="C517" s="172"/>
      <c r="D517" s="172"/>
      <c r="E517" s="172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  <c r="Q517" s="172"/>
      <c r="R517" s="172"/>
      <c r="S517" s="172"/>
      <c r="T517" s="172"/>
      <c r="U517" s="172"/>
      <c r="V517" s="172"/>
    </row>
    <row r="518" spans="1:22" ht="16.5" customHeight="1" x14ac:dyDescent="0.25">
      <c r="A518" s="172"/>
      <c r="B518" s="172"/>
      <c r="C518" s="172"/>
      <c r="D518" s="172"/>
      <c r="E518" s="172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  <c r="Q518" s="172"/>
      <c r="R518" s="172"/>
      <c r="S518" s="172"/>
      <c r="T518" s="172"/>
      <c r="U518" s="172"/>
      <c r="V518" s="172"/>
    </row>
    <row r="519" spans="1:22" ht="16.5" customHeight="1" x14ac:dyDescent="0.25">
      <c r="A519" s="172"/>
      <c r="B519" s="172"/>
      <c r="C519" s="172"/>
      <c r="D519" s="172"/>
      <c r="E519" s="172"/>
      <c r="F519" s="172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  <c r="Q519" s="172"/>
      <c r="R519" s="172"/>
      <c r="S519" s="172"/>
      <c r="T519" s="172"/>
      <c r="U519" s="172"/>
      <c r="V519" s="172"/>
    </row>
    <row r="520" spans="1:22" ht="16.5" customHeight="1" x14ac:dyDescent="0.25">
      <c r="A520" s="172"/>
      <c r="B520" s="172"/>
      <c r="C520" s="172"/>
      <c r="D520" s="172"/>
      <c r="E520" s="172"/>
      <c r="F520" s="172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  <c r="Q520" s="172"/>
      <c r="R520" s="172"/>
      <c r="S520" s="172"/>
      <c r="T520" s="172"/>
      <c r="U520" s="172"/>
      <c r="V520" s="172"/>
    </row>
    <row r="521" spans="1:22" ht="16.5" customHeight="1" x14ac:dyDescent="0.25">
      <c r="A521" s="172"/>
      <c r="B521" s="172"/>
      <c r="C521" s="172"/>
      <c r="D521" s="172"/>
      <c r="E521" s="172"/>
      <c r="F521" s="172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  <c r="Q521" s="172"/>
      <c r="R521" s="172"/>
      <c r="S521" s="172"/>
      <c r="T521" s="172"/>
      <c r="U521" s="172"/>
      <c r="V521" s="172"/>
    </row>
    <row r="522" spans="1:22" ht="16.5" customHeight="1" x14ac:dyDescent="0.25">
      <c r="A522" s="172"/>
      <c r="B522" s="172"/>
      <c r="C522" s="172"/>
      <c r="D522" s="172"/>
      <c r="E522" s="172"/>
      <c r="F522" s="172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  <c r="Q522" s="172"/>
      <c r="R522" s="172"/>
      <c r="S522" s="172"/>
      <c r="T522" s="172"/>
      <c r="U522" s="172"/>
      <c r="V522" s="172"/>
    </row>
    <row r="523" spans="1:22" ht="16.5" customHeight="1" x14ac:dyDescent="0.25">
      <c r="A523" s="172"/>
      <c r="B523" s="172"/>
      <c r="C523" s="172"/>
      <c r="D523" s="172"/>
      <c r="E523" s="172"/>
      <c r="F523" s="172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  <c r="Q523" s="172"/>
      <c r="R523" s="172"/>
      <c r="S523" s="172"/>
      <c r="T523" s="172"/>
      <c r="U523" s="172"/>
      <c r="V523" s="172"/>
    </row>
    <row r="524" spans="1:22" ht="16.5" customHeight="1" x14ac:dyDescent="0.25">
      <c r="A524" s="172"/>
      <c r="B524" s="172"/>
      <c r="C524" s="172"/>
      <c r="D524" s="172"/>
      <c r="E524" s="172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  <c r="Q524" s="172"/>
      <c r="R524" s="172"/>
      <c r="S524" s="172"/>
      <c r="T524" s="172"/>
      <c r="U524" s="172"/>
      <c r="V524" s="172"/>
    </row>
    <row r="525" spans="1:22" ht="16.5" customHeight="1" x14ac:dyDescent="0.25">
      <c r="A525" s="172"/>
      <c r="B525" s="172"/>
      <c r="C525" s="172"/>
      <c r="D525" s="172"/>
      <c r="E525" s="172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  <c r="Q525" s="172"/>
      <c r="R525" s="172"/>
      <c r="S525" s="172"/>
      <c r="T525" s="172"/>
      <c r="U525" s="172"/>
      <c r="V525" s="172"/>
    </row>
    <row r="526" spans="1:22" ht="16.5" customHeight="1" x14ac:dyDescent="0.25">
      <c r="A526" s="172"/>
      <c r="B526" s="172"/>
      <c r="C526" s="172"/>
      <c r="D526" s="172"/>
      <c r="E526" s="172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  <c r="Q526" s="172"/>
      <c r="R526" s="172"/>
      <c r="S526" s="172"/>
      <c r="T526" s="172"/>
      <c r="U526" s="172"/>
      <c r="V526" s="172"/>
    </row>
    <row r="527" spans="1:22" ht="16.5" customHeight="1" x14ac:dyDescent="0.25">
      <c r="A527" s="172"/>
      <c r="B527" s="172"/>
      <c r="C527" s="172"/>
      <c r="D527" s="172"/>
      <c r="E527" s="172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  <c r="Q527" s="172"/>
      <c r="R527" s="172"/>
      <c r="S527" s="172"/>
      <c r="T527" s="172"/>
      <c r="U527" s="172"/>
      <c r="V527" s="172"/>
    </row>
    <row r="528" spans="1:22" ht="16.5" customHeight="1" x14ac:dyDescent="0.25">
      <c r="A528" s="172"/>
      <c r="B528" s="172"/>
      <c r="C528" s="172"/>
      <c r="D528" s="172"/>
      <c r="E528" s="172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  <c r="Q528" s="172"/>
      <c r="R528" s="172"/>
      <c r="S528" s="172"/>
      <c r="T528" s="172"/>
      <c r="U528" s="172"/>
      <c r="V528" s="172"/>
    </row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5">
    <mergeCell ref="J114:J120"/>
    <mergeCell ref="J121:J122"/>
    <mergeCell ref="J47:J71"/>
    <mergeCell ref="J73:J85"/>
    <mergeCell ref="J87:J91"/>
    <mergeCell ref="J93:J94"/>
    <mergeCell ref="J96:J97"/>
    <mergeCell ref="J100:J101"/>
    <mergeCell ref="J106:J111"/>
    <mergeCell ref="J14:J15"/>
    <mergeCell ref="J16:J17"/>
    <mergeCell ref="J19:J22"/>
    <mergeCell ref="J24:J27"/>
    <mergeCell ref="J29:J45"/>
    <mergeCell ref="D5:D6"/>
    <mergeCell ref="E5:E6"/>
    <mergeCell ref="A1:B1"/>
    <mergeCell ref="F1:J1"/>
    <mergeCell ref="A2:J2"/>
    <mergeCell ref="A3:J3"/>
    <mergeCell ref="A5:A6"/>
    <mergeCell ref="B5:B6"/>
    <mergeCell ref="C5:C6"/>
    <mergeCell ref="F5:I5"/>
    <mergeCell ref="J5:J6"/>
  </mergeCells>
  <pageMargins left="0.31496062992125984" right="0.11811023622047245" top="0.35433070866141736" bottom="0.35433070866141736" header="0" footer="0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88671875" customWidth="1"/>
    <col min="2" max="2" width="30.6640625" customWidth="1"/>
    <col min="3" max="3" width="11.109375" customWidth="1"/>
    <col min="4" max="4" width="17.5546875" customWidth="1"/>
    <col min="5" max="5" width="16.6640625" customWidth="1"/>
    <col min="6" max="9" width="12.21875" customWidth="1"/>
    <col min="10" max="10" width="8.88671875" customWidth="1"/>
    <col min="11" max="11" width="17.77734375" customWidth="1"/>
    <col min="12" max="13" width="8.88671875" customWidth="1"/>
    <col min="14" max="24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266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'PL 01'!A3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.75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9</v>
      </c>
      <c r="J7" s="137"/>
      <c r="K7" s="11" t="s">
        <v>10</v>
      </c>
      <c r="L7" s="233">
        <v>70</v>
      </c>
      <c r="M7" s="19"/>
      <c r="N7" s="23"/>
      <c r="O7" s="23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.75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8" t="s">
        <v>14</v>
      </c>
      <c r="I8" s="306"/>
      <c r="J8" s="137"/>
      <c r="K8" s="11" t="s">
        <v>15</v>
      </c>
      <c r="L8" s="233">
        <v>238</v>
      </c>
      <c r="M8" s="19"/>
      <c r="N8" s="23"/>
      <c r="O8" s="23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108.93</v>
      </c>
      <c r="E9" s="234">
        <f t="shared" si="0"/>
        <v>147.83000000000001</v>
      </c>
      <c r="F9" s="234">
        <f t="shared" si="0"/>
        <v>108.32000000000001</v>
      </c>
      <c r="G9" s="234">
        <f t="shared" si="0"/>
        <v>108.32000000000001</v>
      </c>
      <c r="H9" s="235">
        <f t="shared" ref="H9:H10" si="1">F9/E9*100</f>
        <v>73.273354528850703</v>
      </c>
      <c r="I9" s="17"/>
      <c r="J9" s="236"/>
      <c r="K9" s="236"/>
      <c r="L9" s="236"/>
      <c r="M9" s="236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2.2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30.36</v>
      </c>
      <c r="F10" s="17">
        <f t="shared" si="2"/>
        <v>3.34</v>
      </c>
      <c r="G10" s="17">
        <f t="shared" si="2"/>
        <v>3.34</v>
      </c>
      <c r="H10" s="235">
        <f t="shared" si="1"/>
        <v>11.001317523056652</v>
      </c>
      <c r="I10" s="17"/>
      <c r="J10" s="236"/>
      <c r="K10" s="236"/>
      <c r="L10" s="236"/>
      <c r="M10" s="236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2.25" customHeight="1" x14ac:dyDescent="0.25">
      <c r="A11" s="15"/>
      <c r="B11" s="16" t="s">
        <v>20</v>
      </c>
      <c r="C11" s="15" t="s">
        <v>21</v>
      </c>
      <c r="D11" s="31">
        <f t="shared" ref="D11:G11" si="3">D15+D30</f>
        <v>3.6850000000000001</v>
      </c>
      <c r="E11" s="31">
        <f t="shared" si="3"/>
        <v>115.12368000000001</v>
      </c>
      <c r="F11" s="31">
        <f t="shared" si="3"/>
        <v>0</v>
      </c>
      <c r="G11" s="31">
        <f t="shared" si="3"/>
        <v>0</v>
      </c>
      <c r="H11" s="235"/>
      <c r="I11" s="31"/>
      <c r="J11" s="236"/>
      <c r="K11" s="236"/>
      <c r="L11" s="236"/>
      <c r="M11" s="236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2.25" customHeight="1" x14ac:dyDescent="0.25">
      <c r="A12" s="15"/>
      <c r="B12" s="16" t="s">
        <v>22</v>
      </c>
      <c r="C12" s="15" t="s">
        <v>21</v>
      </c>
      <c r="D12" s="31">
        <f t="shared" ref="D12:G12" si="4">D15</f>
        <v>0</v>
      </c>
      <c r="E12" s="31">
        <f t="shared" si="4"/>
        <v>111.43368000000001</v>
      </c>
      <c r="F12" s="31">
        <f t="shared" si="4"/>
        <v>0</v>
      </c>
      <c r="G12" s="31">
        <f t="shared" si="4"/>
        <v>0</v>
      </c>
      <c r="H12" s="235"/>
      <c r="I12" s="31"/>
      <c r="J12" s="236"/>
      <c r="K12" s="236"/>
      <c r="L12" s="236"/>
      <c r="M12" s="236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2.2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29.36</v>
      </c>
      <c r="F13" s="17">
        <f t="shared" si="5"/>
        <v>2.34</v>
      </c>
      <c r="G13" s="17">
        <f t="shared" si="5"/>
        <v>2.34</v>
      </c>
      <c r="H13" s="235">
        <f>F13/E13*100</f>
        <v>7.9700272479564029</v>
      </c>
      <c r="I13" s="17"/>
      <c r="J13" s="137"/>
      <c r="K13" s="137"/>
      <c r="L13" s="137"/>
      <c r="M13" s="13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37.954250681198914</v>
      </c>
      <c r="F14" s="31">
        <f t="shared" si="6"/>
        <v>0</v>
      </c>
      <c r="G14" s="31">
        <f t="shared" si="6"/>
        <v>0</v>
      </c>
      <c r="H14" s="235"/>
      <c r="I14" s="31"/>
      <c r="J14" s="137"/>
      <c r="K14" s="137"/>
      <c r="L14" s="137"/>
      <c r="M14" s="13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111.43368000000001</v>
      </c>
      <c r="F15" s="31">
        <f t="shared" si="7"/>
        <v>0</v>
      </c>
      <c r="G15" s="31">
        <f t="shared" si="7"/>
        <v>0</v>
      </c>
      <c r="H15" s="235"/>
      <c r="I15" s="31"/>
      <c r="J15" s="137"/>
      <c r="K15" s="137"/>
      <c r="L15" s="137"/>
      <c r="M15" s="13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2.34</v>
      </c>
      <c r="F16" s="17">
        <v>2.34</v>
      </c>
      <c r="G16" s="17">
        <v>2.34</v>
      </c>
      <c r="H16" s="235">
        <f>F16/E16*100</f>
        <v>100</v>
      </c>
      <c r="I16" s="31"/>
      <c r="J16" s="35"/>
      <c r="K16" s="35"/>
      <c r="L16" s="35"/>
      <c r="M16" s="35"/>
      <c r="N16" s="32"/>
      <c r="O16" s="32"/>
      <c r="P16" s="32"/>
      <c r="Q16" s="32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>
        <v>0</v>
      </c>
      <c r="H17" s="235"/>
      <c r="I17" s="31"/>
      <c r="J17" s="35"/>
      <c r="K17" s="35"/>
      <c r="L17" s="35"/>
      <c r="M17" s="35"/>
      <c r="N17" s="32"/>
      <c r="O17" s="32"/>
      <c r="P17" s="32"/>
      <c r="Q17" s="32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7.8390000000000004</v>
      </c>
      <c r="F18" s="31">
        <f t="shared" si="8"/>
        <v>0</v>
      </c>
      <c r="G18" s="31">
        <f t="shared" si="8"/>
        <v>0</v>
      </c>
      <c r="H18" s="235"/>
      <c r="I18" s="31"/>
      <c r="J18" s="35"/>
      <c r="K18" s="35"/>
      <c r="L18" s="35"/>
      <c r="M18" s="35"/>
      <c r="N18" s="32"/>
      <c r="O18" s="32"/>
      <c r="P18" s="32"/>
      <c r="Q18" s="32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27.02</v>
      </c>
      <c r="F19" s="17">
        <f t="shared" si="9"/>
        <v>0</v>
      </c>
      <c r="G19" s="17">
        <f t="shared" si="9"/>
        <v>0</v>
      </c>
      <c r="H19" s="235">
        <f t="shared" ref="H19:H24" si="10">F19/E19*100</f>
        <v>0</v>
      </c>
      <c r="I19" s="17"/>
      <c r="J19" s="28"/>
      <c r="K19" s="28"/>
      <c r="L19" s="28"/>
      <c r="M19" s="46"/>
      <c r="N19" s="90"/>
      <c r="O19" s="90"/>
      <c r="P19" s="90"/>
      <c r="Q19" s="90"/>
      <c r="R19" s="2"/>
      <c r="S19" s="90"/>
      <c r="T19" s="2"/>
      <c r="U19" s="1"/>
      <c r="V19" s="1"/>
      <c r="W19" s="1"/>
      <c r="X19" s="1"/>
      <c r="Y19" s="1"/>
      <c r="Z19" s="1"/>
    </row>
    <row r="20" spans="1:26" ht="32.25" customHeight="1" x14ac:dyDescent="0.25">
      <c r="A20" s="40"/>
      <c r="B20" s="27" t="s">
        <v>25</v>
      </c>
      <c r="C20" s="30" t="s">
        <v>26</v>
      </c>
      <c r="D20" s="31"/>
      <c r="E20" s="31">
        <f>E21/E19*10</f>
        <v>38.340000000000003</v>
      </c>
      <c r="F20" s="31"/>
      <c r="G20" s="31"/>
      <c r="H20" s="235">
        <f t="shared" si="10"/>
        <v>0</v>
      </c>
      <c r="I20" s="31"/>
      <c r="J20" s="28"/>
      <c r="K20" s="28"/>
      <c r="L20" s="28"/>
      <c r="M20" s="46"/>
      <c r="N20" s="90"/>
      <c r="O20" s="90"/>
      <c r="P20" s="90"/>
      <c r="Q20" s="90"/>
      <c r="R20" s="2"/>
      <c r="S20" s="90"/>
      <c r="T20" s="2"/>
      <c r="U20" s="1"/>
      <c r="V20" s="1"/>
      <c r="W20" s="1"/>
      <c r="X20" s="1"/>
      <c r="Y20" s="1"/>
      <c r="Z20" s="1"/>
    </row>
    <row r="21" spans="1:26" ht="32.25" customHeight="1" x14ac:dyDescent="0.25">
      <c r="A21" s="40"/>
      <c r="B21" s="27" t="s">
        <v>27</v>
      </c>
      <c r="C21" s="30" t="s">
        <v>21</v>
      </c>
      <c r="D21" s="31">
        <f t="shared" ref="D21:G21" si="11">D24+D27</f>
        <v>0</v>
      </c>
      <c r="E21" s="31">
        <f t="shared" si="11"/>
        <v>103.59468000000001</v>
      </c>
      <c r="F21" s="31">
        <f t="shared" si="11"/>
        <v>0</v>
      </c>
      <c r="G21" s="31">
        <f t="shared" si="11"/>
        <v>0</v>
      </c>
      <c r="H21" s="235">
        <f t="shared" si="10"/>
        <v>0</v>
      </c>
      <c r="I21" s="31"/>
      <c r="J21" s="28"/>
      <c r="K21" s="28"/>
      <c r="L21" s="28"/>
      <c r="M21" s="46"/>
      <c r="N21" s="90"/>
      <c r="O21" s="90"/>
      <c r="P21" s="90"/>
      <c r="Q21" s="90"/>
      <c r="R21" s="2"/>
      <c r="S21" s="90"/>
      <c r="T21" s="2"/>
      <c r="U21" s="1"/>
      <c r="V21" s="1"/>
      <c r="W21" s="1"/>
      <c r="X21" s="1"/>
      <c r="Y21" s="1"/>
      <c r="Z21" s="1"/>
    </row>
    <row r="22" spans="1:26" ht="32.25" customHeight="1" x14ac:dyDescent="0.25">
      <c r="A22" s="40" t="s">
        <v>32</v>
      </c>
      <c r="B22" s="42" t="s">
        <v>33</v>
      </c>
      <c r="C22" s="40" t="s">
        <v>18</v>
      </c>
      <c r="D22" s="17"/>
      <c r="E22" s="17">
        <v>27.02</v>
      </c>
      <c r="F22" s="31"/>
      <c r="G22" s="17"/>
      <c r="H22" s="235">
        <f t="shared" si="10"/>
        <v>0</v>
      </c>
      <c r="I22" s="31"/>
      <c r="J22" s="35"/>
      <c r="K22" s="35"/>
      <c r="L22" s="35"/>
      <c r="M22" s="53"/>
      <c r="N22" s="237"/>
      <c r="O22" s="237"/>
      <c r="P22" s="237"/>
      <c r="Q22" s="237"/>
      <c r="R22" s="32"/>
      <c r="S22" s="32"/>
      <c r="T22" s="2"/>
      <c r="U22" s="1"/>
      <c r="V22" s="1"/>
      <c r="W22" s="1"/>
      <c r="X22" s="1"/>
      <c r="Y22" s="1"/>
      <c r="Z22" s="1"/>
    </row>
    <row r="23" spans="1:26" ht="32.2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235">
        <f t="shared" si="10"/>
        <v>0</v>
      </c>
      <c r="I23" s="31"/>
      <c r="J23" s="35"/>
      <c r="K23" s="35"/>
      <c r="L23" s="35"/>
      <c r="M23" s="53"/>
      <c r="N23" s="237"/>
      <c r="O23" s="237"/>
      <c r="P23" s="237"/>
      <c r="Q23" s="237"/>
      <c r="R23" s="32"/>
      <c r="S23" s="32"/>
      <c r="T23" s="2"/>
      <c r="U23" s="1"/>
      <c r="V23" s="1"/>
      <c r="W23" s="1"/>
      <c r="X23" s="1"/>
      <c r="Y23" s="1"/>
      <c r="Z23" s="1"/>
    </row>
    <row r="24" spans="1:26" ht="32.25" customHeight="1" x14ac:dyDescent="0.25">
      <c r="A24" s="40"/>
      <c r="B24" s="27" t="s">
        <v>27</v>
      </c>
      <c r="C24" s="30" t="s">
        <v>21</v>
      </c>
      <c r="D24" s="31">
        <f t="shared" ref="D24:G24" si="12">D22*D23/10</f>
        <v>0</v>
      </c>
      <c r="E24" s="31">
        <f t="shared" si="12"/>
        <v>103.59468000000001</v>
      </c>
      <c r="F24" s="31">
        <f t="shared" si="12"/>
        <v>0</v>
      </c>
      <c r="G24" s="31">
        <f t="shared" si="12"/>
        <v>0</v>
      </c>
      <c r="H24" s="235">
        <f t="shared" si="10"/>
        <v>0</v>
      </c>
      <c r="I24" s="31"/>
      <c r="J24" s="35"/>
      <c r="K24" s="35"/>
      <c r="L24" s="35"/>
      <c r="M24" s="53"/>
      <c r="N24" s="237"/>
      <c r="O24" s="237"/>
      <c r="P24" s="237"/>
      <c r="Q24" s="237"/>
      <c r="R24" s="32"/>
      <c r="S24" s="32"/>
      <c r="T24" s="2"/>
      <c r="U24" s="1"/>
      <c r="V24" s="1"/>
      <c r="W24" s="1"/>
      <c r="X24" s="1"/>
      <c r="Y24" s="1"/>
      <c r="Z24" s="1"/>
    </row>
    <row r="25" spans="1:26" ht="32.25" customHeight="1" x14ac:dyDescent="0.25">
      <c r="A25" s="40" t="s">
        <v>32</v>
      </c>
      <c r="B25" s="42" t="s">
        <v>34</v>
      </c>
      <c r="C25" s="40" t="s">
        <v>18</v>
      </c>
      <c r="D25" s="17"/>
      <c r="E25" s="31"/>
      <c r="F25" s="31">
        <v>0</v>
      </c>
      <c r="G25" s="31">
        <v>0</v>
      </c>
      <c r="H25" s="235"/>
      <c r="I25" s="31"/>
      <c r="J25" s="28"/>
      <c r="K25" s="28"/>
      <c r="L25" s="28"/>
      <c r="M25" s="28"/>
      <c r="N25" s="2"/>
      <c r="O25" s="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235">
        <f>F26/E26*100</f>
        <v>0</v>
      </c>
      <c r="I26" s="31"/>
      <c r="J26" s="28"/>
      <c r="K26" s="28"/>
      <c r="L26" s="28"/>
      <c r="M26" s="28"/>
      <c r="N26" s="2"/>
      <c r="O26" s="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customHeight="1" x14ac:dyDescent="0.25">
      <c r="A27" s="40"/>
      <c r="B27" s="27" t="s">
        <v>27</v>
      </c>
      <c r="C27" s="30" t="s">
        <v>21</v>
      </c>
      <c r="D27" s="31">
        <f t="shared" ref="D27:G27" si="13">D25*D26/10</f>
        <v>0</v>
      </c>
      <c r="E27" s="31">
        <f t="shared" si="13"/>
        <v>0</v>
      </c>
      <c r="F27" s="31">
        <f t="shared" si="13"/>
        <v>0</v>
      </c>
      <c r="G27" s="31">
        <f t="shared" si="13"/>
        <v>0</v>
      </c>
      <c r="H27" s="235"/>
      <c r="I27" s="31"/>
      <c r="J27" s="28"/>
      <c r="K27" s="28"/>
      <c r="L27" s="28"/>
      <c r="M27" s="28"/>
      <c r="N27" s="2"/>
      <c r="O27" s="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</v>
      </c>
      <c r="E28" s="17">
        <f t="shared" si="14"/>
        <v>1</v>
      </c>
      <c r="F28" s="17">
        <f t="shared" si="14"/>
        <v>1</v>
      </c>
      <c r="G28" s="17">
        <f t="shared" si="14"/>
        <v>1</v>
      </c>
      <c r="H28" s="235">
        <f t="shared" ref="H28:H30" si="15">F28/E28*100</f>
        <v>100</v>
      </c>
      <c r="I28" s="17"/>
      <c r="J28" s="137"/>
      <c r="K28" s="137"/>
      <c r="L28" s="137"/>
      <c r="M28" s="13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25">
      <c r="A29" s="15"/>
      <c r="B29" s="27" t="s">
        <v>25</v>
      </c>
      <c r="C29" s="30" t="s">
        <v>26</v>
      </c>
      <c r="D29" s="31">
        <f t="shared" ref="D29:E29" si="16">D30/D28*10</f>
        <v>36.85</v>
      </c>
      <c r="E29" s="31">
        <f t="shared" si="16"/>
        <v>36.9</v>
      </c>
      <c r="F29" s="31"/>
      <c r="G29" s="31"/>
      <c r="H29" s="235">
        <f t="shared" si="15"/>
        <v>0</v>
      </c>
      <c r="I29" s="31"/>
      <c r="J29" s="137"/>
      <c r="K29" s="137"/>
      <c r="L29" s="137"/>
      <c r="M29" s="13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 x14ac:dyDescent="0.25">
      <c r="A30" s="15"/>
      <c r="B30" s="27" t="s">
        <v>27</v>
      </c>
      <c r="C30" s="30" t="s">
        <v>21</v>
      </c>
      <c r="D30" s="31">
        <f t="shared" ref="D30:G30" si="17">D33+D36</f>
        <v>3.6850000000000001</v>
      </c>
      <c r="E30" s="31">
        <f t="shared" si="17"/>
        <v>3.69</v>
      </c>
      <c r="F30" s="31">
        <f t="shared" si="17"/>
        <v>0</v>
      </c>
      <c r="G30" s="31">
        <f t="shared" si="17"/>
        <v>0</v>
      </c>
      <c r="H30" s="235">
        <f t="shared" si="15"/>
        <v>0</v>
      </c>
      <c r="I30" s="31"/>
      <c r="J30" s="137"/>
      <c r="K30" s="238"/>
      <c r="L30" s="137"/>
      <c r="M30" s="13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>
        <v>0</v>
      </c>
      <c r="G31" s="17">
        <v>0</v>
      </c>
      <c r="H31" s="235"/>
      <c r="I31" s="17"/>
      <c r="J31" s="137"/>
      <c r="K31" s="137"/>
      <c r="L31" s="137"/>
      <c r="M31" s="13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235"/>
      <c r="I32" s="17"/>
      <c r="J32" s="137"/>
      <c r="K32" s="137"/>
      <c r="L32" s="137"/>
      <c r="M32" s="13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235"/>
      <c r="I33" s="17"/>
      <c r="J33" s="137"/>
      <c r="K33" s="137"/>
      <c r="L33" s="137"/>
      <c r="M33" s="13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235">
        <f t="shared" ref="H34:H50" si="18">F34/E34*100</f>
        <v>100</v>
      </c>
      <c r="I34" s="31"/>
      <c r="J34" s="137"/>
      <c r="K34" s="137"/>
      <c r="L34" s="137"/>
      <c r="M34" s="13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235">
        <f t="shared" si="18"/>
        <v>0</v>
      </c>
      <c r="I35" s="31"/>
      <c r="J35" s="137"/>
      <c r="K35" s="137"/>
      <c r="L35" s="137"/>
      <c r="M35" s="137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 x14ac:dyDescent="0.25">
      <c r="A36" s="40"/>
      <c r="B36" s="27" t="s">
        <v>27</v>
      </c>
      <c r="C36" s="30" t="s">
        <v>21</v>
      </c>
      <c r="D36" s="31">
        <f t="shared" ref="D36:G36" si="19">D34*D35/10</f>
        <v>3.6850000000000001</v>
      </c>
      <c r="E36" s="31">
        <f t="shared" si="19"/>
        <v>3.69</v>
      </c>
      <c r="F36" s="31">
        <f t="shared" si="19"/>
        <v>0</v>
      </c>
      <c r="G36" s="31">
        <f t="shared" si="19"/>
        <v>0</v>
      </c>
      <c r="H36" s="235">
        <f t="shared" si="18"/>
        <v>0</v>
      </c>
      <c r="I36" s="31"/>
      <c r="J36" s="137"/>
      <c r="K36" s="137"/>
      <c r="L36" s="137"/>
      <c r="M36" s="13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 x14ac:dyDescent="0.25">
      <c r="A37" s="15">
        <v>2</v>
      </c>
      <c r="B37" s="16" t="s">
        <v>39</v>
      </c>
      <c r="C37" s="15" t="s">
        <v>18</v>
      </c>
      <c r="D37" s="17"/>
      <c r="E37" s="17">
        <v>1.85</v>
      </c>
      <c r="F37" s="17">
        <v>1.9</v>
      </c>
      <c r="G37" s="17">
        <v>1.9</v>
      </c>
      <c r="H37" s="235">
        <f t="shared" si="18"/>
        <v>102.70270270270269</v>
      </c>
      <c r="I37" s="17"/>
      <c r="J37" s="137"/>
      <c r="K37" s="35"/>
      <c r="L37" s="28"/>
      <c r="M37" s="3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 x14ac:dyDescent="0.25">
      <c r="A38" s="15"/>
      <c r="B38" s="27" t="s">
        <v>25</v>
      </c>
      <c r="C38" s="30" t="s">
        <v>26</v>
      </c>
      <c r="D38" s="17"/>
      <c r="E38" s="31">
        <v>140</v>
      </c>
      <c r="F38" s="17"/>
      <c r="G38" s="17"/>
      <c r="H38" s="235">
        <f t="shared" si="18"/>
        <v>0</v>
      </c>
      <c r="I38" s="17"/>
      <c r="J38" s="137"/>
      <c r="K38" s="137"/>
      <c r="L38" s="137"/>
      <c r="M38" s="13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25">
      <c r="A39" s="15"/>
      <c r="B39" s="27" t="s">
        <v>27</v>
      </c>
      <c r="C39" s="30" t="s">
        <v>21</v>
      </c>
      <c r="D39" s="31">
        <f t="shared" ref="D39:G39" si="20">D37*D38/10</f>
        <v>0</v>
      </c>
      <c r="E39" s="31">
        <f t="shared" si="20"/>
        <v>25.9</v>
      </c>
      <c r="F39" s="31">
        <f t="shared" si="20"/>
        <v>0</v>
      </c>
      <c r="G39" s="31">
        <f t="shared" si="20"/>
        <v>0</v>
      </c>
      <c r="H39" s="235">
        <f t="shared" si="18"/>
        <v>0</v>
      </c>
      <c r="I39" s="17"/>
      <c r="J39" s="137"/>
      <c r="K39" s="137"/>
      <c r="L39" s="137"/>
      <c r="M39" s="137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0.5</v>
      </c>
      <c r="F40" s="17">
        <v>0</v>
      </c>
      <c r="G40" s="17"/>
      <c r="H40" s="235">
        <f t="shared" si="18"/>
        <v>0</v>
      </c>
      <c r="I40" s="17"/>
      <c r="J40" s="137"/>
      <c r="K40" s="137"/>
      <c r="L40" s="137"/>
      <c r="M40" s="13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17"/>
      <c r="G41" s="17"/>
      <c r="H41" s="235">
        <f t="shared" si="18"/>
        <v>0</v>
      </c>
      <c r="I41" s="17"/>
      <c r="J41" s="137"/>
      <c r="K41" s="137"/>
      <c r="L41" s="137"/>
      <c r="M41" s="137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 x14ac:dyDescent="0.25">
      <c r="A42" s="15"/>
      <c r="B42" s="49" t="s">
        <v>27</v>
      </c>
      <c r="C42" s="50" t="s">
        <v>21</v>
      </c>
      <c r="D42" s="31"/>
      <c r="E42" s="31">
        <f t="shared" ref="E42:G42" si="21">E40*E41/10</f>
        <v>1.2050000000000001</v>
      </c>
      <c r="F42" s="31">
        <f t="shared" si="21"/>
        <v>0</v>
      </c>
      <c r="G42" s="31">
        <f t="shared" si="21"/>
        <v>0</v>
      </c>
      <c r="H42" s="235">
        <f t="shared" si="18"/>
        <v>0</v>
      </c>
      <c r="I42" s="17"/>
      <c r="J42" s="137"/>
      <c r="K42" s="137"/>
      <c r="L42" s="137"/>
      <c r="M42" s="13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 x14ac:dyDescent="0.25">
      <c r="A43" s="15">
        <v>4</v>
      </c>
      <c r="B43" s="16" t="s">
        <v>41</v>
      </c>
      <c r="C43" s="15" t="s">
        <v>18</v>
      </c>
      <c r="D43" s="17"/>
      <c r="E43" s="17">
        <v>0.5</v>
      </c>
      <c r="F43" s="17">
        <v>0.27</v>
      </c>
      <c r="G43" s="17">
        <f>F43</f>
        <v>0.27</v>
      </c>
      <c r="H43" s="235">
        <f t="shared" si="18"/>
        <v>54</v>
      </c>
      <c r="I43" s="17"/>
      <c r="J43" s="35"/>
      <c r="K43" s="28"/>
      <c r="L43" s="137"/>
      <c r="M43" s="137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235">
        <f t="shared" si="18"/>
        <v>0</v>
      </c>
      <c r="I44" s="31"/>
      <c r="J44" s="137"/>
      <c r="K44" s="137"/>
      <c r="L44" s="137"/>
      <c r="M44" s="13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 x14ac:dyDescent="0.25">
      <c r="A45" s="30"/>
      <c r="B45" s="49" t="s">
        <v>27</v>
      </c>
      <c r="C45" s="50" t="s">
        <v>21</v>
      </c>
      <c r="D45" s="31">
        <f t="shared" ref="D45:G45" si="22">D43*D44/10</f>
        <v>0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235">
        <f t="shared" si="18"/>
        <v>0</v>
      </c>
      <c r="I45" s="31"/>
      <c r="J45" s="137"/>
      <c r="K45" s="137"/>
      <c r="L45" s="137"/>
      <c r="M45" s="13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85.92</v>
      </c>
      <c r="E46" s="17">
        <f t="shared" si="23"/>
        <v>94.820000000000007</v>
      </c>
      <c r="F46" s="17">
        <f t="shared" si="23"/>
        <v>86.22</v>
      </c>
      <c r="G46" s="17">
        <f t="shared" si="23"/>
        <v>86.22</v>
      </c>
      <c r="H46" s="235">
        <f t="shared" si="18"/>
        <v>90.93018350558954</v>
      </c>
      <c r="I46" s="17"/>
      <c r="J46" s="137"/>
      <c r="K46" s="137"/>
      <c r="L46" s="137"/>
      <c r="M46" s="13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4">D48+D49</f>
        <v>81.42</v>
      </c>
      <c r="E47" s="17">
        <f t="shared" si="24"/>
        <v>89.42</v>
      </c>
      <c r="F47" s="17">
        <f t="shared" si="24"/>
        <v>81.42</v>
      </c>
      <c r="G47" s="17">
        <f t="shared" si="24"/>
        <v>81.42</v>
      </c>
      <c r="H47" s="235">
        <f t="shared" si="18"/>
        <v>91.053455602773425</v>
      </c>
      <c r="I47" s="17"/>
      <c r="J47" s="137"/>
      <c r="K47" s="137"/>
      <c r="L47" s="137"/>
      <c r="M47" s="137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 x14ac:dyDescent="0.25">
      <c r="A48" s="59" t="s">
        <v>32</v>
      </c>
      <c r="B48" s="60" t="s">
        <v>45</v>
      </c>
      <c r="C48" s="61" t="s">
        <v>18</v>
      </c>
      <c r="D48" s="31">
        <v>70.05</v>
      </c>
      <c r="E48" s="31">
        <f>D48+D49</f>
        <v>81.42</v>
      </c>
      <c r="F48" s="31">
        <v>81.42</v>
      </c>
      <c r="G48" s="31">
        <v>81.42</v>
      </c>
      <c r="H48" s="239">
        <f t="shared" si="18"/>
        <v>100</v>
      </c>
      <c r="I48" s="31"/>
      <c r="J48" s="55"/>
      <c r="K48" s="55"/>
      <c r="L48" s="55"/>
      <c r="M48" s="55"/>
      <c r="N48" s="33"/>
      <c r="O48" s="33"/>
      <c r="P48" s="33"/>
      <c r="Q48" s="33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5">D50+D51</f>
        <v>11.37</v>
      </c>
      <c r="E49" s="17">
        <f t="shared" si="25"/>
        <v>8</v>
      </c>
      <c r="F49" s="17">
        <f t="shared" si="25"/>
        <v>0</v>
      </c>
      <c r="G49" s="17">
        <f t="shared" si="25"/>
        <v>0</v>
      </c>
      <c r="H49" s="235">
        <f t="shared" si="18"/>
        <v>0</v>
      </c>
      <c r="I49" s="17"/>
      <c r="J49" s="236"/>
      <c r="K49" s="236"/>
      <c r="L49" s="236"/>
      <c r="M49" s="236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2.25" customHeight="1" x14ac:dyDescent="0.25">
      <c r="A50" s="61" t="s">
        <v>47</v>
      </c>
      <c r="B50" s="66" t="s">
        <v>269</v>
      </c>
      <c r="C50" s="61" t="s">
        <v>18</v>
      </c>
      <c r="D50" s="31">
        <v>11.37</v>
      </c>
      <c r="E50" s="31">
        <v>8</v>
      </c>
      <c r="F50" s="31">
        <v>0</v>
      </c>
      <c r="G50" s="31">
        <v>0</v>
      </c>
      <c r="H50" s="235">
        <f t="shared" si="18"/>
        <v>0</v>
      </c>
      <c r="I50" s="31"/>
      <c r="J50" s="35"/>
      <c r="K50" s="137"/>
      <c r="L50" s="137"/>
      <c r="M50" s="137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 x14ac:dyDescent="0.25">
      <c r="A51" s="61" t="s">
        <v>47</v>
      </c>
      <c r="B51" s="66" t="s">
        <v>49</v>
      </c>
      <c r="C51" s="30" t="s">
        <v>18</v>
      </c>
      <c r="D51" s="31"/>
      <c r="E51" s="31"/>
      <c r="F51" s="31"/>
      <c r="G51" s="31"/>
      <c r="H51" s="235"/>
      <c r="I51" s="31"/>
      <c r="J51" s="137"/>
      <c r="K51" s="137"/>
      <c r="L51" s="137"/>
      <c r="M51" s="137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36.53</v>
      </c>
      <c r="E52" s="17">
        <f t="shared" si="26"/>
        <v>59.54</v>
      </c>
      <c r="F52" s="17">
        <f t="shared" si="26"/>
        <v>59.54</v>
      </c>
      <c r="G52" s="17">
        <f t="shared" si="26"/>
        <v>59.54</v>
      </c>
      <c r="H52" s="235">
        <f t="shared" ref="H52:H53" si="27">F52/E52*100</f>
        <v>100</v>
      </c>
      <c r="I52" s="17"/>
      <c r="J52" s="236"/>
      <c r="K52" s="19"/>
      <c r="L52" s="19"/>
      <c r="M52" s="19"/>
      <c r="N52" s="19"/>
      <c r="O52" s="19"/>
      <c r="P52" s="19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2.25" customHeight="1" x14ac:dyDescent="0.25">
      <c r="A53" s="71" t="s">
        <v>47</v>
      </c>
      <c r="B53" s="66" t="s">
        <v>51</v>
      </c>
      <c r="C53" s="30" t="s">
        <v>18</v>
      </c>
      <c r="D53" s="31">
        <f>45.53-14</f>
        <v>31.53</v>
      </c>
      <c r="E53" s="31">
        <v>59.54</v>
      </c>
      <c r="F53" s="31">
        <v>59.54</v>
      </c>
      <c r="G53" s="31">
        <v>59.54</v>
      </c>
      <c r="H53" s="239">
        <f t="shared" si="27"/>
        <v>100</v>
      </c>
      <c r="I53" s="31"/>
      <c r="J53" s="137"/>
      <c r="K53" s="238"/>
      <c r="L53" s="238"/>
      <c r="M53" s="238"/>
      <c r="N53" s="3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 x14ac:dyDescent="0.25">
      <c r="A54" s="30"/>
      <c r="B54" s="66" t="s">
        <v>52</v>
      </c>
      <c r="C54" s="30" t="s">
        <v>18</v>
      </c>
      <c r="D54" s="31">
        <v>5</v>
      </c>
      <c r="E54" s="31"/>
      <c r="F54" s="31"/>
      <c r="G54" s="31"/>
      <c r="H54" s="235"/>
      <c r="I54" s="31"/>
      <c r="J54" s="137"/>
      <c r="K54" s="137"/>
      <c r="L54" s="137"/>
      <c r="M54" s="137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8">D56+D57</f>
        <v>4.5</v>
      </c>
      <c r="E55" s="17">
        <f t="shared" si="28"/>
        <v>5.4</v>
      </c>
      <c r="F55" s="17">
        <f t="shared" si="28"/>
        <v>4.8</v>
      </c>
      <c r="G55" s="17">
        <f t="shared" si="28"/>
        <v>4.8</v>
      </c>
      <c r="H55" s="235">
        <f t="shared" ref="H55:H63" si="29">F55/E55*100</f>
        <v>88.888888888888886</v>
      </c>
      <c r="I55" s="17"/>
      <c r="J55" s="137"/>
      <c r="K55" s="137"/>
      <c r="L55" s="137"/>
      <c r="M55" s="137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 x14ac:dyDescent="0.25">
      <c r="A56" s="30" t="s">
        <v>32</v>
      </c>
      <c r="B56" s="60" t="s">
        <v>50</v>
      </c>
      <c r="C56" s="30" t="s">
        <v>18</v>
      </c>
      <c r="D56" s="31">
        <v>4.5</v>
      </c>
      <c r="E56" s="31">
        <v>4.8</v>
      </c>
      <c r="F56" s="31">
        <v>4.8</v>
      </c>
      <c r="G56" s="31">
        <v>4.8</v>
      </c>
      <c r="H56" s="239">
        <f t="shared" si="29"/>
        <v>100</v>
      </c>
      <c r="I56" s="31"/>
      <c r="J56" s="137"/>
      <c r="K56" s="137"/>
      <c r="L56" s="137"/>
      <c r="M56" s="137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F57" si="30">D58+D61</f>
        <v>0</v>
      </c>
      <c r="E57" s="31">
        <f t="shared" si="30"/>
        <v>0.60000000000000009</v>
      </c>
      <c r="F57" s="31">
        <f t="shared" si="30"/>
        <v>0</v>
      </c>
      <c r="G57" s="31">
        <v>0</v>
      </c>
      <c r="H57" s="235">
        <f t="shared" si="29"/>
        <v>0</v>
      </c>
      <c r="I57" s="31"/>
      <c r="J57" s="137"/>
      <c r="K57" s="137"/>
      <c r="L57" s="137"/>
      <c r="M57" s="13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31">D59+D60</f>
        <v>0</v>
      </c>
      <c r="E58" s="76">
        <f t="shared" si="31"/>
        <v>0.30000000000000004</v>
      </c>
      <c r="F58" s="76">
        <f t="shared" si="31"/>
        <v>0</v>
      </c>
      <c r="G58" s="76">
        <f t="shared" si="31"/>
        <v>0</v>
      </c>
      <c r="H58" s="235">
        <f t="shared" si="29"/>
        <v>0</v>
      </c>
      <c r="I58" s="76"/>
      <c r="J58" s="106"/>
      <c r="K58" s="106"/>
      <c r="L58" s="106"/>
      <c r="M58" s="106"/>
      <c r="N58" s="106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2.2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235">
        <f t="shared" si="29"/>
        <v>0</v>
      </c>
      <c r="I59" s="31"/>
      <c r="J59" s="240"/>
      <c r="K59" s="240"/>
      <c r="L59" s="240"/>
      <c r="M59" s="240"/>
      <c r="N59" s="24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235">
        <f t="shared" si="29"/>
        <v>0</v>
      </c>
      <c r="I60" s="31"/>
      <c r="J60" s="240"/>
      <c r="K60" s="240"/>
      <c r="L60" s="240"/>
      <c r="M60" s="240"/>
      <c r="N60" s="24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2">D62+D63</f>
        <v>0</v>
      </c>
      <c r="E61" s="76">
        <f t="shared" si="32"/>
        <v>0.30000000000000004</v>
      </c>
      <c r="F61" s="76">
        <f t="shared" si="32"/>
        <v>0</v>
      </c>
      <c r="G61" s="76">
        <f t="shared" si="32"/>
        <v>0</v>
      </c>
      <c r="H61" s="235">
        <f t="shared" si="29"/>
        <v>0</v>
      </c>
      <c r="I61" s="76"/>
      <c r="J61" s="240"/>
      <c r="K61" s="241"/>
      <c r="L61" s="241"/>
      <c r="M61" s="241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2.2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0.2</v>
      </c>
      <c r="F62" s="31">
        <v>0</v>
      </c>
      <c r="G62" s="31">
        <v>0</v>
      </c>
      <c r="H62" s="235">
        <f t="shared" si="29"/>
        <v>0</v>
      </c>
      <c r="I62" s="31"/>
      <c r="J62" s="240"/>
      <c r="K62" s="240"/>
      <c r="L62" s="240"/>
      <c r="M62" s="240"/>
      <c r="N62" s="24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235">
        <f t="shared" si="29"/>
        <v>0</v>
      </c>
      <c r="I63" s="31"/>
      <c r="J63" s="240"/>
      <c r="K63" s="240"/>
      <c r="L63" s="240"/>
      <c r="M63" s="240"/>
      <c r="N63" s="24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3">D65+D66</f>
        <v>0</v>
      </c>
      <c r="E64" s="17">
        <f t="shared" si="33"/>
        <v>0</v>
      </c>
      <c r="F64" s="17">
        <f t="shared" si="33"/>
        <v>0</v>
      </c>
      <c r="G64" s="17">
        <f t="shared" si="33"/>
        <v>0</v>
      </c>
      <c r="H64" s="239"/>
      <c r="I64" s="17"/>
      <c r="J64" s="137"/>
      <c r="K64" s="137"/>
      <c r="L64" s="137"/>
      <c r="M64" s="13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235"/>
      <c r="I65" s="31"/>
      <c r="J65" s="137"/>
      <c r="K65" s="137"/>
      <c r="L65" s="137"/>
      <c r="M65" s="137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235"/>
      <c r="I66" s="31"/>
      <c r="J66" s="137"/>
      <c r="K66" s="137"/>
      <c r="L66" s="137"/>
      <c r="M66" s="137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4">D68+D71</f>
        <v>22.01</v>
      </c>
      <c r="E67" s="17">
        <f t="shared" si="34"/>
        <v>20.300000000000004</v>
      </c>
      <c r="F67" s="17">
        <f t="shared" si="34"/>
        <v>16.590000000000003</v>
      </c>
      <c r="G67" s="17">
        <f t="shared" si="34"/>
        <v>16.590000000000003</v>
      </c>
      <c r="H67" s="235">
        <f t="shared" ref="H67:H77" si="35">F67/E67*100</f>
        <v>81.724137931034477</v>
      </c>
      <c r="I67" s="17"/>
      <c r="J67" s="137"/>
      <c r="K67" s="137"/>
      <c r="L67" s="137"/>
      <c r="M67" s="137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6">D69+D70</f>
        <v>0.35000000000000003</v>
      </c>
      <c r="E68" s="17">
        <f t="shared" si="36"/>
        <v>3.35</v>
      </c>
      <c r="F68" s="17">
        <f t="shared" si="36"/>
        <v>0.35</v>
      </c>
      <c r="G68" s="17">
        <f t="shared" si="36"/>
        <v>0.35</v>
      </c>
      <c r="H68" s="235">
        <f t="shared" si="35"/>
        <v>10.44776119402985</v>
      </c>
      <c r="I68" s="17"/>
      <c r="J68" s="238"/>
      <c r="K68" s="137"/>
      <c r="L68" s="137"/>
      <c r="M68" s="137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 x14ac:dyDescent="0.25">
      <c r="A69" s="30" t="s">
        <v>47</v>
      </c>
      <c r="B69" s="60" t="s">
        <v>69</v>
      </c>
      <c r="C69" s="30" t="s">
        <v>18</v>
      </c>
      <c r="D69" s="31">
        <f>0.05+0.23</f>
        <v>0.28000000000000003</v>
      </c>
      <c r="E69" s="31">
        <f>D69+D70</f>
        <v>0.35000000000000003</v>
      </c>
      <c r="F69" s="31">
        <v>0.35</v>
      </c>
      <c r="G69" s="31">
        <v>0.35</v>
      </c>
      <c r="H69" s="239">
        <f t="shared" si="35"/>
        <v>99.999999999999986</v>
      </c>
      <c r="I69" s="31"/>
      <c r="J69" s="137"/>
      <c r="K69" s="137"/>
      <c r="L69" s="137"/>
      <c r="M69" s="137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25">
      <c r="A70" s="30" t="s">
        <v>47</v>
      </c>
      <c r="B70" s="60" t="s">
        <v>70</v>
      </c>
      <c r="C70" s="30" t="s">
        <v>18</v>
      </c>
      <c r="D70" s="31">
        <v>7.0000000000000007E-2</v>
      </c>
      <c r="E70" s="31">
        <v>3</v>
      </c>
      <c r="F70" s="31"/>
      <c r="G70" s="31"/>
      <c r="H70" s="235">
        <f t="shared" si="35"/>
        <v>0</v>
      </c>
      <c r="I70" s="31"/>
      <c r="J70" s="137"/>
      <c r="K70" s="137"/>
      <c r="L70" s="137"/>
      <c r="M70" s="137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7">D72+D73</f>
        <v>21.66</v>
      </c>
      <c r="E71" s="17">
        <f t="shared" si="37"/>
        <v>16.950000000000003</v>
      </c>
      <c r="F71" s="17">
        <f t="shared" si="37"/>
        <v>16.240000000000002</v>
      </c>
      <c r="G71" s="17">
        <f t="shared" si="37"/>
        <v>16.240000000000002</v>
      </c>
      <c r="H71" s="235">
        <f t="shared" si="35"/>
        <v>95.811209439528028</v>
      </c>
      <c r="I71" s="17"/>
      <c r="J71" s="137"/>
      <c r="K71" s="137"/>
      <c r="L71" s="137"/>
      <c r="M71" s="137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8">D75+D82</f>
        <v>19.66</v>
      </c>
      <c r="E72" s="91">
        <f t="shared" si="38"/>
        <v>16.240000000000002</v>
      </c>
      <c r="F72" s="91">
        <f t="shared" si="38"/>
        <v>16.240000000000002</v>
      </c>
      <c r="G72" s="91">
        <f t="shared" si="38"/>
        <v>16.240000000000002</v>
      </c>
      <c r="H72" s="235">
        <f t="shared" si="35"/>
        <v>100</v>
      </c>
      <c r="I72" s="91"/>
      <c r="J72" s="137"/>
      <c r="K72" s="137"/>
      <c r="L72" s="137"/>
      <c r="M72" s="137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9">D76+D83</f>
        <v>2</v>
      </c>
      <c r="E73" s="17">
        <f t="shared" si="39"/>
        <v>0.71</v>
      </c>
      <c r="F73" s="17">
        <f t="shared" si="39"/>
        <v>0</v>
      </c>
      <c r="G73" s="17">
        <f t="shared" si="39"/>
        <v>0</v>
      </c>
      <c r="H73" s="235">
        <f t="shared" si="35"/>
        <v>0</v>
      </c>
      <c r="I73" s="17"/>
      <c r="J73" s="236"/>
      <c r="K73" s="236"/>
      <c r="L73" s="236"/>
      <c r="M73" s="236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40">D75+D76</f>
        <v>15.74</v>
      </c>
      <c r="E74" s="96">
        <f t="shared" si="40"/>
        <v>15.24</v>
      </c>
      <c r="F74" s="96">
        <f t="shared" si="40"/>
        <v>14.74</v>
      </c>
      <c r="G74" s="96">
        <f t="shared" si="40"/>
        <v>14.74</v>
      </c>
      <c r="H74" s="242">
        <f t="shared" si="35"/>
        <v>96.719160104986884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 x14ac:dyDescent="0.25">
      <c r="A75" s="59" t="s">
        <v>32</v>
      </c>
      <c r="B75" s="98" t="s">
        <v>45</v>
      </c>
      <c r="C75" s="30" t="s">
        <v>18</v>
      </c>
      <c r="D75" s="62">
        <v>15.24</v>
      </c>
      <c r="E75" s="62">
        <v>14.74</v>
      </c>
      <c r="F75" s="31">
        <v>14.74</v>
      </c>
      <c r="G75" s="31">
        <v>14.74</v>
      </c>
      <c r="H75" s="239">
        <f t="shared" si="35"/>
        <v>100</v>
      </c>
      <c r="I75" s="31"/>
      <c r="J75" s="137"/>
      <c r="K75" s="137"/>
      <c r="L75" s="28"/>
      <c r="M75" s="125"/>
      <c r="N75" s="2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41">SUM(D77:D80)</f>
        <v>0.5</v>
      </c>
      <c r="E76" s="244">
        <f t="shared" si="41"/>
        <v>0.5</v>
      </c>
      <c r="F76" s="244">
        <f t="shared" si="41"/>
        <v>0</v>
      </c>
      <c r="G76" s="244">
        <f t="shared" si="41"/>
        <v>0</v>
      </c>
      <c r="H76" s="235">
        <f t="shared" si="35"/>
        <v>0</v>
      </c>
      <c r="I76" s="244"/>
      <c r="J76" s="241"/>
      <c r="K76" s="241"/>
      <c r="L76" s="106"/>
      <c r="M76" s="106"/>
      <c r="N76" s="2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 x14ac:dyDescent="0.25">
      <c r="A77" s="48" t="s">
        <v>47</v>
      </c>
      <c r="B77" s="101" t="s">
        <v>80</v>
      </c>
      <c r="C77" s="48" t="s">
        <v>18</v>
      </c>
      <c r="D77" s="31"/>
      <c r="E77" s="31">
        <v>0.5</v>
      </c>
      <c r="F77" s="31">
        <v>0</v>
      </c>
      <c r="G77" s="31">
        <v>0</v>
      </c>
      <c r="H77" s="235">
        <f t="shared" si="35"/>
        <v>0</v>
      </c>
      <c r="I77" s="31"/>
      <c r="J77" s="245"/>
      <c r="K77" s="241"/>
      <c r="L77" s="106"/>
      <c r="M77" s="246"/>
      <c r="N77" s="38"/>
      <c r="O77" s="38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 x14ac:dyDescent="0.25">
      <c r="A78" s="48" t="s">
        <v>47</v>
      </c>
      <c r="B78" s="101" t="s">
        <v>81</v>
      </c>
      <c r="C78" s="48" t="s">
        <v>18</v>
      </c>
      <c r="D78" s="31">
        <v>0.5</v>
      </c>
      <c r="E78" s="31">
        <v>0</v>
      </c>
      <c r="F78" s="31"/>
      <c r="G78" s="31"/>
      <c r="H78" s="235"/>
      <c r="I78" s="31"/>
      <c r="J78" s="241"/>
      <c r="K78" s="241"/>
      <c r="L78" s="106"/>
      <c r="M78" s="106"/>
      <c r="N78" s="2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235"/>
      <c r="I79" s="31"/>
      <c r="J79" s="241"/>
      <c r="K79" s="241"/>
      <c r="L79" s="106"/>
      <c r="M79" s="106"/>
      <c r="N79" s="2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 x14ac:dyDescent="0.25">
      <c r="A80" s="48" t="s">
        <v>47</v>
      </c>
      <c r="B80" s="247" t="s">
        <v>83</v>
      </c>
      <c r="C80" s="48" t="s">
        <v>18</v>
      </c>
      <c r="D80" s="31"/>
      <c r="E80" s="31"/>
      <c r="F80" s="31"/>
      <c r="G80" s="31"/>
      <c r="H80" s="235"/>
      <c r="I80" s="31"/>
      <c r="J80" s="241"/>
      <c r="K80" s="241"/>
      <c r="L80" s="106"/>
      <c r="M80" s="106"/>
      <c r="N80" s="2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2">D82+D83</f>
        <v>5.92</v>
      </c>
      <c r="E81" s="96">
        <f t="shared" si="42"/>
        <v>1.71</v>
      </c>
      <c r="F81" s="96">
        <f t="shared" si="42"/>
        <v>1.5</v>
      </c>
      <c r="G81" s="96">
        <f t="shared" si="42"/>
        <v>1.5</v>
      </c>
      <c r="H81" s="242">
        <f t="shared" ref="H81:H83" si="43">F81/E81*100</f>
        <v>87.719298245614041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2.25" customHeight="1" x14ac:dyDescent="0.25">
      <c r="A82" s="117" t="s">
        <v>47</v>
      </c>
      <c r="B82" s="101" t="s">
        <v>85</v>
      </c>
      <c r="C82" s="48" t="s">
        <v>18</v>
      </c>
      <c r="D82" s="76">
        <v>4.42</v>
      </c>
      <c r="E82" s="76">
        <v>1.5</v>
      </c>
      <c r="F82" s="76">
        <v>1.5</v>
      </c>
      <c r="G82" s="76">
        <v>1.5</v>
      </c>
      <c r="H82" s="239">
        <f t="shared" si="43"/>
        <v>100</v>
      </c>
      <c r="I82" s="76"/>
      <c r="J82" s="241"/>
      <c r="K82" s="245"/>
      <c r="L82" s="106"/>
      <c r="M82" s="106"/>
      <c r="N82" s="79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2.2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4">SUM(D84:D87)</f>
        <v>1.5</v>
      </c>
      <c r="E83" s="62">
        <f t="shared" si="44"/>
        <v>0.21</v>
      </c>
      <c r="F83" s="62">
        <f t="shared" si="44"/>
        <v>0</v>
      </c>
      <c r="G83" s="62">
        <f t="shared" si="44"/>
        <v>0</v>
      </c>
      <c r="H83" s="239">
        <f t="shared" si="43"/>
        <v>0</v>
      </c>
      <c r="I83" s="62"/>
      <c r="J83" s="241"/>
      <c r="K83" s="241"/>
      <c r="L83" s="241"/>
      <c r="M83" s="24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235"/>
      <c r="I84" s="31"/>
      <c r="J84" s="106"/>
      <c r="K84" s="106"/>
      <c r="L84" s="106"/>
      <c r="M84" s="106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235"/>
      <c r="I85" s="31"/>
      <c r="J85" s="106"/>
      <c r="K85" s="106"/>
      <c r="L85" s="106"/>
      <c r="M85" s="106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235"/>
      <c r="I86" s="31"/>
      <c r="J86" s="106"/>
      <c r="K86" s="106"/>
      <c r="L86" s="106"/>
      <c r="M86" s="106"/>
      <c r="N86" s="2"/>
      <c r="O86" s="2"/>
      <c r="P86" s="2"/>
      <c r="Q86" s="2"/>
      <c r="R86" s="2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25">
      <c r="A87" s="117" t="s">
        <v>47</v>
      </c>
      <c r="B87" s="101" t="s">
        <v>89</v>
      </c>
      <c r="C87" s="48" t="s">
        <v>18</v>
      </c>
      <c r="D87" s="31">
        <v>1.5</v>
      </c>
      <c r="E87" s="31">
        <v>0.21</v>
      </c>
      <c r="F87" s="31">
        <v>0</v>
      </c>
      <c r="G87" s="31">
        <v>0</v>
      </c>
      <c r="H87" s="235">
        <f t="shared" ref="H87:H93" si="45">F87/E87*100</f>
        <v>0</v>
      </c>
      <c r="I87" s="31"/>
      <c r="J87" s="78"/>
      <c r="K87" s="106"/>
      <c r="L87" s="106"/>
      <c r="M87" s="246"/>
      <c r="N87" s="38"/>
      <c r="O87" s="38"/>
      <c r="P87" s="38"/>
      <c r="Q87" s="38"/>
      <c r="R87" s="38"/>
      <c r="S87" s="38"/>
      <c r="T87" s="1"/>
      <c r="U87" s="1"/>
      <c r="V87" s="1"/>
      <c r="W87" s="1"/>
      <c r="X87" s="1"/>
      <c r="Y87" s="1"/>
      <c r="Z87" s="1"/>
    </row>
    <row r="88" spans="1:26" ht="32.25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481</v>
      </c>
      <c r="E88" s="17">
        <f t="shared" si="46"/>
        <v>540</v>
      </c>
      <c r="F88" s="17">
        <f t="shared" si="46"/>
        <v>487</v>
      </c>
      <c r="G88" s="17">
        <f t="shared" si="46"/>
        <v>487</v>
      </c>
      <c r="H88" s="235">
        <f t="shared" si="45"/>
        <v>90.18518518518519</v>
      </c>
      <c r="I88" s="17"/>
      <c r="J88" s="28"/>
      <c r="K88" s="28"/>
      <c r="L88" s="39"/>
      <c r="M88" s="39"/>
      <c r="N88" s="108"/>
      <c r="O88" s="108"/>
      <c r="P88" s="108"/>
      <c r="Q88" s="108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 x14ac:dyDescent="0.25">
      <c r="A89" s="30">
        <v>1</v>
      </c>
      <c r="B89" s="27" t="s">
        <v>92</v>
      </c>
      <c r="C89" s="30" t="s">
        <v>93</v>
      </c>
      <c r="D89" s="31">
        <f>46-15</f>
        <v>31</v>
      </c>
      <c r="E89" s="31">
        <f>47+25-6</f>
        <v>66</v>
      </c>
      <c r="F89" s="31">
        <v>62</v>
      </c>
      <c r="G89" s="31">
        <f t="shared" ref="G89:G93" si="47">F89</f>
        <v>62</v>
      </c>
      <c r="H89" s="239">
        <f t="shared" si="45"/>
        <v>93.939393939393938</v>
      </c>
      <c r="I89" s="31"/>
      <c r="J89" s="84"/>
      <c r="K89" s="84"/>
      <c r="L89" s="83"/>
      <c r="M89" s="118"/>
      <c r="N89" s="248"/>
      <c r="O89" s="24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2.25" customHeight="1" x14ac:dyDescent="0.25">
      <c r="A90" s="30">
        <v>2</v>
      </c>
      <c r="B90" s="27" t="s">
        <v>94</v>
      </c>
      <c r="C90" s="30" t="s">
        <v>93</v>
      </c>
      <c r="D90" s="31">
        <f>77-5</f>
        <v>72</v>
      </c>
      <c r="E90" s="31">
        <f>77+12+3</f>
        <v>92</v>
      </c>
      <c r="F90" s="31">
        <v>90</v>
      </c>
      <c r="G90" s="31">
        <f t="shared" si="47"/>
        <v>90</v>
      </c>
      <c r="H90" s="239">
        <f t="shared" si="45"/>
        <v>97.826086956521735</v>
      </c>
      <c r="I90" s="31"/>
      <c r="J90" s="57"/>
      <c r="K90" s="84"/>
      <c r="L90" s="83"/>
      <c r="M90" s="11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2.25" customHeight="1" x14ac:dyDescent="0.25">
      <c r="A91" s="30">
        <v>3</v>
      </c>
      <c r="B91" s="27" t="s">
        <v>97</v>
      </c>
      <c r="C91" s="30" t="s">
        <v>93</v>
      </c>
      <c r="D91" s="31">
        <f>44-5</f>
        <v>39</v>
      </c>
      <c r="E91" s="31">
        <f>45+14</f>
        <v>59</v>
      </c>
      <c r="F91" s="31">
        <v>57</v>
      </c>
      <c r="G91" s="31">
        <f t="shared" si="47"/>
        <v>57</v>
      </c>
      <c r="H91" s="239">
        <f t="shared" si="45"/>
        <v>96.610169491525426</v>
      </c>
      <c r="I91" s="31"/>
      <c r="J91" s="57"/>
      <c r="K91" s="84"/>
      <c r="L91" s="83"/>
      <c r="M91" s="118"/>
      <c r="N91" s="249"/>
      <c r="O91" s="249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2.25" customHeight="1" x14ac:dyDescent="0.25">
      <c r="A92" s="30">
        <v>4</v>
      </c>
      <c r="B92" s="27" t="s">
        <v>99</v>
      </c>
      <c r="C92" s="30" t="s">
        <v>93</v>
      </c>
      <c r="D92" s="31">
        <f>20-5</f>
        <v>15</v>
      </c>
      <c r="E92" s="31">
        <f>22+6</f>
        <v>28</v>
      </c>
      <c r="F92" s="31">
        <v>25</v>
      </c>
      <c r="G92" s="31">
        <f t="shared" si="47"/>
        <v>25</v>
      </c>
      <c r="H92" s="239">
        <f t="shared" si="45"/>
        <v>89.285714285714292</v>
      </c>
      <c r="I92" s="31"/>
      <c r="J92" s="57"/>
      <c r="K92" s="84"/>
      <c r="L92" s="122"/>
      <c r="M92" s="118"/>
      <c r="N92" s="249"/>
      <c r="O92" s="249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32.25" customHeight="1" x14ac:dyDescent="0.25">
      <c r="A93" s="30">
        <v>5</v>
      </c>
      <c r="B93" s="27" t="s">
        <v>100</v>
      </c>
      <c r="C93" s="30" t="s">
        <v>93</v>
      </c>
      <c r="D93" s="31">
        <f>373-49</f>
        <v>324</v>
      </c>
      <c r="E93" s="31">
        <f>326-31</f>
        <v>295</v>
      </c>
      <c r="F93" s="31">
        <v>253</v>
      </c>
      <c r="G93" s="31">
        <f t="shared" si="47"/>
        <v>253</v>
      </c>
      <c r="H93" s="239">
        <f t="shared" si="45"/>
        <v>85.762711864406782</v>
      </c>
      <c r="I93" s="31"/>
      <c r="J93" s="84"/>
      <c r="K93" s="84"/>
      <c r="L93" s="122"/>
      <c r="M93" s="118"/>
      <c r="N93" s="24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2.2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8">D95</f>
        <v>0</v>
      </c>
      <c r="E94" s="17">
        <f t="shared" si="48"/>
        <v>0</v>
      </c>
      <c r="F94" s="17">
        <f t="shared" si="48"/>
        <v>0</v>
      </c>
      <c r="G94" s="17">
        <f t="shared" si="48"/>
        <v>0</v>
      </c>
      <c r="H94" s="235"/>
      <c r="I94" s="17"/>
      <c r="J94" s="19"/>
      <c r="K94" s="19"/>
      <c r="L94" s="122"/>
      <c r="M94" s="118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2.25" customHeight="1" x14ac:dyDescent="0.25">
      <c r="A95" s="48" t="s">
        <v>47</v>
      </c>
      <c r="B95" s="81" t="s">
        <v>103</v>
      </c>
      <c r="C95" s="48" t="s">
        <v>18</v>
      </c>
      <c r="D95" s="31"/>
      <c r="E95" s="31"/>
      <c r="F95" s="31"/>
      <c r="G95" s="31"/>
      <c r="H95" s="235"/>
      <c r="I95" s="31"/>
      <c r="J95" s="28"/>
      <c r="K95" s="28"/>
      <c r="L95" s="122"/>
      <c r="M95" s="118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9">D97+D98</f>
        <v>5.6</v>
      </c>
      <c r="E96" s="17">
        <f t="shared" si="49"/>
        <v>2.5499999999999998</v>
      </c>
      <c r="F96" s="17">
        <f t="shared" si="49"/>
        <v>0</v>
      </c>
      <c r="G96" s="17">
        <f t="shared" si="49"/>
        <v>0</v>
      </c>
      <c r="H96" s="235">
        <f>F96/E96*100</f>
        <v>0</v>
      </c>
      <c r="I96" s="17"/>
      <c r="J96" s="28"/>
      <c r="K96" s="28"/>
      <c r="L96" s="28"/>
      <c r="M96" s="28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x14ac:dyDescent="0.25">
      <c r="A97" s="30" t="s">
        <v>47</v>
      </c>
      <c r="B97" s="98" t="s">
        <v>270</v>
      </c>
      <c r="C97" s="48" t="s">
        <v>18</v>
      </c>
      <c r="D97" s="31"/>
      <c r="E97" s="31"/>
      <c r="F97" s="31"/>
      <c r="G97" s="31"/>
      <c r="H97" s="235"/>
      <c r="I97" s="31"/>
      <c r="J97" s="28"/>
      <c r="K97" s="28"/>
      <c r="L97" s="28"/>
      <c r="M97" s="28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x14ac:dyDescent="0.25">
      <c r="A98" s="133" t="s">
        <v>47</v>
      </c>
      <c r="B98" s="98" t="s">
        <v>110</v>
      </c>
      <c r="C98" s="48" t="s">
        <v>18</v>
      </c>
      <c r="D98" s="31">
        <v>5.6</v>
      </c>
      <c r="E98" s="31">
        <f>3.8-1.25</f>
        <v>2.5499999999999998</v>
      </c>
      <c r="F98" s="31"/>
      <c r="G98" s="31"/>
      <c r="H98" s="235">
        <f>F98/E98*100</f>
        <v>0</v>
      </c>
      <c r="I98" s="31"/>
      <c r="J98" s="28"/>
      <c r="K98" s="250"/>
      <c r="L98" s="28"/>
      <c r="M98" s="28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23622047244094491" top="0.43307086614173229" bottom="0.35433070866141736" header="0" footer="0"/>
  <pageSetup scale="8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88671875" customWidth="1"/>
    <col min="2" max="2" width="29" customWidth="1"/>
    <col min="3" max="3" width="10.33203125" customWidth="1"/>
    <col min="4" max="4" width="16.21875" customWidth="1"/>
    <col min="5" max="5" width="17.88671875" customWidth="1"/>
    <col min="6" max="9" width="12.6640625" customWidth="1"/>
    <col min="10" max="10" width="8.88671875" customWidth="1"/>
    <col min="11" max="11" width="19.77734375" customWidth="1"/>
    <col min="12" max="14" width="8.88671875" customWidth="1"/>
    <col min="15" max="23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271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'TUMO RONG (1)'!A5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2"/>
      <c r="B6" s="232"/>
      <c r="C6" s="232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33">
        <v>37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273</v>
      </c>
      <c r="G8" s="14" t="s">
        <v>274</v>
      </c>
      <c r="H8" s="14" t="s">
        <v>14</v>
      </c>
      <c r="I8" s="306"/>
      <c r="J8" s="137"/>
      <c r="K8" s="11" t="s">
        <v>15</v>
      </c>
      <c r="L8" s="252">
        <v>130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45.59</v>
      </c>
      <c r="E9" s="17">
        <f t="shared" si="0"/>
        <v>64.309999999999988</v>
      </c>
      <c r="F9" s="17">
        <f t="shared" si="0"/>
        <v>49.882999999999996</v>
      </c>
      <c r="G9" s="17">
        <f t="shared" si="0"/>
        <v>49.682999999999993</v>
      </c>
      <c r="H9" s="17">
        <f t="shared" ref="H9:H24" si="1">F9/E9*100</f>
        <v>77.566474887264818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2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10.82</v>
      </c>
      <c r="F10" s="17">
        <f t="shared" si="2"/>
        <v>2.17</v>
      </c>
      <c r="G10" s="17">
        <f t="shared" si="2"/>
        <v>2.17</v>
      </c>
      <c r="H10" s="17">
        <f t="shared" si="1"/>
        <v>20.055452865064694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2.5" customHeight="1" x14ac:dyDescent="0.25">
      <c r="A11" s="15"/>
      <c r="B11" s="24" t="s">
        <v>20</v>
      </c>
      <c r="C11" s="15" t="s">
        <v>21</v>
      </c>
      <c r="D11" s="17">
        <f t="shared" ref="D11:G11" si="3">D15+D30</f>
        <v>3.6850000000000001</v>
      </c>
      <c r="E11" s="17">
        <f t="shared" si="3"/>
        <v>40.773600000000002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2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37.083600000000004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23.2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9.82</v>
      </c>
      <c r="F13" s="17">
        <f t="shared" si="5"/>
        <v>1.17</v>
      </c>
      <c r="G13" s="17">
        <f t="shared" si="5"/>
        <v>1.17</v>
      </c>
      <c r="H13" s="17">
        <f t="shared" si="1"/>
        <v>11.914460285132382</v>
      </c>
      <c r="I13" s="17"/>
      <c r="J13" s="137"/>
      <c r="K13" s="253"/>
      <c r="L13" s="253"/>
      <c r="M13" s="254"/>
      <c r="N13" s="253"/>
      <c r="O13" s="29"/>
      <c r="P13" s="29"/>
      <c r="Q13" s="29"/>
      <c r="R13" s="29"/>
      <c r="S13" s="38"/>
      <c r="T13" s="47"/>
      <c r="U13" s="1"/>
      <c r="V13" s="1"/>
      <c r="W13" s="1"/>
      <c r="X13" s="1"/>
      <c r="Y13" s="1"/>
      <c r="Z13" s="1"/>
    </row>
    <row r="14" spans="1:26" ht="22.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37.763340122199594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37.083600000000004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1.17</v>
      </c>
      <c r="F16" s="17">
        <v>1.17</v>
      </c>
      <c r="G16" s="17">
        <v>1.17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22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25">
      <c r="A18" s="15"/>
      <c r="B18" s="27" t="s">
        <v>27</v>
      </c>
      <c r="C18" s="30" t="s">
        <v>21</v>
      </c>
      <c r="D18" s="17">
        <f t="shared" ref="D18:G18" si="8">D16*D17/10</f>
        <v>0</v>
      </c>
      <c r="E18" s="31">
        <f t="shared" si="8"/>
        <v>3.9195000000000002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22.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8.65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6"/>
      <c r="O19" s="90"/>
      <c r="P19" s="90"/>
      <c r="Q19" s="90"/>
      <c r="R19" s="90"/>
      <c r="S19" s="90"/>
      <c r="T19" s="90"/>
      <c r="U19" s="90"/>
      <c r="V19" s="90"/>
      <c r="W19" s="1"/>
      <c r="X19" s="1"/>
      <c r="Y19" s="1"/>
      <c r="Z19" s="1"/>
    </row>
    <row r="20" spans="1:26" ht="22.5" customHeight="1" x14ac:dyDescent="0.25">
      <c r="A20" s="40"/>
      <c r="B20" s="27" t="s">
        <v>25</v>
      </c>
      <c r="C20" s="30" t="s">
        <v>26</v>
      </c>
      <c r="D20" s="31"/>
      <c r="E20" s="31">
        <f>E21/E19*10</f>
        <v>38.340000000000003</v>
      </c>
      <c r="F20" s="31"/>
      <c r="G20" s="31"/>
      <c r="H20" s="17">
        <f t="shared" si="1"/>
        <v>0</v>
      </c>
      <c r="I20" s="31"/>
      <c r="J20" s="28"/>
      <c r="K20" s="28"/>
      <c r="L20" s="28"/>
      <c r="M20" s="28"/>
      <c r="N20" s="46"/>
      <c r="O20" s="90"/>
      <c r="P20" s="90"/>
      <c r="Q20" s="90"/>
      <c r="R20" s="90"/>
      <c r="S20" s="90"/>
      <c r="T20" s="90"/>
      <c r="U20" s="90"/>
      <c r="V20" s="90"/>
      <c r="W20" s="1"/>
      <c r="X20" s="1"/>
      <c r="Y20" s="1"/>
      <c r="Z20" s="1"/>
    </row>
    <row r="21" spans="1:26" ht="22.5" customHeight="1" x14ac:dyDescent="0.25">
      <c r="A21" s="40"/>
      <c r="B21" s="27" t="s">
        <v>27</v>
      </c>
      <c r="C21" s="30" t="s">
        <v>21</v>
      </c>
      <c r="D21" s="31">
        <f t="shared" ref="D21:G21" si="10">D24+D27</f>
        <v>0</v>
      </c>
      <c r="E21" s="31">
        <f t="shared" si="10"/>
        <v>33.164100000000005</v>
      </c>
      <c r="F21" s="31">
        <f t="shared" si="10"/>
        <v>0</v>
      </c>
      <c r="G21" s="31">
        <f t="shared" si="10"/>
        <v>0</v>
      </c>
      <c r="H21" s="17">
        <f t="shared" si="1"/>
        <v>0</v>
      </c>
      <c r="I21" s="31"/>
      <c r="J21" s="28"/>
      <c r="K21" s="28"/>
      <c r="L21" s="28"/>
      <c r="M21" s="28"/>
      <c r="N21" s="46"/>
      <c r="O21" s="90"/>
      <c r="P21" s="90"/>
      <c r="Q21" s="90"/>
      <c r="R21" s="90"/>
      <c r="S21" s="90"/>
      <c r="T21" s="90"/>
      <c r="U21" s="90"/>
      <c r="V21" s="90"/>
      <c r="W21" s="1"/>
      <c r="X21" s="1"/>
      <c r="Y21" s="1"/>
      <c r="Z21" s="1"/>
    </row>
    <row r="22" spans="1:26" ht="22.5" customHeight="1" x14ac:dyDescent="0.25">
      <c r="A22" s="40" t="s">
        <v>32</v>
      </c>
      <c r="B22" s="42" t="s">
        <v>33</v>
      </c>
      <c r="C22" s="40" t="s">
        <v>18</v>
      </c>
      <c r="D22" s="17"/>
      <c r="E22" s="17">
        <f>5.33+3.32</f>
        <v>8.65</v>
      </c>
      <c r="F22" s="31"/>
      <c r="G22" s="17">
        <v>0</v>
      </c>
      <c r="H22" s="17">
        <f t="shared" si="1"/>
        <v>0</v>
      </c>
      <c r="I22" s="31"/>
      <c r="J22" s="55"/>
      <c r="K22" s="55"/>
      <c r="L22" s="55"/>
      <c r="M22" s="55"/>
      <c r="N22" s="63"/>
      <c r="O22" s="255"/>
      <c r="P22" s="255"/>
      <c r="Q22" s="255"/>
      <c r="R22" s="255"/>
      <c r="S22" s="255"/>
      <c r="T22" s="255"/>
      <c r="U22" s="90"/>
      <c r="V22" s="90"/>
      <c r="W22" s="1"/>
      <c r="X22" s="1"/>
      <c r="Y22" s="1"/>
      <c r="Z22" s="1"/>
    </row>
    <row r="23" spans="1:26" ht="22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5"/>
      <c r="K23" s="55"/>
      <c r="L23" s="55"/>
      <c r="M23" s="55"/>
      <c r="N23" s="63"/>
      <c r="O23" s="255"/>
      <c r="P23" s="255"/>
      <c r="Q23" s="255"/>
      <c r="R23" s="255"/>
      <c r="S23" s="255"/>
      <c r="T23" s="255"/>
      <c r="U23" s="90"/>
      <c r="V23" s="90"/>
      <c r="W23" s="1"/>
      <c r="X23" s="1"/>
      <c r="Y23" s="1"/>
      <c r="Z23" s="1"/>
    </row>
    <row r="24" spans="1:26" ht="22.5" customHeight="1" x14ac:dyDescent="0.25">
      <c r="A24" s="40"/>
      <c r="B24" s="27" t="s">
        <v>27</v>
      </c>
      <c r="C24" s="30" t="s">
        <v>21</v>
      </c>
      <c r="D24" s="31">
        <f t="shared" ref="D24:G24" si="11">D22*D23/10</f>
        <v>0</v>
      </c>
      <c r="E24" s="31">
        <f t="shared" si="11"/>
        <v>33.164100000000005</v>
      </c>
      <c r="F24" s="31">
        <f t="shared" si="11"/>
        <v>0</v>
      </c>
      <c r="G24" s="31">
        <f t="shared" si="11"/>
        <v>0</v>
      </c>
      <c r="H24" s="17">
        <f t="shared" si="1"/>
        <v>0</v>
      </c>
      <c r="I24" s="31"/>
      <c r="J24" s="55"/>
      <c r="K24" s="55"/>
      <c r="L24" s="55"/>
      <c r="M24" s="55"/>
      <c r="N24" s="63"/>
      <c r="O24" s="255"/>
      <c r="P24" s="255"/>
      <c r="Q24" s="255"/>
      <c r="R24" s="255"/>
      <c r="S24" s="255"/>
      <c r="T24" s="255"/>
      <c r="U24" s="90"/>
      <c r="V24" s="90"/>
      <c r="W24" s="1"/>
      <c r="X24" s="1"/>
      <c r="Y24" s="1"/>
      <c r="Z24" s="1"/>
    </row>
    <row r="25" spans="1:26" ht="22.5" customHeight="1" x14ac:dyDescent="0.25">
      <c r="A25" s="40" t="s">
        <v>32</v>
      </c>
      <c r="B25" s="42" t="s">
        <v>34</v>
      </c>
      <c r="C25" s="40" t="s">
        <v>18</v>
      </c>
      <c r="D25" s="17"/>
      <c r="E25" s="31"/>
      <c r="F25" s="31"/>
      <c r="G25" s="31">
        <v>0</v>
      </c>
      <c r="H25" s="17"/>
      <c r="I25" s="31"/>
      <c r="J25" s="55"/>
      <c r="K25" s="55"/>
      <c r="L25" s="55"/>
      <c r="M25" s="55"/>
      <c r="N25" s="55"/>
      <c r="O25" s="33"/>
      <c r="P25" s="33"/>
      <c r="Q25" s="256"/>
      <c r="R25" s="256"/>
      <c r="S25" s="256"/>
      <c r="T25" s="256"/>
      <c r="U25" s="1"/>
      <c r="V25" s="1"/>
      <c r="W25" s="1"/>
      <c r="X25" s="1"/>
      <c r="Y25" s="1"/>
      <c r="Z25" s="1"/>
    </row>
    <row r="26" spans="1:26" ht="22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31"/>
      <c r="I26" s="31"/>
      <c r="J26" s="55"/>
      <c r="K26" s="55"/>
      <c r="L26" s="55"/>
      <c r="M26" s="55"/>
      <c r="N26" s="55"/>
      <c r="O26" s="33"/>
      <c r="P26" s="33"/>
      <c r="Q26" s="256"/>
      <c r="R26" s="256"/>
      <c r="S26" s="256"/>
      <c r="T26" s="256"/>
      <c r="U26" s="1"/>
      <c r="V26" s="1"/>
      <c r="W26" s="1"/>
      <c r="X26" s="1"/>
      <c r="Y26" s="1"/>
      <c r="Z26" s="1"/>
    </row>
    <row r="27" spans="1:26" ht="22.5" customHeight="1" x14ac:dyDescent="0.25">
      <c r="A27" s="40"/>
      <c r="B27" s="27" t="s">
        <v>27</v>
      </c>
      <c r="C27" s="30" t="s">
        <v>21</v>
      </c>
      <c r="D27" s="17">
        <f t="shared" ref="D27:E27" si="12">D25*D26/10</f>
        <v>0</v>
      </c>
      <c r="E27" s="17">
        <f t="shared" si="12"/>
        <v>0</v>
      </c>
      <c r="F27" s="31"/>
      <c r="G27" s="31"/>
      <c r="H27" s="31"/>
      <c r="I27" s="17"/>
      <c r="J27" s="55"/>
      <c r="K27" s="55"/>
      <c r="L27" s="55"/>
      <c r="M27" s="55"/>
      <c r="N27" s="55"/>
      <c r="O27" s="33"/>
      <c r="P27" s="33"/>
      <c r="Q27" s="256"/>
      <c r="R27" s="256"/>
      <c r="S27" s="256"/>
      <c r="T27" s="256"/>
      <c r="U27" s="1"/>
      <c r="V27" s="1"/>
      <c r="W27" s="1"/>
      <c r="X27" s="1"/>
      <c r="Y27" s="1"/>
      <c r="Z27" s="1"/>
    </row>
    <row r="28" spans="1:26" ht="22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17">
        <f t="shared" ref="H28:H30" si="14">F28/E28*100</f>
        <v>100</v>
      </c>
      <c r="I28" s="17"/>
      <c r="J28" s="257"/>
      <c r="K28" s="257"/>
      <c r="L28" s="257"/>
      <c r="M28" s="257"/>
      <c r="N28" s="257"/>
      <c r="O28" s="256"/>
      <c r="P28" s="256"/>
      <c r="Q28" s="256"/>
      <c r="R28" s="256"/>
      <c r="S28" s="256"/>
      <c r="T28" s="256"/>
      <c r="U28" s="1"/>
      <c r="V28" s="1"/>
      <c r="W28" s="1"/>
      <c r="X28" s="1"/>
      <c r="Y28" s="1"/>
      <c r="Z28" s="1"/>
    </row>
    <row r="29" spans="1:26" ht="22.5" customHeight="1" x14ac:dyDescent="0.25">
      <c r="A29" s="15"/>
      <c r="B29" s="27" t="s">
        <v>25</v>
      </c>
      <c r="C29" s="30" t="s">
        <v>26</v>
      </c>
      <c r="D29" s="31">
        <f t="shared" ref="D29:E29" si="15">D30/D28*10</f>
        <v>36.85</v>
      </c>
      <c r="E29" s="31">
        <f t="shared" si="15"/>
        <v>36.9</v>
      </c>
      <c r="F29" s="31"/>
      <c r="G29" s="31">
        <f>G30/G28*10</f>
        <v>0</v>
      </c>
      <c r="H29" s="31">
        <f t="shared" si="14"/>
        <v>0</v>
      </c>
      <c r="I29" s="31"/>
      <c r="J29" s="257"/>
      <c r="K29" s="257"/>
      <c r="L29" s="257"/>
      <c r="M29" s="257"/>
      <c r="N29" s="257"/>
      <c r="O29" s="256"/>
      <c r="P29" s="256"/>
      <c r="Q29" s="256"/>
      <c r="R29" s="256"/>
      <c r="S29" s="256"/>
      <c r="T29" s="256"/>
      <c r="U29" s="1"/>
      <c r="V29" s="1"/>
      <c r="W29" s="1"/>
      <c r="X29" s="1"/>
      <c r="Y29" s="1"/>
      <c r="Z29" s="1"/>
    </row>
    <row r="30" spans="1:26" ht="22.5" customHeight="1" x14ac:dyDescent="0.25">
      <c r="A30" s="15"/>
      <c r="B30" s="27" t="s">
        <v>27</v>
      </c>
      <c r="C30" s="30" t="s">
        <v>21</v>
      </c>
      <c r="D30" s="31">
        <f t="shared" ref="D30:G30" si="16">D33+D36</f>
        <v>3.6850000000000001</v>
      </c>
      <c r="E30" s="31">
        <f t="shared" si="16"/>
        <v>3.69</v>
      </c>
      <c r="F30" s="31">
        <f t="shared" si="16"/>
        <v>0</v>
      </c>
      <c r="G30" s="31">
        <f t="shared" si="16"/>
        <v>0</v>
      </c>
      <c r="H30" s="31">
        <f t="shared" si="14"/>
        <v>0</v>
      </c>
      <c r="I30" s="31"/>
      <c r="J30" s="257"/>
      <c r="K30" s="257"/>
      <c r="L30" s="257"/>
      <c r="M30" s="257"/>
      <c r="N30" s="257"/>
      <c r="O30" s="256"/>
      <c r="P30" s="256"/>
      <c r="Q30" s="256"/>
      <c r="R30" s="256"/>
      <c r="S30" s="256"/>
      <c r="T30" s="256"/>
      <c r="U30" s="1"/>
      <c r="V30" s="1"/>
      <c r="W30" s="1"/>
      <c r="X30" s="1"/>
      <c r="Y30" s="1"/>
      <c r="Z30" s="1"/>
    </row>
    <row r="31" spans="1:26" ht="22.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17"/>
      <c r="I31" s="17"/>
      <c r="J31" s="257"/>
      <c r="K31" s="257"/>
      <c r="L31" s="257"/>
      <c r="M31" s="257"/>
      <c r="N31" s="257"/>
      <c r="O31" s="256"/>
      <c r="P31" s="256"/>
      <c r="Q31" s="256"/>
      <c r="R31" s="256"/>
      <c r="S31" s="256"/>
      <c r="T31" s="256"/>
      <c r="U31" s="1"/>
      <c r="V31" s="1"/>
      <c r="W31" s="1"/>
      <c r="X31" s="1"/>
      <c r="Y31" s="1"/>
      <c r="Z31" s="1"/>
    </row>
    <row r="32" spans="1:26" ht="22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31"/>
      <c r="H32" s="31"/>
      <c r="I32" s="17"/>
      <c r="J32" s="257"/>
      <c r="K32" s="257"/>
      <c r="L32" s="257"/>
      <c r="M32" s="257"/>
      <c r="N32" s="257"/>
      <c r="O32" s="256"/>
      <c r="P32" s="256"/>
      <c r="Q32" s="256"/>
      <c r="R32" s="256"/>
      <c r="S32" s="256"/>
      <c r="T32" s="256"/>
      <c r="U32" s="1"/>
      <c r="V32" s="1"/>
      <c r="W32" s="1"/>
      <c r="X32" s="1"/>
      <c r="Y32" s="1"/>
      <c r="Z32" s="1"/>
    </row>
    <row r="33" spans="1:26" ht="22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31"/>
      <c r="H33" s="31"/>
      <c r="I33" s="17"/>
      <c r="J33" s="257"/>
      <c r="K33" s="257"/>
      <c r="L33" s="257"/>
      <c r="M33" s="257"/>
      <c r="N33" s="257"/>
      <c r="O33" s="256"/>
      <c r="P33" s="256"/>
      <c r="Q33" s="256"/>
      <c r="R33" s="256"/>
      <c r="S33" s="256"/>
      <c r="T33" s="256"/>
      <c r="U33" s="1"/>
      <c r="V33" s="1"/>
      <c r="W33" s="1"/>
      <c r="X33" s="1"/>
      <c r="Y33" s="1"/>
      <c r="Z33" s="1"/>
    </row>
    <row r="34" spans="1:26" ht="22.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17">
        <f t="shared" ref="H34:H39" si="17">F34/E34*100</f>
        <v>100</v>
      </c>
      <c r="I34" s="31"/>
      <c r="J34" s="137"/>
      <c r="K34" s="137"/>
      <c r="L34" s="137"/>
      <c r="M34" s="137"/>
      <c r="N34" s="137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137"/>
      <c r="K35" s="258"/>
      <c r="L35" s="258"/>
      <c r="M35" s="258"/>
      <c r="N35" s="258"/>
      <c r="O35" s="258"/>
      <c r="P35" s="90"/>
      <c r="Q35" s="90"/>
      <c r="R35" s="90"/>
      <c r="S35" s="1"/>
      <c r="T35" s="1"/>
      <c r="U35" s="1"/>
      <c r="V35" s="1"/>
      <c r="W35" s="1"/>
      <c r="X35" s="1"/>
      <c r="Y35" s="1"/>
      <c r="Z35" s="1"/>
    </row>
    <row r="36" spans="1:26" ht="22.5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3.6850000000000001</v>
      </c>
      <c r="E36" s="31">
        <f t="shared" si="18"/>
        <v>3.69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137"/>
      <c r="K36" s="46"/>
      <c r="L36" s="46"/>
      <c r="M36" s="46"/>
      <c r="N36" s="46"/>
      <c r="O36" s="46"/>
      <c r="P36" s="90"/>
      <c r="Q36" s="90"/>
      <c r="R36" s="90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5">
        <v>2</v>
      </c>
      <c r="B37" s="16" t="s">
        <v>39</v>
      </c>
      <c r="C37" s="15" t="s">
        <v>18</v>
      </c>
      <c r="D37" s="17"/>
      <c r="E37" s="17">
        <v>6.34</v>
      </c>
      <c r="F37" s="17">
        <v>6.4</v>
      </c>
      <c r="G37" s="17">
        <v>6.4</v>
      </c>
      <c r="H37" s="17">
        <f t="shared" si="17"/>
        <v>100.94637223974765</v>
      </c>
      <c r="I37" s="31"/>
      <c r="J37" s="55"/>
      <c r="K37" s="259"/>
      <c r="L37" s="259"/>
      <c r="M37" s="55"/>
      <c r="N37" s="55"/>
      <c r="O37" s="55"/>
      <c r="P37" s="33"/>
      <c r="Q37" s="33"/>
      <c r="R37" s="33"/>
      <c r="S37" s="33"/>
      <c r="T37" s="33"/>
      <c r="U37" s="33"/>
      <c r="V37" s="1"/>
      <c r="W37" s="1"/>
      <c r="X37" s="1"/>
      <c r="Y37" s="1"/>
      <c r="Z37" s="1"/>
    </row>
    <row r="38" spans="1:26" ht="22.5" customHeight="1" x14ac:dyDescent="0.25">
      <c r="A38" s="15"/>
      <c r="B38" s="27" t="s">
        <v>25</v>
      </c>
      <c r="C38" s="30" t="s">
        <v>26</v>
      </c>
      <c r="D38" s="17"/>
      <c r="E38" s="31">
        <v>140</v>
      </c>
      <c r="F38" s="31"/>
      <c r="G38" s="31"/>
      <c r="H38" s="17">
        <f t="shared" si="17"/>
        <v>0</v>
      </c>
      <c r="I38" s="31"/>
      <c r="J38" s="55"/>
      <c r="K38" s="55"/>
      <c r="L38" s="55"/>
      <c r="M38" s="55"/>
      <c r="N38" s="55"/>
      <c r="O38" s="55"/>
      <c r="P38" s="33"/>
      <c r="Q38" s="33"/>
      <c r="R38" s="33"/>
      <c r="S38" s="33"/>
      <c r="T38" s="33"/>
      <c r="U38" s="33"/>
      <c r="V38" s="1"/>
      <c r="W38" s="1"/>
      <c r="X38" s="1"/>
      <c r="Y38" s="1"/>
      <c r="Z38" s="1"/>
    </row>
    <row r="39" spans="1:26" ht="22.5" customHeight="1" x14ac:dyDescent="0.25">
      <c r="A39" s="9"/>
      <c r="B39" s="49" t="s">
        <v>27</v>
      </c>
      <c r="C39" s="50" t="s">
        <v>21</v>
      </c>
      <c r="D39" s="260"/>
      <c r="E39" s="51">
        <f t="shared" ref="E39:G39" si="19">E37*E38/10</f>
        <v>88.76</v>
      </c>
      <c r="F39" s="51">
        <f t="shared" si="19"/>
        <v>0</v>
      </c>
      <c r="G39" s="51">
        <f t="shared" si="19"/>
        <v>0</v>
      </c>
      <c r="H39" s="17">
        <f t="shared" si="17"/>
        <v>0</v>
      </c>
      <c r="I39" s="31"/>
      <c r="J39" s="55"/>
      <c r="K39" s="55"/>
      <c r="L39" s="55"/>
      <c r="M39" s="55"/>
      <c r="N39" s="55"/>
      <c r="O39" s="55"/>
      <c r="P39" s="33"/>
      <c r="Q39" s="33"/>
      <c r="R39" s="33"/>
      <c r="S39" s="33"/>
      <c r="T39" s="33"/>
      <c r="U39" s="33"/>
      <c r="V39" s="1"/>
      <c r="W39" s="1"/>
      <c r="X39" s="1"/>
      <c r="Y39" s="1"/>
      <c r="Z39" s="1"/>
    </row>
    <row r="40" spans="1:26" ht="22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17">
        <v>0</v>
      </c>
      <c r="G40" s="17">
        <v>0</v>
      </c>
      <c r="H40" s="17"/>
      <c r="I40" s="31"/>
      <c r="J40" s="55"/>
      <c r="K40" s="55"/>
      <c r="L40" s="55"/>
      <c r="M40" s="55"/>
      <c r="N40" s="55"/>
      <c r="O40" s="55"/>
      <c r="P40" s="33"/>
      <c r="Q40" s="33"/>
      <c r="R40" s="33"/>
      <c r="S40" s="33"/>
      <c r="T40" s="33"/>
      <c r="U40" s="33"/>
      <c r="V40" s="1"/>
      <c r="W40" s="1"/>
      <c r="X40" s="1"/>
      <c r="Y40" s="1"/>
      <c r="Z40" s="1"/>
    </row>
    <row r="41" spans="1:26" ht="22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31"/>
      <c r="G41" s="31"/>
      <c r="H41" s="17">
        <f>F41/E41*100</f>
        <v>0</v>
      </c>
      <c r="I41" s="31"/>
      <c r="J41" s="55"/>
      <c r="K41" s="55"/>
      <c r="L41" s="55"/>
      <c r="M41" s="55"/>
      <c r="N41" s="55"/>
      <c r="O41" s="55"/>
      <c r="P41" s="33"/>
      <c r="Q41" s="33"/>
      <c r="R41" s="33"/>
      <c r="S41" s="33"/>
      <c r="T41" s="33"/>
      <c r="U41" s="33"/>
      <c r="V41" s="1"/>
      <c r="W41" s="1"/>
      <c r="X41" s="1"/>
      <c r="Y41" s="1"/>
      <c r="Z41" s="1"/>
    </row>
    <row r="42" spans="1:26" ht="22.5" customHeight="1" x14ac:dyDescent="0.25">
      <c r="A42" s="15"/>
      <c r="B42" s="49" t="s">
        <v>27</v>
      </c>
      <c r="C42" s="50" t="s">
        <v>21</v>
      </c>
      <c r="D42" s="31"/>
      <c r="E42" s="31">
        <f t="shared" ref="E42:G42" si="20">E40*E41/10</f>
        <v>0</v>
      </c>
      <c r="F42" s="31">
        <f t="shared" si="20"/>
        <v>0</v>
      </c>
      <c r="G42" s="31">
        <f t="shared" si="20"/>
        <v>0</v>
      </c>
      <c r="H42" s="17"/>
      <c r="I42" s="31"/>
      <c r="J42" s="55"/>
      <c r="K42" s="55"/>
      <c r="L42" s="55"/>
      <c r="M42" s="55"/>
      <c r="N42" s="55"/>
      <c r="O42" s="55"/>
      <c r="P42" s="33"/>
      <c r="Q42" s="33"/>
      <c r="R42" s="33"/>
      <c r="S42" s="33"/>
      <c r="T42" s="33"/>
      <c r="U42" s="33"/>
      <c r="V42" s="1"/>
      <c r="W42" s="1"/>
      <c r="X42" s="1"/>
      <c r="Y42" s="1"/>
      <c r="Z42" s="1"/>
    </row>
    <row r="43" spans="1:26" ht="22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0.27300000000000002</v>
      </c>
      <c r="G43" s="17">
        <f>F43</f>
        <v>0.27300000000000002</v>
      </c>
      <c r="H43" s="17">
        <f t="shared" ref="H43:H50" si="21">F43/E43*100</f>
        <v>54.6</v>
      </c>
      <c r="I43" s="17"/>
      <c r="J43" s="137"/>
      <c r="K43" s="84"/>
      <c r="L43" s="84"/>
      <c r="M43" s="84"/>
      <c r="N43" s="84"/>
      <c r="O43" s="84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21"/>
        <v>0</v>
      </c>
      <c r="I44" s="31"/>
      <c r="J44" s="137"/>
      <c r="K44" s="261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2.5" customHeight="1" x14ac:dyDescent="0.25">
      <c r="A45" s="30"/>
      <c r="B45" s="49" t="s">
        <v>27</v>
      </c>
      <c r="C45" s="50" t="s">
        <v>21</v>
      </c>
      <c r="D45" s="31">
        <f t="shared" ref="D45:G45" si="22">D43*D44/10</f>
        <v>5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17">
        <f t="shared" si="21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2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29.52</v>
      </c>
      <c r="E46" s="17">
        <f t="shared" si="23"/>
        <v>35.519999999999996</v>
      </c>
      <c r="F46" s="17">
        <f t="shared" si="23"/>
        <v>30.02</v>
      </c>
      <c r="G46" s="17">
        <f t="shared" si="23"/>
        <v>29.82</v>
      </c>
      <c r="H46" s="17">
        <f t="shared" si="21"/>
        <v>84.515765765765778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2.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4">D48+D49</f>
        <v>25.02</v>
      </c>
      <c r="E47" s="17">
        <f t="shared" si="24"/>
        <v>30.02</v>
      </c>
      <c r="F47" s="17">
        <f t="shared" si="24"/>
        <v>25.22</v>
      </c>
      <c r="G47" s="17">
        <f t="shared" si="24"/>
        <v>25.02</v>
      </c>
      <c r="H47" s="17">
        <f t="shared" si="21"/>
        <v>84.010659560293135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2.5" customHeight="1" x14ac:dyDescent="0.25">
      <c r="A48" s="59" t="s">
        <v>32</v>
      </c>
      <c r="B48" s="60" t="s">
        <v>45</v>
      </c>
      <c r="C48" s="61" t="s">
        <v>18</v>
      </c>
      <c r="D48" s="31">
        <v>18</v>
      </c>
      <c r="E48" s="31">
        <f>D48+D49</f>
        <v>25.02</v>
      </c>
      <c r="F48" s="31">
        <v>25.02</v>
      </c>
      <c r="G48" s="31">
        <v>25.02</v>
      </c>
      <c r="H48" s="17">
        <f t="shared" si="21"/>
        <v>100</v>
      </c>
      <c r="I48" s="31"/>
      <c r="J48" s="55"/>
      <c r="K48" s="55"/>
      <c r="L48" s="55"/>
      <c r="M48" s="55"/>
      <c r="N48" s="55"/>
      <c r="O48" s="33"/>
      <c r="P48" s="33"/>
      <c r="Q48" s="33"/>
      <c r="R48" s="33"/>
      <c r="S48" s="1"/>
      <c r="T48" s="1"/>
      <c r="U48" s="1"/>
      <c r="V48" s="1"/>
      <c r="W48" s="1"/>
      <c r="X48" s="1"/>
      <c r="Y48" s="1"/>
      <c r="Z48" s="1"/>
    </row>
    <row r="49" spans="1:26" ht="22.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5">D50+D51</f>
        <v>7.02</v>
      </c>
      <c r="E49" s="17">
        <f t="shared" si="25"/>
        <v>5</v>
      </c>
      <c r="F49" s="17">
        <f t="shared" si="25"/>
        <v>0.2</v>
      </c>
      <c r="G49" s="17">
        <f t="shared" si="25"/>
        <v>0</v>
      </c>
      <c r="H49" s="17">
        <f t="shared" si="21"/>
        <v>4</v>
      </c>
      <c r="I49" s="17"/>
      <c r="J49" s="236"/>
      <c r="K49" s="259"/>
      <c r="L49" s="259"/>
      <c r="M49" s="254"/>
      <c r="N49" s="254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2.5" customHeight="1" x14ac:dyDescent="0.25">
      <c r="A50" s="61" t="s">
        <v>47</v>
      </c>
      <c r="B50" s="66" t="s">
        <v>269</v>
      </c>
      <c r="C50" s="61" t="s">
        <v>18</v>
      </c>
      <c r="D50" s="31">
        <v>5.54</v>
      </c>
      <c r="E50" s="31">
        <f>8-3</f>
        <v>5</v>
      </c>
      <c r="F50" s="31">
        <v>0.2</v>
      </c>
      <c r="G50" s="31">
        <v>0</v>
      </c>
      <c r="H50" s="31">
        <f t="shared" si="21"/>
        <v>4</v>
      </c>
      <c r="I50" s="31"/>
      <c r="J50" s="35"/>
      <c r="K50" s="55"/>
      <c r="L50" s="137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2.5" customHeight="1" x14ac:dyDescent="0.25">
      <c r="A51" s="61" t="s">
        <v>47</v>
      </c>
      <c r="B51" s="66" t="s">
        <v>49</v>
      </c>
      <c r="C51" s="30" t="s">
        <v>18</v>
      </c>
      <c r="D51" s="31">
        <v>1.48</v>
      </c>
      <c r="E51" s="31"/>
      <c r="F51" s="31"/>
      <c r="G51" s="31"/>
      <c r="H51" s="31"/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2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13.7</v>
      </c>
      <c r="E52" s="17">
        <f t="shared" si="26"/>
        <v>15.299999999999999</v>
      </c>
      <c r="F52" s="17">
        <f t="shared" si="26"/>
        <v>15.3</v>
      </c>
      <c r="G52" s="17">
        <f t="shared" si="26"/>
        <v>15.3</v>
      </c>
      <c r="H52" s="17">
        <f t="shared" ref="H52:H53" si="27">F52/E52*100</f>
        <v>100.00000000000003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2.5" customHeight="1" x14ac:dyDescent="0.25">
      <c r="A53" s="71" t="s">
        <v>47</v>
      </c>
      <c r="B53" s="66" t="s">
        <v>51</v>
      </c>
      <c r="C53" s="30" t="s">
        <v>18</v>
      </c>
      <c r="D53" s="31">
        <v>11.7</v>
      </c>
      <c r="E53" s="31">
        <f>D48*85%</f>
        <v>15.299999999999999</v>
      </c>
      <c r="F53" s="31">
        <v>15.3</v>
      </c>
      <c r="G53" s="31">
        <v>15.3</v>
      </c>
      <c r="H53" s="31">
        <f t="shared" si="27"/>
        <v>100.00000000000003</v>
      </c>
      <c r="I53" s="31"/>
      <c r="J53" s="137"/>
      <c r="K53" s="137"/>
      <c r="L53" s="137"/>
      <c r="M53" s="238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2.5" customHeight="1" x14ac:dyDescent="0.25">
      <c r="A54" s="30"/>
      <c r="B54" s="66" t="s">
        <v>52</v>
      </c>
      <c r="C54" s="30" t="s">
        <v>18</v>
      </c>
      <c r="D54" s="31">
        <v>2</v>
      </c>
      <c r="E54" s="31"/>
      <c r="F54" s="31"/>
      <c r="G54" s="31"/>
      <c r="H54" s="31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2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8">D56+D57</f>
        <v>4.5</v>
      </c>
      <c r="E55" s="17">
        <f t="shared" si="28"/>
        <v>5.5</v>
      </c>
      <c r="F55" s="17">
        <f t="shared" si="28"/>
        <v>4.8</v>
      </c>
      <c r="G55" s="17">
        <f t="shared" si="28"/>
        <v>4.8</v>
      </c>
      <c r="H55" s="17">
        <f t="shared" ref="H55:H63" si="29">F55/E55*100</f>
        <v>87.272727272727266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2.5" customHeight="1" x14ac:dyDescent="0.25">
      <c r="A56" s="30" t="s">
        <v>32</v>
      </c>
      <c r="B56" s="60" t="s">
        <v>50</v>
      </c>
      <c r="C56" s="30" t="s">
        <v>18</v>
      </c>
      <c r="D56" s="31">
        <v>4.5</v>
      </c>
      <c r="E56" s="31">
        <f>D56+E58</f>
        <v>4.8</v>
      </c>
      <c r="F56" s="31">
        <f>4.8</f>
        <v>4.8</v>
      </c>
      <c r="G56" s="31">
        <v>4.8</v>
      </c>
      <c r="H56" s="31">
        <f t="shared" si="29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2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30">D58+D61</f>
        <v>0</v>
      </c>
      <c r="E57" s="31">
        <f t="shared" si="30"/>
        <v>0.70000000000000007</v>
      </c>
      <c r="F57" s="31">
        <f t="shared" si="30"/>
        <v>0</v>
      </c>
      <c r="G57" s="31">
        <f t="shared" si="30"/>
        <v>0</v>
      </c>
      <c r="H57" s="17">
        <f t="shared" si="29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2.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31">D59+D60</f>
        <v>0</v>
      </c>
      <c r="E58" s="76">
        <f t="shared" si="31"/>
        <v>0.30000000000000004</v>
      </c>
      <c r="F58" s="76">
        <f t="shared" si="31"/>
        <v>0</v>
      </c>
      <c r="G58" s="76">
        <f t="shared" si="31"/>
        <v>0</v>
      </c>
      <c r="H58" s="17">
        <f t="shared" si="29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1.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29"/>
        <v>0</v>
      </c>
      <c r="I59" s="31"/>
      <c r="J59" s="35"/>
      <c r="K59" s="240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7">
        <f t="shared" si="29"/>
        <v>0</v>
      </c>
      <c r="I60" s="31"/>
      <c r="J60" s="35"/>
      <c r="K60" s="240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2">D62+D63</f>
        <v>0</v>
      </c>
      <c r="E61" s="76">
        <f t="shared" si="32"/>
        <v>0.4</v>
      </c>
      <c r="F61" s="76">
        <f t="shared" si="32"/>
        <v>0</v>
      </c>
      <c r="G61" s="76">
        <f t="shared" si="32"/>
        <v>0</v>
      </c>
      <c r="H61" s="17">
        <f t="shared" si="29"/>
        <v>0</v>
      </c>
      <c r="I61" s="76"/>
      <c r="J61" s="35"/>
      <c r="K61" s="106"/>
      <c r="L61" s="106"/>
      <c r="M61" s="241"/>
      <c r="N61" s="24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1.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0.3</v>
      </c>
      <c r="F62" s="31">
        <v>0</v>
      </c>
      <c r="G62" s="31">
        <v>0</v>
      </c>
      <c r="H62" s="31">
        <f t="shared" si="29"/>
        <v>0</v>
      </c>
      <c r="I62" s="31"/>
      <c r="J62" s="35"/>
      <c r="K62" s="240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31">
        <f t="shared" si="29"/>
        <v>0</v>
      </c>
      <c r="I63" s="31"/>
      <c r="J63" s="35"/>
      <c r="K63" s="240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3">D65+D66</f>
        <v>0</v>
      </c>
      <c r="E64" s="17">
        <f t="shared" si="33"/>
        <v>0</v>
      </c>
      <c r="F64" s="17">
        <f t="shared" si="33"/>
        <v>0</v>
      </c>
      <c r="G64" s="17">
        <f t="shared" si="33"/>
        <v>0</v>
      </c>
      <c r="H64" s="17"/>
      <c r="I64" s="17"/>
      <c r="J64" s="28"/>
      <c r="K64" s="28"/>
      <c r="L64" s="28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31"/>
      <c r="I65" s="31"/>
      <c r="J65" s="28"/>
      <c r="K65" s="28"/>
      <c r="L65" s="28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31"/>
      <c r="I66" s="31"/>
      <c r="J66" s="28"/>
      <c r="K66" s="28"/>
      <c r="L66" s="28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4">D68+D71</f>
        <v>14.57</v>
      </c>
      <c r="E67" s="17">
        <f t="shared" si="34"/>
        <v>11.129999999999999</v>
      </c>
      <c r="F67" s="17">
        <f t="shared" si="34"/>
        <v>11.02</v>
      </c>
      <c r="G67" s="17">
        <f t="shared" si="34"/>
        <v>11.02</v>
      </c>
      <c r="H67" s="17">
        <f>F67/E67*100</f>
        <v>99.011680143755626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5">D69+D70</f>
        <v>0</v>
      </c>
      <c r="E68" s="17">
        <f t="shared" si="35"/>
        <v>0</v>
      </c>
      <c r="F68" s="17">
        <f t="shared" si="35"/>
        <v>0</v>
      </c>
      <c r="G68" s="17">
        <f t="shared" si="35"/>
        <v>0</v>
      </c>
      <c r="H68" s="17"/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31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60" t="s">
        <v>70</v>
      </c>
      <c r="C70" s="30" t="s">
        <v>18</v>
      </c>
      <c r="D70" s="31"/>
      <c r="E70" s="31"/>
      <c r="F70" s="31"/>
      <c r="G70" s="31"/>
      <c r="H70" s="31"/>
      <c r="I70" s="31"/>
      <c r="J70" s="137"/>
      <c r="K70" s="137"/>
      <c r="L70" s="137"/>
      <c r="M70" s="137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6">D72+D73</f>
        <v>14.57</v>
      </c>
      <c r="E71" s="17">
        <f t="shared" si="36"/>
        <v>11.129999999999999</v>
      </c>
      <c r="F71" s="17">
        <f t="shared" si="36"/>
        <v>11.02</v>
      </c>
      <c r="G71" s="17">
        <f t="shared" si="36"/>
        <v>11.02</v>
      </c>
      <c r="H71" s="17">
        <f t="shared" ref="H71:H75" si="37">F71/E71*100</f>
        <v>99.011680143755626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8">D75+D82</f>
        <v>13.07</v>
      </c>
      <c r="E72" s="91">
        <f t="shared" si="38"/>
        <v>11.02</v>
      </c>
      <c r="F72" s="91">
        <f t="shared" si="38"/>
        <v>11.02</v>
      </c>
      <c r="G72" s="91">
        <f t="shared" si="38"/>
        <v>11.02</v>
      </c>
      <c r="H72" s="17">
        <f t="shared" si="37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9">D76+D83</f>
        <v>1.5</v>
      </c>
      <c r="E73" s="17">
        <f t="shared" si="39"/>
        <v>0.11</v>
      </c>
      <c r="F73" s="17">
        <f t="shared" si="39"/>
        <v>0</v>
      </c>
      <c r="G73" s="17">
        <f t="shared" si="39"/>
        <v>0</v>
      </c>
      <c r="H73" s="17">
        <f t="shared" si="37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40">D75+D76</f>
        <v>11.16</v>
      </c>
      <c r="E74" s="96">
        <f t="shared" si="40"/>
        <v>10.02</v>
      </c>
      <c r="F74" s="96">
        <f t="shared" si="40"/>
        <v>10.02</v>
      </c>
      <c r="G74" s="96">
        <f t="shared" si="40"/>
        <v>10.02</v>
      </c>
      <c r="H74" s="17">
        <f t="shared" si="37"/>
        <v>100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9" t="s">
        <v>32</v>
      </c>
      <c r="B75" s="98" t="s">
        <v>45</v>
      </c>
      <c r="C75" s="30" t="s">
        <v>18</v>
      </c>
      <c r="D75" s="62">
        <v>10.66</v>
      </c>
      <c r="E75" s="62">
        <f>11.16-1.14</f>
        <v>10.02</v>
      </c>
      <c r="F75" s="31">
        <v>10.02</v>
      </c>
      <c r="G75" s="31">
        <v>10.02</v>
      </c>
      <c r="H75" s="31">
        <f t="shared" si="37"/>
        <v>100</v>
      </c>
      <c r="I75" s="31"/>
      <c r="J75" s="137"/>
      <c r="K75" s="137"/>
      <c r="L75" s="28"/>
      <c r="M75" s="125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41">SUM(D77:D80)</f>
        <v>0.5</v>
      </c>
      <c r="E76" s="244">
        <f t="shared" si="41"/>
        <v>0</v>
      </c>
      <c r="F76" s="244">
        <f t="shared" si="41"/>
        <v>0</v>
      </c>
      <c r="G76" s="244">
        <f t="shared" si="41"/>
        <v>0</v>
      </c>
      <c r="H76" s="31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8" t="s">
        <v>47</v>
      </c>
      <c r="B77" s="101" t="s">
        <v>80</v>
      </c>
      <c r="C77" s="48" t="s">
        <v>18</v>
      </c>
      <c r="D77" s="31"/>
      <c r="E77" s="31"/>
      <c r="F77" s="31"/>
      <c r="G77" s="31"/>
      <c r="H77" s="31"/>
      <c r="I77" s="31"/>
      <c r="J77" s="241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8" t="s">
        <v>47</v>
      </c>
      <c r="B78" s="101" t="s">
        <v>81</v>
      </c>
      <c r="C78" s="48" t="s">
        <v>18</v>
      </c>
      <c r="D78" s="31">
        <v>0.5</v>
      </c>
      <c r="E78" s="31">
        <v>0</v>
      </c>
      <c r="F78" s="31"/>
      <c r="G78" s="31"/>
      <c r="H78" s="31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31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8" t="s">
        <v>47</v>
      </c>
      <c r="B80" s="101" t="s">
        <v>83</v>
      </c>
      <c r="C80" s="48" t="s">
        <v>18</v>
      </c>
      <c r="D80" s="31"/>
      <c r="E80" s="31"/>
      <c r="F80" s="31"/>
      <c r="G80" s="31"/>
      <c r="H80" s="31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2">D82+D83</f>
        <v>3.41</v>
      </c>
      <c r="E81" s="96">
        <f t="shared" si="42"/>
        <v>1.1100000000000001</v>
      </c>
      <c r="F81" s="96">
        <f t="shared" si="42"/>
        <v>1</v>
      </c>
      <c r="G81" s="96">
        <f t="shared" si="42"/>
        <v>1</v>
      </c>
      <c r="H81" s="104">
        <f t="shared" ref="H81:H83" si="43">F81/E81*100</f>
        <v>90.090090090090087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1.5" customHeight="1" x14ac:dyDescent="0.25">
      <c r="A82" s="117" t="s">
        <v>47</v>
      </c>
      <c r="B82" s="101" t="s">
        <v>85</v>
      </c>
      <c r="C82" s="48" t="s">
        <v>18</v>
      </c>
      <c r="D82" s="76">
        <v>2.41</v>
      </c>
      <c r="E82" s="76">
        <v>1</v>
      </c>
      <c r="F82" s="76">
        <v>1</v>
      </c>
      <c r="G82" s="76">
        <v>1</v>
      </c>
      <c r="H82" s="31">
        <f t="shared" si="43"/>
        <v>100</v>
      </c>
      <c r="I82" s="76"/>
      <c r="J82" s="241"/>
      <c r="K82" s="245"/>
      <c r="L82" s="262"/>
      <c r="M82" s="241"/>
      <c r="N82" s="241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1.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4">SUM(D84:D87)</f>
        <v>1</v>
      </c>
      <c r="E83" s="62">
        <f t="shared" si="44"/>
        <v>0.11</v>
      </c>
      <c r="F83" s="62">
        <f t="shared" si="44"/>
        <v>0</v>
      </c>
      <c r="G83" s="62">
        <f t="shared" si="44"/>
        <v>0</v>
      </c>
      <c r="H83" s="17">
        <f t="shared" si="43"/>
        <v>0</v>
      </c>
      <c r="I83" s="62"/>
      <c r="J83" s="241"/>
      <c r="K83" s="241"/>
      <c r="L83" s="241"/>
      <c r="M83" s="241"/>
      <c r="N83" s="24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17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17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17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17" t="s">
        <v>47</v>
      </c>
      <c r="B87" s="101" t="s">
        <v>89</v>
      </c>
      <c r="C87" s="48" t="s">
        <v>18</v>
      </c>
      <c r="D87" s="31">
        <v>1</v>
      </c>
      <c r="E87" s="31">
        <v>0.11</v>
      </c>
      <c r="F87" s="31">
        <v>0</v>
      </c>
      <c r="G87" s="31">
        <v>0</v>
      </c>
      <c r="H87" s="17">
        <f t="shared" ref="H87:H91" si="45">F87/E87*100</f>
        <v>0</v>
      </c>
      <c r="I87" s="31"/>
      <c r="J87" s="78"/>
      <c r="K87" s="106"/>
      <c r="L87" s="106"/>
      <c r="M87" s="246"/>
      <c r="N87" s="246"/>
      <c r="O87" s="38"/>
      <c r="P87" s="38"/>
      <c r="Q87" s="38"/>
      <c r="R87" s="47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286</v>
      </c>
      <c r="E88" s="17">
        <f t="shared" si="46"/>
        <v>257</v>
      </c>
      <c r="F88" s="17">
        <f t="shared" si="46"/>
        <v>233</v>
      </c>
      <c r="G88" s="17">
        <f t="shared" si="46"/>
        <v>233</v>
      </c>
      <c r="H88" s="17">
        <f t="shared" si="45"/>
        <v>90.661478599221795</v>
      </c>
      <c r="I88" s="17"/>
      <c r="J88" s="28"/>
      <c r="K88" s="28"/>
      <c r="L88" s="39"/>
      <c r="M88" s="39"/>
      <c r="N88" s="108"/>
      <c r="O88" s="108"/>
      <c r="P88" s="108"/>
      <c r="Q88" s="108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f>25+5</f>
        <v>30</v>
      </c>
      <c r="E89" s="31">
        <f>30+16</f>
        <v>46</v>
      </c>
      <c r="F89" s="31">
        <v>44</v>
      </c>
      <c r="G89" s="31">
        <f t="shared" ref="G89:G91" si="47">F89</f>
        <v>44</v>
      </c>
      <c r="H89" s="31">
        <f t="shared" si="45"/>
        <v>95.652173913043484</v>
      </c>
      <c r="I89" s="31"/>
      <c r="J89" s="57"/>
      <c r="K89" s="84"/>
      <c r="L89" s="83"/>
      <c r="M89" s="118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37</v>
      </c>
      <c r="E90" s="31">
        <f>21+3</f>
        <v>24</v>
      </c>
      <c r="F90" s="31">
        <v>22</v>
      </c>
      <c r="G90" s="31">
        <f t="shared" si="47"/>
        <v>22</v>
      </c>
      <c r="H90" s="31">
        <f t="shared" si="45"/>
        <v>91.666666666666657</v>
      </c>
      <c r="I90" s="31"/>
      <c r="J90" s="57"/>
      <c r="K90" s="84"/>
      <c r="L90" s="83"/>
      <c r="M90" s="118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f>29-5</f>
        <v>24</v>
      </c>
      <c r="E91" s="31">
        <f>24+7</f>
        <v>31</v>
      </c>
      <c r="F91" s="31">
        <v>27</v>
      </c>
      <c r="G91" s="31">
        <f t="shared" si="47"/>
        <v>27</v>
      </c>
      <c r="H91" s="31">
        <f t="shared" si="45"/>
        <v>87.096774193548384</v>
      </c>
      <c r="I91" s="31"/>
      <c r="J91" s="57"/>
      <c r="K91" s="84"/>
      <c r="L91" s="83"/>
      <c r="M91" s="118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1.5" customHeight="1" x14ac:dyDescent="0.25">
      <c r="A92" s="30">
        <v>4</v>
      </c>
      <c r="B92" s="27" t="s">
        <v>99</v>
      </c>
      <c r="C92" s="30" t="s">
        <v>93</v>
      </c>
      <c r="D92" s="31">
        <v>2</v>
      </c>
      <c r="E92" s="31"/>
      <c r="F92" s="31"/>
      <c r="G92" s="31"/>
      <c r="H92" s="17"/>
      <c r="I92" s="31"/>
      <c r="J92" s="28"/>
      <c r="K92" s="28"/>
      <c r="L92" s="122"/>
      <c r="M92" s="118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100</v>
      </c>
      <c r="C93" s="30" t="s">
        <v>93</v>
      </c>
      <c r="D93" s="31">
        <f>183+10</f>
        <v>193</v>
      </c>
      <c r="E93" s="31">
        <f>173-17</f>
        <v>156</v>
      </c>
      <c r="F93" s="31">
        <v>140</v>
      </c>
      <c r="G93" s="31">
        <f>F93</f>
        <v>140</v>
      </c>
      <c r="H93" s="31">
        <f>F93/E93*100</f>
        <v>89.743589743589752</v>
      </c>
      <c r="I93" s="31"/>
      <c r="J93" s="84"/>
      <c r="K93" s="84"/>
      <c r="L93" s="122"/>
      <c r="M93" s="118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1.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8">D95</f>
        <v>0</v>
      </c>
      <c r="E94" s="17">
        <f t="shared" si="48"/>
        <v>0</v>
      </c>
      <c r="F94" s="17">
        <f t="shared" si="48"/>
        <v>0</v>
      </c>
      <c r="G94" s="17">
        <f t="shared" si="48"/>
        <v>0</v>
      </c>
      <c r="H94" s="17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8" t="s">
        <v>47</v>
      </c>
      <c r="B95" s="81" t="s">
        <v>103</v>
      </c>
      <c r="C95" s="48" t="s">
        <v>18</v>
      </c>
      <c r="D95" s="31"/>
      <c r="E95" s="31"/>
      <c r="F95" s="31"/>
      <c r="G95" s="31"/>
      <c r="H95" s="17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9">D97+D98</f>
        <v>0</v>
      </c>
      <c r="E96" s="17">
        <f t="shared" si="49"/>
        <v>0.2</v>
      </c>
      <c r="F96" s="17">
        <f t="shared" si="49"/>
        <v>0</v>
      </c>
      <c r="G96" s="17">
        <f t="shared" si="49"/>
        <v>0</v>
      </c>
      <c r="H96" s="17">
        <f t="shared" ref="H96:H97" si="50"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8" t="s">
        <v>270</v>
      </c>
      <c r="C97" s="48" t="s">
        <v>18</v>
      </c>
      <c r="D97" s="31"/>
      <c r="E97" s="31">
        <v>0.2</v>
      </c>
      <c r="F97" s="31"/>
      <c r="G97" s="31"/>
      <c r="H97" s="17">
        <f t="shared" si="50"/>
        <v>0</v>
      </c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33" t="s">
        <v>47</v>
      </c>
      <c r="B98" s="98" t="s">
        <v>110</v>
      </c>
      <c r="C98" s="48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7244094488188981" right="0.35433070866141736" top="0.47244094488188981" bottom="0.59055118110236227" header="0" footer="0"/>
  <pageSetup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88671875" customWidth="1"/>
    <col min="2" max="2" width="29.6640625" customWidth="1"/>
    <col min="3" max="3" width="10.109375" customWidth="1"/>
    <col min="4" max="4" width="16.33203125" customWidth="1"/>
    <col min="5" max="5" width="16.6640625" customWidth="1"/>
    <col min="6" max="9" width="12.6640625" customWidth="1"/>
    <col min="10" max="10" width="8.88671875" customWidth="1"/>
    <col min="11" max="11" width="19" customWidth="1"/>
    <col min="12" max="14" width="8.88671875" customWidth="1"/>
    <col min="15" max="24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275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'LONG LEO(2)'!A5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48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189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102.27000000000001</v>
      </c>
      <c r="E9" s="17">
        <f t="shared" si="0"/>
        <v>159.80000000000001</v>
      </c>
      <c r="F9" s="17">
        <f t="shared" si="0"/>
        <v>119.42</v>
      </c>
      <c r="G9" s="17">
        <f t="shared" si="0"/>
        <v>119.42</v>
      </c>
      <c r="H9" s="264">
        <f t="shared" ref="H9:H30" si="1">F9/E9*100</f>
        <v>74.73091364205257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16.05</v>
      </c>
      <c r="F10" s="17">
        <f t="shared" si="2"/>
        <v>2.04</v>
      </c>
      <c r="G10" s="17">
        <f t="shared" si="2"/>
        <v>2.04</v>
      </c>
      <c r="H10" s="264">
        <f t="shared" si="1"/>
        <v>12.710280373831775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56.260339999999999</v>
      </c>
      <c r="F11" s="17">
        <f t="shared" si="3"/>
        <v>0</v>
      </c>
      <c r="G11" s="17">
        <f t="shared" si="3"/>
        <v>0</v>
      </c>
      <c r="H11" s="264">
        <f t="shared" si="1"/>
        <v>0</v>
      </c>
      <c r="I11" s="17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52.570340000000002</v>
      </c>
      <c r="F12" s="17">
        <f t="shared" si="4"/>
        <v>0</v>
      </c>
      <c r="G12" s="17">
        <f t="shared" si="4"/>
        <v>0</v>
      </c>
      <c r="H12" s="264">
        <f t="shared" si="1"/>
        <v>0</v>
      </c>
      <c r="I12" s="17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15.05</v>
      </c>
      <c r="F13" s="17">
        <f t="shared" si="5"/>
        <v>1.04</v>
      </c>
      <c r="G13" s="17">
        <f t="shared" si="5"/>
        <v>1.04</v>
      </c>
      <c r="H13" s="264">
        <f t="shared" si="1"/>
        <v>6.9102990033222591</v>
      </c>
      <c r="I13" s="17"/>
      <c r="J13" s="137"/>
      <c r="K13" s="137"/>
      <c r="L13" s="137"/>
      <c r="M13" s="137"/>
      <c r="N13" s="1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34.930458471760794</v>
      </c>
      <c r="F14" s="31">
        <f t="shared" si="6"/>
        <v>0</v>
      </c>
      <c r="G14" s="31">
        <f t="shared" si="6"/>
        <v>0</v>
      </c>
      <c r="H14" s="265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52.570340000000002</v>
      </c>
      <c r="F15" s="31">
        <f t="shared" si="7"/>
        <v>0</v>
      </c>
      <c r="G15" s="31">
        <f t="shared" si="7"/>
        <v>0</v>
      </c>
      <c r="H15" s="265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1.04</v>
      </c>
      <c r="F16" s="17">
        <v>1.04</v>
      </c>
      <c r="G16" s="17">
        <v>1.04</v>
      </c>
      <c r="H16" s="264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>
        <v>0</v>
      </c>
      <c r="H17" s="265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3.4840000000000004</v>
      </c>
      <c r="F18" s="31">
        <f t="shared" si="8"/>
        <v>0</v>
      </c>
      <c r="G18" s="31">
        <f t="shared" si="8"/>
        <v>0</v>
      </c>
      <c r="H18" s="265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14.01</v>
      </c>
      <c r="F19" s="17">
        <f t="shared" si="9"/>
        <v>0</v>
      </c>
      <c r="G19" s="17">
        <f t="shared" si="9"/>
        <v>0</v>
      </c>
      <c r="H19" s="265">
        <f t="shared" si="1"/>
        <v>0</v>
      </c>
      <c r="I19" s="17"/>
      <c r="J19" s="28"/>
      <c r="K19" s="28"/>
      <c r="L19" s="28"/>
      <c r="M19" s="28"/>
      <c r="N19" s="28"/>
      <c r="O19" s="2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/>
      <c r="E20" s="31">
        <f>E21/E19*10</f>
        <v>35.036645253390432</v>
      </c>
      <c r="F20" s="31"/>
      <c r="G20" s="31"/>
      <c r="H20" s="265">
        <f t="shared" si="1"/>
        <v>0</v>
      </c>
      <c r="I20" s="31"/>
      <c r="J20" s="28"/>
      <c r="K20" s="28"/>
      <c r="L20" s="28"/>
      <c r="M20" s="28"/>
      <c r="N20" s="28"/>
      <c r="O20" s="2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0">D24+D27</f>
        <v>0</v>
      </c>
      <c r="E21" s="31">
        <f t="shared" si="10"/>
        <v>49.08634</v>
      </c>
      <c r="F21" s="31">
        <f t="shared" si="10"/>
        <v>0</v>
      </c>
      <c r="G21" s="31">
        <f t="shared" si="10"/>
        <v>0</v>
      </c>
      <c r="H21" s="265">
        <f t="shared" si="1"/>
        <v>0</v>
      </c>
      <c r="I21" s="31"/>
      <c r="J21" s="28"/>
      <c r="K21" s="28"/>
      <c r="L21" s="28"/>
      <c r="M21" s="28"/>
      <c r="N21" s="28"/>
      <c r="O21" s="2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2" t="s">
        <v>33</v>
      </c>
      <c r="C22" s="40" t="s">
        <v>18</v>
      </c>
      <c r="D22" s="17"/>
      <c r="E22" s="17">
        <v>12.01</v>
      </c>
      <c r="F22" s="31"/>
      <c r="G22" s="17">
        <v>0</v>
      </c>
      <c r="H22" s="265">
        <f t="shared" si="1"/>
        <v>0</v>
      </c>
      <c r="I22" s="31"/>
      <c r="J22" s="55"/>
      <c r="K22" s="55"/>
      <c r="L22" s="55"/>
      <c r="M22" s="55"/>
      <c r="N22" s="55"/>
      <c r="O22" s="33"/>
      <c r="P22" s="255"/>
      <c r="Q22" s="255"/>
      <c r="R22" s="255"/>
      <c r="S22" s="237"/>
      <c r="T22" s="237"/>
      <c r="U22" s="90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265">
        <f t="shared" si="1"/>
        <v>0</v>
      </c>
      <c r="I23" s="31"/>
      <c r="J23" s="55"/>
      <c r="K23" s="55"/>
      <c r="L23" s="55"/>
      <c r="M23" s="55"/>
      <c r="N23" s="55"/>
      <c r="O23" s="33"/>
      <c r="P23" s="255"/>
      <c r="Q23" s="255"/>
      <c r="R23" s="255"/>
      <c r="S23" s="237"/>
      <c r="T23" s="237"/>
      <c r="U23" s="90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1">D22*D23/10</f>
        <v>0</v>
      </c>
      <c r="E24" s="31">
        <f t="shared" si="11"/>
        <v>46.046340000000001</v>
      </c>
      <c r="F24" s="31">
        <f t="shared" si="11"/>
        <v>0</v>
      </c>
      <c r="G24" s="31">
        <f t="shared" si="11"/>
        <v>0</v>
      </c>
      <c r="H24" s="265">
        <f t="shared" si="1"/>
        <v>0</v>
      </c>
      <c r="I24" s="31"/>
      <c r="J24" s="55"/>
      <c r="K24" s="55"/>
      <c r="L24" s="55"/>
      <c r="M24" s="55"/>
      <c r="N24" s="55"/>
      <c r="O24" s="33"/>
      <c r="P24" s="255"/>
      <c r="Q24" s="255"/>
      <c r="R24" s="255"/>
      <c r="S24" s="237"/>
      <c r="T24" s="237"/>
      <c r="U24" s="90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2" t="s">
        <v>34</v>
      </c>
      <c r="C25" s="40" t="s">
        <v>18</v>
      </c>
      <c r="D25" s="17"/>
      <c r="E25" s="17">
        <v>2</v>
      </c>
      <c r="F25" s="31">
        <v>0</v>
      </c>
      <c r="G25" s="17">
        <v>0</v>
      </c>
      <c r="H25" s="265">
        <f t="shared" si="1"/>
        <v>0</v>
      </c>
      <c r="I25" s="31"/>
      <c r="J25" s="55"/>
      <c r="K25" s="55"/>
      <c r="L25" s="55"/>
      <c r="M25" s="55"/>
      <c r="N25" s="55"/>
      <c r="O25" s="33"/>
      <c r="P25" s="33"/>
      <c r="Q25" s="256"/>
      <c r="R25" s="256"/>
      <c r="S25" s="1"/>
      <c r="T25" s="1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265">
        <f t="shared" si="1"/>
        <v>0</v>
      </c>
      <c r="I26" s="31"/>
      <c r="J26" s="55"/>
      <c r="K26" s="55"/>
      <c r="L26" s="55"/>
      <c r="M26" s="55"/>
      <c r="N26" s="55"/>
      <c r="O26" s="33"/>
      <c r="P26" s="33"/>
      <c r="Q26" s="256"/>
      <c r="R26" s="256"/>
      <c r="S26" s="1"/>
      <c r="T26" s="1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G27" si="12">D25*D26/10</f>
        <v>0</v>
      </c>
      <c r="E27" s="31">
        <f t="shared" si="12"/>
        <v>3.04</v>
      </c>
      <c r="F27" s="31">
        <f t="shared" si="12"/>
        <v>0</v>
      </c>
      <c r="G27" s="31">
        <f t="shared" si="12"/>
        <v>0</v>
      </c>
      <c r="H27" s="265">
        <f t="shared" si="1"/>
        <v>0</v>
      </c>
      <c r="I27" s="31"/>
      <c r="J27" s="55"/>
      <c r="K27" s="55"/>
      <c r="L27" s="55"/>
      <c r="M27" s="55"/>
      <c r="N27" s="55"/>
      <c r="O27" s="33"/>
      <c r="P27" s="33"/>
      <c r="Q27" s="256"/>
      <c r="R27" s="256"/>
      <c r="S27" s="1"/>
      <c r="T27" s="1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265">
        <f t="shared" si="1"/>
        <v>100</v>
      </c>
      <c r="I28" s="17"/>
      <c r="J28" s="257"/>
      <c r="K28" s="257"/>
      <c r="L28" s="257"/>
      <c r="M28" s="257"/>
      <c r="N28" s="257"/>
      <c r="O28" s="256"/>
      <c r="P28" s="256"/>
      <c r="Q28" s="256"/>
      <c r="R28" s="256"/>
      <c r="S28" s="1"/>
      <c r="T28" s="1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E29" si="14">D30/D28*10</f>
        <v>36.85</v>
      </c>
      <c r="E29" s="31">
        <f t="shared" si="14"/>
        <v>36.9</v>
      </c>
      <c r="F29" s="31"/>
      <c r="G29" s="31"/>
      <c r="H29" s="265">
        <f t="shared" si="1"/>
        <v>0</v>
      </c>
      <c r="I29" s="31"/>
      <c r="J29" s="257"/>
      <c r="K29" s="257"/>
      <c r="L29" s="257"/>
      <c r="M29" s="257"/>
      <c r="N29" s="257"/>
      <c r="O29" s="256"/>
      <c r="P29" s="256"/>
      <c r="Q29" s="256"/>
      <c r="R29" s="256"/>
      <c r="S29" s="1"/>
      <c r="T29" s="1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5">D33+D36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265">
        <f t="shared" si="1"/>
        <v>0</v>
      </c>
      <c r="I30" s="31"/>
      <c r="J30" s="257"/>
      <c r="K30" s="257"/>
      <c r="L30" s="257"/>
      <c r="M30" s="257"/>
      <c r="N30" s="257"/>
      <c r="O30" s="256"/>
      <c r="P30" s="256"/>
      <c r="Q30" s="256"/>
      <c r="R30" s="256"/>
      <c r="S30" s="1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31"/>
      <c r="H31" s="265"/>
      <c r="I31" s="17"/>
      <c r="J31" s="257"/>
      <c r="K31" s="257"/>
      <c r="L31" s="257"/>
      <c r="M31" s="257"/>
      <c r="N31" s="257"/>
      <c r="O31" s="256"/>
      <c r="P31" s="256"/>
      <c r="Q31" s="256"/>
      <c r="R31" s="256"/>
      <c r="S31" s="1"/>
      <c r="T31" s="1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31"/>
      <c r="H32" s="265"/>
      <c r="I32" s="17"/>
      <c r="J32" s="257"/>
      <c r="K32" s="257"/>
      <c r="L32" s="257"/>
      <c r="M32" s="257"/>
      <c r="N32" s="257"/>
      <c r="O32" s="256"/>
      <c r="P32" s="256"/>
      <c r="Q32" s="256"/>
      <c r="R32" s="256"/>
      <c r="S32" s="1"/>
      <c r="T32" s="1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31"/>
      <c r="H33" s="265"/>
      <c r="I33" s="17"/>
      <c r="J33" s="257"/>
      <c r="K33" s="257"/>
      <c r="L33" s="257"/>
      <c r="M33" s="257"/>
      <c r="N33" s="257"/>
      <c r="O33" s="256"/>
      <c r="P33" s="256"/>
      <c r="Q33" s="256"/>
      <c r="R33" s="256"/>
      <c r="S33" s="1"/>
      <c r="T33" s="1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265">
        <f t="shared" ref="H34:H39" si="16">F34/E34*100</f>
        <v>100</v>
      </c>
      <c r="I34" s="31"/>
      <c r="J34" s="137"/>
      <c r="K34" s="137"/>
      <c r="L34" s="137"/>
      <c r="M34" s="137"/>
      <c r="N34" s="137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265">
        <f t="shared" si="16"/>
        <v>0</v>
      </c>
      <c r="I35" s="31"/>
      <c r="J35" s="137"/>
      <c r="K35" s="258"/>
      <c r="L35" s="258"/>
      <c r="M35" s="258"/>
      <c r="N35" s="258"/>
      <c r="O35" s="258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265">
        <f t="shared" si="16"/>
        <v>0</v>
      </c>
      <c r="I36" s="31"/>
      <c r="J36" s="137"/>
      <c r="K36" s="46"/>
      <c r="L36" s="46"/>
      <c r="M36" s="46"/>
      <c r="N36" s="46"/>
      <c r="O36" s="46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31"/>
      <c r="E37" s="17">
        <v>19.03</v>
      </c>
      <c r="F37" s="17">
        <v>19.03</v>
      </c>
      <c r="G37" s="17">
        <v>19.03</v>
      </c>
      <c r="H37" s="265">
        <f t="shared" si="16"/>
        <v>100</v>
      </c>
      <c r="I37" s="31"/>
      <c r="J37" s="55"/>
      <c r="K37" s="55"/>
      <c r="L37" s="55"/>
      <c r="M37" s="55"/>
      <c r="N37" s="55"/>
      <c r="O37" s="55"/>
      <c r="P37" s="33"/>
      <c r="Q37" s="33"/>
      <c r="R37" s="33"/>
      <c r="S37" s="33"/>
      <c r="T37" s="33"/>
      <c r="U37" s="33"/>
      <c r="V37" s="33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17"/>
      <c r="E38" s="31">
        <v>140</v>
      </c>
      <c r="F38" s="31"/>
      <c r="G38" s="31"/>
      <c r="H38" s="265">
        <f t="shared" si="16"/>
        <v>0</v>
      </c>
      <c r="I38" s="31"/>
      <c r="J38" s="55"/>
      <c r="K38" s="55"/>
      <c r="L38" s="55"/>
      <c r="M38" s="55"/>
      <c r="N38" s="55"/>
      <c r="O38" s="55"/>
      <c r="P38" s="33"/>
      <c r="Q38" s="33"/>
      <c r="R38" s="33"/>
      <c r="S38" s="33"/>
      <c r="T38" s="33"/>
      <c r="U38" s="33"/>
      <c r="V38" s="33"/>
      <c r="W38" s="1"/>
      <c r="X38" s="1"/>
      <c r="Y38" s="1"/>
      <c r="Z38" s="1"/>
    </row>
    <row r="39" spans="1:26" ht="31.5" customHeight="1" x14ac:dyDescent="0.25">
      <c r="A39" s="9"/>
      <c r="B39" s="49" t="s">
        <v>27</v>
      </c>
      <c r="C39" s="50" t="s">
        <v>21</v>
      </c>
      <c r="D39" s="260"/>
      <c r="E39" s="51">
        <f t="shared" ref="E39:G39" si="18">E37*E38/10</f>
        <v>266.42</v>
      </c>
      <c r="F39" s="51">
        <f t="shared" si="18"/>
        <v>0</v>
      </c>
      <c r="G39" s="51">
        <f t="shared" si="18"/>
        <v>0</v>
      </c>
      <c r="H39" s="265">
        <f t="shared" si="16"/>
        <v>0</v>
      </c>
      <c r="I39" s="31"/>
      <c r="J39" s="55"/>
      <c r="K39" s="55"/>
      <c r="L39" s="55"/>
      <c r="M39" s="55"/>
      <c r="N39" s="55"/>
      <c r="O39" s="55"/>
      <c r="P39" s="33"/>
      <c r="Q39" s="33"/>
      <c r="R39" s="33"/>
      <c r="S39" s="33"/>
      <c r="T39" s="33"/>
      <c r="U39" s="33"/>
      <c r="V39" s="33"/>
      <c r="W39" s="1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266"/>
      <c r="G40" s="17"/>
      <c r="H40" s="265"/>
      <c r="I40" s="17"/>
      <c r="J40" s="55"/>
      <c r="K40" s="55"/>
      <c r="L40" s="55"/>
      <c r="M40" s="55"/>
      <c r="N40" s="55"/>
      <c r="O40" s="55"/>
      <c r="P40" s="33"/>
      <c r="Q40" s="33"/>
      <c r="R40" s="33"/>
      <c r="S40" s="33"/>
      <c r="T40" s="33"/>
      <c r="U40" s="33"/>
      <c r="V40" s="33"/>
      <c r="W40" s="1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267"/>
      <c r="G41" s="31"/>
      <c r="H41" s="265">
        <f>F41/E41*100</f>
        <v>0</v>
      </c>
      <c r="I41" s="31"/>
      <c r="J41" s="55"/>
      <c r="K41" s="55"/>
      <c r="L41" s="55"/>
      <c r="M41" s="55"/>
      <c r="N41" s="55"/>
      <c r="O41" s="55"/>
      <c r="P41" s="33"/>
      <c r="Q41" s="33"/>
      <c r="R41" s="33"/>
      <c r="S41" s="33"/>
      <c r="T41" s="33"/>
      <c r="U41" s="33"/>
      <c r="V41" s="33"/>
      <c r="W41" s="1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19">E40*E41/10</f>
        <v>0</v>
      </c>
      <c r="F42" s="31">
        <f t="shared" si="19"/>
        <v>0</v>
      </c>
      <c r="G42" s="31">
        <f t="shared" si="19"/>
        <v>0</v>
      </c>
      <c r="H42" s="265"/>
      <c r="I42" s="31"/>
      <c r="J42" s="55"/>
      <c r="K42" s="55"/>
      <c r="L42" s="55"/>
      <c r="M42" s="55"/>
      <c r="N42" s="55"/>
      <c r="O42" s="55"/>
      <c r="P42" s="33"/>
      <c r="Q42" s="33"/>
      <c r="R42" s="33"/>
      <c r="S42" s="33"/>
      <c r="T42" s="33"/>
      <c r="U42" s="33"/>
      <c r="V42" s="33"/>
      <c r="W42" s="1"/>
      <c r="X42" s="1"/>
      <c r="Y42" s="1"/>
      <c r="Z42" s="1"/>
    </row>
    <row r="43" spans="1:26" ht="31.5" customHeight="1" x14ac:dyDescent="0.25">
      <c r="A43" s="268">
        <v>4</v>
      </c>
      <c r="B43" s="16" t="s">
        <v>41</v>
      </c>
      <c r="C43" s="15" t="s">
        <v>18</v>
      </c>
      <c r="D43" s="234">
        <v>0.5</v>
      </c>
      <c r="E43" s="234">
        <v>0.5</v>
      </c>
      <c r="F43" s="17">
        <v>0.27</v>
      </c>
      <c r="G43" s="17">
        <f>F43</f>
        <v>0.27</v>
      </c>
      <c r="H43" s="264">
        <f t="shared" ref="H43:H50" si="20">F43/E43*100</f>
        <v>54</v>
      </c>
      <c r="I43" s="17"/>
      <c r="J43" s="137"/>
      <c r="K43" s="84"/>
      <c r="L43" s="84"/>
      <c r="M43" s="84"/>
      <c r="N43" s="84"/>
      <c r="O43" s="84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265">
        <f t="shared" si="20"/>
        <v>0</v>
      </c>
      <c r="I44" s="31"/>
      <c r="J44" s="137"/>
      <c r="K44" s="261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9" t="s">
        <v>27</v>
      </c>
      <c r="C45" s="50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265">
        <f t="shared" si="20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78.830000000000013</v>
      </c>
      <c r="E46" s="17">
        <f t="shared" si="22"/>
        <v>89.63</v>
      </c>
      <c r="F46" s="17">
        <f t="shared" si="22"/>
        <v>79.13</v>
      </c>
      <c r="G46" s="17">
        <f t="shared" si="22"/>
        <v>79.13</v>
      </c>
      <c r="H46" s="264">
        <f t="shared" si="20"/>
        <v>88.285172375320769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3">D48+D49</f>
        <v>59.650000000000006</v>
      </c>
      <c r="E47" s="17">
        <f t="shared" si="23"/>
        <v>69.650000000000006</v>
      </c>
      <c r="F47" s="17">
        <f t="shared" si="23"/>
        <v>59.65</v>
      </c>
      <c r="G47" s="17">
        <f t="shared" si="23"/>
        <v>59.65</v>
      </c>
      <c r="H47" s="264">
        <f t="shared" si="20"/>
        <v>85.642498205312265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9" t="s">
        <v>32</v>
      </c>
      <c r="B48" s="60" t="s">
        <v>45</v>
      </c>
      <c r="C48" s="61" t="s">
        <v>18</v>
      </c>
      <c r="D48" s="31">
        <v>38.49</v>
      </c>
      <c r="E48" s="31">
        <f>D48+D49</f>
        <v>59.650000000000006</v>
      </c>
      <c r="F48" s="31">
        <v>59.65</v>
      </c>
      <c r="G48" s="31">
        <v>59.65</v>
      </c>
      <c r="H48" s="265">
        <f t="shared" si="20"/>
        <v>99.999999999999986</v>
      </c>
      <c r="I48" s="31"/>
      <c r="J48" s="55"/>
      <c r="K48" s="55"/>
      <c r="L48" s="55"/>
      <c r="M48" s="55"/>
      <c r="N48" s="55"/>
      <c r="O48" s="33"/>
      <c r="P48" s="33"/>
      <c r="Q48" s="33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4">D50+D51</f>
        <v>21.16</v>
      </c>
      <c r="E49" s="17">
        <f t="shared" si="24"/>
        <v>10</v>
      </c>
      <c r="F49" s="17">
        <f t="shared" si="24"/>
        <v>0</v>
      </c>
      <c r="G49" s="17">
        <f t="shared" si="24"/>
        <v>0</v>
      </c>
      <c r="H49" s="264">
        <f t="shared" si="20"/>
        <v>0</v>
      </c>
      <c r="I49" s="17"/>
      <c r="J49" s="236"/>
      <c r="K49" s="19"/>
      <c r="L49" s="70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61" t="s">
        <v>47</v>
      </c>
      <c r="B50" s="66" t="s">
        <v>269</v>
      </c>
      <c r="C50" s="61" t="s">
        <v>18</v>
      </c>
      <c r="D50" s="31">
        <v>21.16</v>
      </c>
      <c r="E50" s="31">
        <v>10</v>
      </c>
      <c r="F50" s="31">
        <v>0</v>
      </c>
      <c r="G50" s="31">
        <v>0</v>
      </c>
      <c r="H50" s="264">
        <f t="shared" si="20"/>
        <v>0</v>
      </c>
      <c r="I50" s="31"/>
      <c r="J50" s="35"/>
      <c r="K50" s="125"/>
      <c r="L50" s="35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61" t="s">
        <v>47</v>
      </c>
      <c r="B51" s="66" t="s">
        <v>49</v>
      </c>
      <c r="C51" s="30" t="s">
        <v>18</v>
      </c>
      <c r="D51" s="31"/>
      <c r="E51" s="31"/>
      <c r="F51" s="31"/>
      <c r="G51" s="31"/>
      <c r="H51" s="264"/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22.02</v>
      </c>
      <c r="E52" s="17">
        <f t="shared" si="25"/>
        <v>30</v>
      </c>
      <c r="F52" s="17">
        <f t="shared" si="25"/>
        <v>30</v>
      </c>
      <c r="G52" s="17">
        <f t="shared" si="25"/>
        <v>30</v>
      </c>
      <c r="H52" s="264">
        <f t="shared" ref="H52:H53" si="26">F52/E52*100</f>
        <v>100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71" t="s">
        <v>47</v>
      </c>
      <c r="B53" s="66" t="s">
        <v>51</v>
      </c>
      <c r="C53" s="30" t="s">
        <v>18</v>
      </c>
      <c r="D53" s="31">
        <f>25.02-8</f>
        <v>17.02</v>
      </c>
      <c r="E53" s="31">
        <v>30</v>
      </c>
      <c r="F53" s="31">
        <v>30</v>
      </c>
      <c r="G53" s="31">
        <v>30</v>
      </c>
      <c r="H53" s="265">
        <f t="shared" si="26"/>
        <v>100</v>
      </c>
      <c r="I53" s="31"/>
      <c r="J53" s="137"/>
      <c r="K53" s="137"/>
      <c r="L53" s="137"/>
      <c r="M53" s="238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6" t="s">
        <v>52</v>
      </c>
      <c r="C54" s="30" t="s">
        <v>18</v>
      </c>
      <c r="D54" s="31">
        <v>5</v>
      </c>
      <c r="E54" s="31"/>
      <c r="F54" s="31"/>
      <c r="G54" s="31"/>
      <c r="H54" s="264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4.5</v>
      </c>
      <c r="E55" s="17">
        <f t="shared" si="27"/>
        <v>5.3</v>
      </c>
      <c r="F55" s="17">
        <f t="shared" si="27"/>
        <v>4.8</v>
      </c>
      <c r="G55" s="17">
        <f t="shared" si="27"/>
        <v>4.8</v>
      </c>
      <c r="H55" s="264">
        <f t="shared" ref="H55:H65" si="28">F55/E55*100</f>
        <v>90.566037735849065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60" t="s">
        <v>50</v>
      </c>
      <c r="C56" s="30" t="s">
        <v>18</v>
      </c>
      <c r="D56" s="31">
        <v>4.5</v>
      </c>
      <c r="E56" s="31">
        <f t="shared" ref="E56:G56" si="29">D56+E58</f>
        <v>4.8</v>
      </c>
      <c r="F56" s="31">
        <f t="shared" si="29"/>
        <v>4.8</v>
      </c>
      <c r="G56" s="31">
        <f t="shared" si="29"/>
        <v>4.8</v>
      </c>
      <c r="H56" s="265">
        <f t="shared" si="28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30">D58+D61</f>
        <v>0</v>
      </c>
      <c r="E57" s="31">
        <f t="shared" si="30"/>
        <v>0.5</v>
      </c>
      <c r="F57" s="31">
        <f t="shared" si="30"/>
        <v>0</v>
      </c>
      <c r="G57" s="31">
        <f t="shared" si="30"/>
        <v>0</v>
      </c>
      <c r="H57" s="264">
        <f t="shared" si="28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31">D59+D60</f>
        <v>0</v>
      </c>
      <c r="E58" s="76">
        <f t="shared" si="31"/>
        <v>0.30000000000000004</v>
      </c>
      <c r="F58" s="76">
        <f t="shared" si="31"/>
        <v>0</v>
      </c>
      <c r="G58" s="76">
        <f t="shared" si="31"/>
        <v>0</v>
      </c>
      <c r="H58" s="264">
        <f t="shared" si="28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1.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264">
        <f t="shared" si="28"/>
        <v>0</v>
      </c>
      <c r="I59" s="31"/>
      <c r="J59" s="35"/>
      <c r="K59" s="240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264">
        <f t="shared" si="28"/>
        <v>0</v>
      </c>
      <c r="I60" s="31"/>
      <c r="J60" s="35"/>
      <c r="K60" s="240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2">D62+D63</f>
        <v>0</v>
      </c>
      <c r="E61" s="76">
        <f t="shared" si="32"/>
        <v>0.2</v>
      </c>
      <c r="F61" s="76">
        <f t="shared" si="32"/>
        <v>0</v>
      </c>
      <c r="G61" s="76">
        <f t="shared" si="32"/>
        <v>0</v>
      </c>
      <c r="H61" s="264">
        <f t="shared" si="28"/>
        <v>0</v>
      </c>
      <c r="I61" s="76"/>
      <c r="J61" s="238"/>
      <c r="K61" s="106"/>
      <c r="L61" s="241"/>
      <c r="M61" s="241"/>
      <c r="N61" s="24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1.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0.1</v>
      </c>
      <c r="F62" s="31">
        <v>0</v>
      </c>
      <c r="G62" s="31">
        <v>0</v>
      </c>
      <c r="H62" s="264">
        <f t="shared" si="28"/>
        <v>0</v>
      </c>
      <c r="I62" s="31"/>
      <c r="J62" s="238"/>
      <c r="K62" s="240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264">
        <f t="shared" si="28"/>
        <v>0</v>
      </c>
      <c r="I63" s="31"/>
      <c r="J63" s="238"/>
      <c r="K63" s="240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3">D65+D66</f>
        <v>14.68</v>
      </c>
      <c r="E64" s="17">
        <f t="shared" si="33"/>
        <v>14.68</v>
      </c>
      <c r="F64" s="17">
        <f t="shared" si="33"/>
        <v>14.68</v>
      </c>
      <c r="G64" s="17">
        <f t="shared" si="33"/>
        <v>14.68</v>
      </c>
      <c r="H64" s="264">
        <f t="shared" si="28"/>
        <v>100</v>
      </c>
      <c r="I64" s="17"/>
      <c r="J64" s="137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60" t="s">
        <v>45</v>
      </c>
      <c r="C65" s="30" t="s">
        <v>18</v>
      </c>
      <c r="D65" s="31">
        <v>14.68</v>
      </c>
      <c r="E65" s="31">
        <v>14.68</v>
      </c>
      <c r="F65" s="31">
        <v>14.68</v>
      </c>
      <c r="G65" s="31">
        <v>14.68</v>
      </c>
      <c r="H65" s="264">
        <f t="shared" si="28"/>
        <v>100</v>
      </c>
      <c r="I65" s="31"/>
      <c r="J65" s="137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>
        <v>0</v>
      </c>
      <c r="E66" s="31">
        <v>0</v>
      </c>
      <c r="F66" s="31"/>
      <c r="G66" s="31"/>
      <c r="H66" s="264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4">D68+D71</f>
        <v>21.94</v>
      </c>
      <c r="E67" s="17">
        <f t="shared" si="34"/>
        <v>34.590000000000003</v>
      </c>
      <c r="F67" s="17">
        <f t="shared" si="34"/>
        <v>18.95</v>
      </c>
      <c r="G67" s="17">
        <f t="shared" si="34"/>
        <v>18.95</v>
      </c>
      <c r="H67" s="264">
        <f t="shared" ref="H67:H77" si="35">F67/E67*100</f>
        <v>54.784619832321468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6">D69+D70</f>
        <v>1.37</v>
      </c>
      <c r="E68" s="17">
        <f t="shared" si="36"/>
        <v>16.37</v>
      </c>
      <c r="F68" s="17">
        <f t="shared" si="36"/>
        <v>1.37</v>
      </c>
      <c r="G68" s="17">
        <f t="shared" si="36"/>
        <v>1.37</v>
      </c>
      <c r="H68" s="264">
        <f t="shared" si="35"/>
        <v>8.3689676237018933</v>
      </c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60" t="s">
        <v>69</v>
      </c>
      <c r="C69" s="30" t="s">
        <v>18</v>
      </c>
      <c r="D69" s="31">
        <f>0.7+0.27</f>
        <v>0.97</v>
      </c>
      <c r="E69" s="31">
        <f>D69+D70</f>
        <v>1.37</v>
      </c>
      <c r="F69" s="31">
        <v>1.37</v>
      </c>
      <c r="G69" s="31">
        <v>1.37</v>
      </c>
      <c r="H69" s="265">
        <f t="shared" si="35"/>
        <v>100</v>
      </c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60" t="s">
        <v>70</v>
      </c>
      <c r="C70" s="30" t="s">
        <v>18</v>
      </c>
      <c r="D70" s="31">
        <v>0.4</v>
      </c>
      <c r="E70" s="31">
        <v>15</v>
      </c>
      <c r="F70" s="31"/>
      <c r="G70" s="31"/>
      <c r="H70" s="264">
        <f t="shared" si="35"/>
        <v>0</v>
      </c>
      <c r="I70" s="31"/>
      <c r="J70" s="137"/>
      <c r="K70" s="28"/>
      <c r="L70" s="35"/>
      <c r="M70" s="137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7">D72+D73</f>
        <v>20.57</v>
      </c>
      <c r="E71" s="17">
        <f t="shared" si="37"/>
        <v>18.22</v>
      </c>
      <c r="F71" s="17">
        <f t="shared" si="37"/>
        <v>17.579999999999998</v>
      </c>
      <c r="G71" s="17">
        <f t="shared" si="37"/>
        <v>17.579999999999998</v>
      </c>
      <c r="H71" s="264">
        <f t="shared" si="35"/>
        <v>96.487376509330403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8">D75+D82</f>
        <v>16.27</v>
      </c>
      <c r="E72" s="91">
        <f t="shared" si="38"/>
        <v>17.579999999999998</v>
      </c>
      <c r="F72" s="91">
        <f t="shared" si="38"/>
        <v>17.579999999999998</v>
      </c>
      <c r="G72" s="91">
        <f t="shared" si="38"/>
        <v>17.579999999999998</v>
      </c>
      <c r="H72" s="264">
        <f t="shared" si="35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9">D76+D83</f>
        <v>4.3</v>
      </c>
      <c r="E73" s="17">
        <f t="shared" si="39"/>
        <v>0.64</v>
      </c>
      <c r="F73" s="17">
        <f t="shared" si="39"/>
        <v>0</v>
      </c>
      <c r="G73" s="17">
        <f t="shared" si="39"/>
        <v>0</v>
      </c>
      <c r="H73" s="264">
        <f t="shared" si="35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40">D75+D76</f>
        <v>16.579999999999998</v>
      </c>
      <c r="E74" s="96">
        <f t="shared" si="40"/>
        <v>17.079999999999998</v>
      </c>
      <c r="F74" s="96">
        <f t="shared" si="40"/>
        <v>16.579999999999998</v>
      </c>
      <c r="G74" s="96">
        <f t="shared" si="40"/>
        <v>16.579999999999998</v>
      </c>
      <c r="H74" s="269">
        <f t="shared" si="35"/>
        <v>97.072599531615921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9" t="s">
        <v>32</v>
      </c>
      <c r="B75" s="98" t="s">
        <v>45</v>
      </c>
      <c r="C75" s="30" t="s">
        <v>18</v>
      </c>
      <c r="D75" s="62">
        <f>8.28+5</f>
        <v>13.28</v>
      </c>
      <c r="E75" s="62">
        <f>D75+D76</f>
        <v>16.579999999999998</v>
      </c>
      <c r="F75" s="62">
        <v>16.579999999999998</v>
      </c>
      <c r="G75" s="62">
        <v>16.579999999999998</v>
      </c>
      <c r="H75" s="265">
        <f t="shared" si="35"/>
        <v>100</v>
      </c>
      <c r="I75" s="31"/>
      <c r="J75" s="137"/>
      <c r="K75" s="137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41">SUM(D77:D80)</f>
        <v>3.3</v>
      </c>
      <c r="E76" s="244">
        <f t="shared" si="41"/>
        <v>0.5</v>
      </c>
      <c r="F76" s="244">
        <f t="shared" si="41"/>
        <v>0</v>
      </c>
      <c r="G76" s="244">
        <f t="shared" si="41"/>
        <v>0</v>
      </c>
      <c r="H76" s="269">
        <f t="shared" si="35"/>
        <v>0</v>
      </c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8" t="s">
        <v>47</v>
      </c>
      <c r="B77" s="101" t="s">
        <v>80</v>
      </c>
      <c r="C77" s="48" t="s">
        <v>18</v>
      </c>
      <c r="D77" s="31">
        <v>2.8</v>
      </c>
      <c r="E77" s="31">
        <v>0.5</v>
      </c>
      <c r="F77" s="31">
        <v>0</v>
      </c>
      <c r="G77" s="31">
        <v>0</v>
      </c>
      <c r="H77" s="269">
        <f t="shared" si="35"/>
        <v>0</v>
      </c>
      <c r="I77" s="31"/>
      <c r="J77" s="245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8" t="s">
        <v>47</v>
      </c>
      <c r="B78" s="101" t="s">
        <v>81</v>
      </c>
      <c r="C78" s="48" t="s">
        <v>18</v>
      </c>
      <c r="D78" s="31">
        <v>0.5</v>
      </c>
      <c r="E78" s="31">
        <v>0</v>
      </c>
      <c r="F78" s="31"/>
      <c r="G78" s="31"/>
      <c r="H78" s="270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270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8" t="s">
        <v>47</v>
      </c>
      <c r="B80" s="247" t="s">
        <v>83</v>
      </c>
      <c r="C80" s="48" t="s">
        <v>18</v>
      </c>
      <c r="D80" s="31"/>
      <c r="E80" s="31"/>
      <c r="F80" s="31"/>
      <c r="G80" s="31"/>
      <c r="H80" s="270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2">D82+D83</f>
        <v>3.99</v>
      </c>
      <c r="E81" s="96">
        <f t="shared" si="42"/>
        <v>1.1400000000000001</v>
      </c>
      <c r="F81" s="96">
        <f t="shared" si="42"/>
        <v>1</v>
      </c>
      <c r="G81" s="96">
        <f t="shared" si="42"/>
        <v>1</v>
      </c>
      <c r="H81" s="269">
        <f t="shared" ref="H81:H83" si="43">F81/E81*100</f>
        <v>87.719298245614027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1.5" customHeight="1" x14ac:dyDescent="0.25">
      <c r="A82" s="117" t="s">
        <v>47</v>
      </c>
      <c r="B82" s="101" t="s">
        <v>85</v>
      </c>
      <c r="C82" s="48" t="s">
        <v>18</v>
      </c>
      <c r="D82" s="76">
        <v>2.99</v>
      </c>
      <c r="E82" s="76">
        <v>1</v>
      </c>
      <c r="F82" s="76">
        <v>1</v>
      </c>
      <c r="G82" s="76">
        <v>1</v>
      </c>
      <c r="H82" s="270">
        <f t="shared" si="43"/>
        <v>100</v>
      </c>
      <c r="I82" s="76"/>
      <c r="J82" s="241"/>
      <c r="K82" s="245"/>
      <c r="L82" s="10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1.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4">SUM(D84:D87)</f>
        <v>1</v>
      </c>
      <c r="E83" s="62">
        <f t="shared" si="44"/>
        <v>0.14000000000000001</v>
      </c>
      <c r="F83" s="62">
        <f t="shared" si="44"/>
        <v>0</v>
      </c>
      <c r="G83" s="62">
        <f t="shared" si="44"/>
        <v>0</v>
      </c>
      <c r="H83" s="270">
        <f t="shared" si="43"/>
        <v>0</v>
      </c>
      <c r="I83" s="62"/>
      <c r="J83" s="241"/>
      <c r="K83" s="241"/>
      <c r="L83" s="241"/>
      <c r="M83" s="241"/>
      <c r="N83" s="24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270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270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270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17" t="s">
        <v>47</v>
      </c>
      <c r="B87" s="101" t="s">
        <v>89</v>
      </c>
      <c r="C87" s="48" t="s">
        <v>18</v>
      </c>
      <c r="D87" s="31">
        <v>1</v>
      </c>
      <c r="E87" s="31">
        <v>0.14000000000000001</v>
      </c>
      <c r="F87" s="31">
        <v>0</v>
      </c>
      <c r="G87" s="31">
        <v>0</v>
      </c>
      <c r="H87" s="270">
        <f t="shared" ref="H87:H91" si="45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47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331</v>
      </c>
      <c r="E88" s="17">
        <f t="shared" si="46"/>
        <v>358</v>
      </c>
      <c r="F88" s="17">
        <f t="shared" si="46"/>
        <v>339</v>
      </c>
      <c r="G88" s="17">
        <f t="shared" si="46"/>
        <v>339</v>
      </c>
      <c r="H88" s="264">
        <f t="shared" si="45"/>
        <v>94.692737430167597</v>
      </c>
      <c r="I88" s="17"/>
      <c r="J88" s="28"/>
      <c r="K88" s="28"/>
      <c r="L88" s="39"/>
      <c r="M88" s="39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31</v>
      </c>
      <c r="E89" s="31">
        <f>70+37</f>
        <v>107</v>
      </c>
      <c r="F89" s="31">
        <v>105</v>
      </c>
      <c r="G89" s="31">
        <f t="shared" ref="G89:G91" si="47">F89</f>
        <v>105</v>
      </c>
      <c r="H89" s="265">
        <f t="shared" si="45"/>
        <v>98.130841121495322</v>
      </c>
      <c r="I89" s="31"/>
      <c r="J89" s="57"/>
      <c r="K89" s="84"/>
      <c r="L89" s="83"/>
      <c r="M89" s="118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f>52-5</f>
        <v>47</v>
      </c>
      <c r="E90" s="31">
        <f>30+5</f>
        <v>35</v>
      </c>
      <c r="F90" s="31">
        <v>33</v>
      </c>
      <c r="G90" s="31">
        <f t="shared" si="47"/>
        <v>33</v>
      </c>
      <c r="H90" s="265">
        <f t="shared" si="45"/>
        <v>94.285714285714278</v>
      </c>
      <c r="I90" s="31"/>
      <c r="J90" s="57"/>
      <c r="K90" s="84"/>
      <c r="L90" s="83"/>
      <c r="M90" s="118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f>30-5</f>
        <v>25</v>
      </c>
      <c r="E91" s="31">
        <f>10+3</f>
        <v>13</v>
      </c>
      <c r="F91" s="31">
        <v>11</v>
      </c>
      <c r="G91" s="31">
        <f t="shared" si="47"/>
        <v>11</v>
      </c>
      <c r="H91" s="265">
        <f t="shared" si="45"/>
        <v>84.615384615384613</v>
      </c>
      <c r="I91" s="31"/>
      <c r="J91" s="57"/>
      <c r="K91" s="84"/>
      <c r="L91" s="83"/>
      <c r="M91" s="118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1.5" customHeight="1" x14ac:dyDescent="0.25">
      <c r="A92" s="30">
        <v>4</v>
      </c>
      <c r="B92" s="27" t="s">
        <v>99</v>
      </c>
      <c r="C92" s="30" t="s">
        <v>93</v>
      </c>
      <c r="D92" s="31"/>
      <c r="E92" s="31">
        <v>0</v>
      </c>
      <c r="F92" s="31"/>
      <c r="G92" s="31"/>
      <c r="H92" s="265"/>
      <c r="I92" s="31"/>
      <c r="J92" s="28"/>
      <c r="K92" s="28"/>
      <c r="L92" s="122"/>
      <c r="M92" s="118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100</v>
      </c>
      <c r="C93" s="30" t="s">
        <v>93</v>
      </c>
      <c r="D93" s="31">
        <v>228</v>
      </c>
      <c r="E93" s="31">
        <f>225-22</f>
        <v>203</v>
      </c>
      <c r="F93" s="31">
        <v>190</v>
      </c>
      <c r="G93" s="31">
        <f>F93</f>
        <v>190</v>
      </c>
      <c r="H93" s="265">
        <f>F93/E93*100</f>
        <v>93.596059113300484</v>
      </c>
      <c r="I93" s="31"/>
      <c r="J93" s="84"/>
      <c r="K93" s="84"/>
      <c r="L93" s="122"/>
      <c r="M93" s="118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1.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8">D95</f>
        <v>0</v>
      </c>
      <c r="E94" s="17">
        <f t="shared" si="48"/>
        <v>0</v>
      </c>
      <c r="F94" s="17">
        <f t="shared" si="48"/>
        <v>0</v>
      </c>
      <c r="G94" s="17">
        <f t="shared" si="48"/>
        <v>0</v>
      </c>
      <c r="H94" s="265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8" t="s">
        <v>47</v>
      </c>
      <c r="B95" s="81" t="s">
        <v>103</v>
      </c>
      <c r="C95" s="48" t="s">
        <v>18</v>
      </c>
      <c r="D95" s="31"/>
      <c r="E95" s="31"/>
      <c r="F95" s="31"/>
      <c r="G95" s="31"/>
      <c r="H95" s="265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9">D97+D98</f>
        <v>0</v>
      </c>
      <c r="E96" s="17">
        <f t="shared" si="49"/>
        <v>0.2</v>
      </c>
      <c r="F96" s="17">
        <f t="shared" si="49"/>
        <v>0</v>
      </c>
      <c r="G96" s="17">
        <f t="shared" si="49"/>
        <v>0</v>
      </c>
      <c r="H96" s="265">
        <f t="shared" ref="H96:H97" si="50"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8" t="s">
        <v>270</v>
      </c>
      <c r="C97" s="48" t="s">
        <v>18</v>
      </c>
      <c r="D97" s="31"/>
      <c r="E97" s="31">
        <v>0.2</v>
      </c>
      <c r="F97" s="31"/>
      <c r="G97" s="31"/>
      <c r="H97" s="265">
        <f t="shared" si="50"/>
        <v>0</v>
      </c>
      <c r="I97" s="31"/>
      <c r="J97" s="28"/>
      <c r="K97" s="55"/>
      <c r="L97" s="55"/>
      <c r="M97" s="55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33" t="s">
        <v>47</v>
      </c>
      <c r="B98" s="98" t="s">
        <v>110</v>
      </c>
      <c r="C98" s="48" t="s">
        <v>18</v>
      </c>
      <c r="D98" s="31"/>
      <c r="E98" s="31"/>
      <c r="F98" s="31"/>
      <c r="G98" s="31"/>
      <c r="H98" s="265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7244094488188981" right="0.35433070866141736" top="0.55118110236220474" bottom="0.43307086614173229" header="0" footer="0"/>
  <pageSetup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109375" customWidth="1"/>
    <col min="2" max="2" width="29.33203125" customWidth="1"/>
    <col min="3" max="3" width="9.21875" customWidth="1"/>
    <col min="4" max="4" width="19.21875" customWidth="1"/>
    <col min="5" max="5" width="18.6640625" customWidth="1"/>
    <col min="6" max="8" width="12.6640625" customWidth="1"/>
    <col min="9" max="9" width="10.77734375" customWidth="1"/>
    <col min="10" max="10" width="8.88671875" customWidth="1"/>
    <col min="11" max="11" width="21.109375" customWidth="1"/>
    <col min="12" max="14" width="8.88671875" customWidth="1"/>
    <col min="15" max="21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25">
      <c r="A2" s="325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276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25">
      <c r="A5" s="326" t="str">
        <f>'ĐĂK CHUM 1(3)'!A5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2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27" t="s">
        <v>8</v>
      </c>
      <c r="F7" s="328"/>
      <c r="G7" s="328"/>
      <c r="H7" s="329"/>
      <c r="I7" s="305" t="s">
        <v>272</v>
      </c>
      <c r="J7" s="137"/>
      <c r="K7" s="11" t="s">
        <v>10</v>
      </c>
      <c r="L7" s="263">
        <v>28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92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32.82</v>
      </c>
      <c r="E9" s="234">
        <f t="shared" si="0"/>
        <v>58.92</v>
      </c>
      <c r="F9" s="234">
        <f t="shared" si="0"/>
        <v>32.54</v>
      </c>
      <c r="G9" s="234">
        <f t="shared" si="0"/>
        <v>32.54</v>
      </c>
      <c r="H9" s="234">
        <f t="shared" ref="H9:H30" si="1">F9/E9*100</f>
        <v>55.227427019687717</v>
      </c>
      <c r="I9" s="234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19.809999999999999</v>
      </c>
      <c r="F10" s="17">
        <f t="shared" si="2"/>
        <v>2.2999999999999998</v>
      </c>
      <c r="G10" s="17">
        <f t="shared" si="2"/>
        <v>2.2999999999999998</v>
      </c>
      <c r="H10" s="234">
        <f t="shared" si="1"/>
        <v>11.610297829379101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69.393340000000009</v>
      </c>
      <c r="F11" s="17">
        <f t="shared" si="3"/>
        <v>0</v>
      </c>
      <c r="G11" s="17">
        <f t="shared" si="3"/>
        <v>0</v>
      </c>
      <c r="H11" s="234">
        <f t="shared" si="1"/>
        <v>0</v>
      </c>
      <c r="I11" s="17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65.703340000000011</v>
      </c>
      <c r="F12" s="17">
        <f t="shared" si="4"/>
        <v>0</v>
      </c>
      <c r="G12" s="17">
        <f t="shared" si="4"/>
        <v>0</v>
      </c>
      <c r="H12" s="234">
        <f t="shared" si="1"/>
        <v>0</v>
      </c>
      <c r="I12" s="17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18.809999999999999</v>
      </c>
      <c r="F13" s="17">
        <f t="shared" si="5"/>
        <v>1.3</v>
      </c>
      <c r="G13" s="17">
        <f t="shared" si="5"/>
        <v>1.3</v>
      </c>
      <c r="H13" s="234">
        <f t="shared" si="1"/>
        <v>6.911217437533228</v>
      </c>
      <c r="I13" s="17"/>
      <c r="J13" s="137"/>
      <c r="K13" s="137"/>
      <c r="L13" s="137"/>
      <c r="M13" s="137"/>
      <c r="N13" s="1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34.930005316321115</v>
      </c>
      <c r="F14" s="31">
        <f t="shared" si="6"/>
        <v>0</v>
      </c>
      <c r="G14" s="31">
        <f t="shared" si="6"/>
        <v>0</v>
      </c>
      <c r="H14" s="234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65.703340000000011</v>
      </c>
      <c r="F15" s="31">
        <f t="shared" si="7"/>
        <v>0</v>
      </c>
      <c r="G15" s="31">
        <f t="shared" si="7"/>
        <v>0</v>
      </c>
      <c r="H15" s="234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1.3</v>
      </c>
      <c r="F16" s="17">
        <v>1.3</v>
      </c>
      <c r="G16" s="17">
        <v>1.3</v>
      </c>
      <c r="H16" s="234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9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234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9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4.3550000000000004</v>
      </c>
      <c r="F18" s="31">
        <f t="shared" si="8"/>
        <v>0</v>
      </c>
      <c r="G18" s="31">
        <f t="shared" si="8"/>
        <v>0</v>
      </c>
      <c r="H18" s="234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9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17.509999999999998</v>
      </c>
      <c r="F19" s="17">
        <f t="shared" si="9"/>
        <v>0</v>
      </c>
      <c r="G19" s="17">
        <f t="shared" si="9"/>
        <v>0</v>
      </c>
      <c r="H19" s="234">
        <f t="shared" si="1"/>
        <v>0</v>
      </c>
      <c r="I19" s="17"/>
      <c r="J19" s="28"/>
      <c r="K19" s="28"/>
      <c r="L19" s="28"/>
      <c r="M19" s="28"/>
      <c r="N19" s="46"/>
      <c r="O19" s="90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/>
      <c r="E20" s="31">
        <f>E21/E19*10</f>
        <v>35.036173615077104</v>
      </c>
      <c r="F20" s="31"/>
      <c r="G20" s="31"/>
      <c r="H20" s="234">
        <f t="shared" si="1"/>
        <v>0</v>
      </c>
      <c r="I20" s="31"/>
      <c r="J20" s="28"/>
      <c r="K20" s="28"/>
      <c r="L20" s="28"/>
      <c r="M20" s="28"/>
      <c r="N20" s="46"/>
      <c r="O20" s="90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0">D24+D27</f>
        <v>0</v>
      </c>
      <c r="E21" s="31">
        <f t="shared" si="10"/>
        <v>61.348340000000007</v>
      </c>
      <c r="F21" s="31">
        <f t="shared" si="10"/>
        <v>0</v>
      </c>
      <c r="G21" s="31">
        <f t="shared" si="10"/>
        <v>0</v>
      </c>
      <c r="H21" s="234">
        <f t="shared" si="1"/>
        <v>0</v>
      </c>
      <c r="I21" s="31"/>
      <c r="J21" s="28"/>
      <c r="K21" s="28"/>
      <c r="L21" s="28"/>
      <c r="M21" s="28"/>
      <c r="N21" s="46"/>
      <c r="O21" s="90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2" t="s">
        <v>33</v>
      </c>
      <c r="C22" s="40" t="s">
        <v>18</v>
      </c>
      <c r="D22" s="17"/>
      <c r="E22" s="17">
        <v>15.01</v>
      </c>
      <c r="F22" s="31">
        <v>0</v>
      </c>
      <c r="G22" s="17">
        <v>0</v>
      </c>
      <c r="H22" s="234">
        <f t="shared" si="1"/>
        <v>0</v>
      </c>
      <c r="I22" s="31"/>
      <c r="J22" s="55"/>
      <c r="K22" s="55"/>
      <c r="L22" s="55"/>
      <c r="M22" s="55"/>
      <c r="N22" s="63"/>
      <c r="O22" s="255"/>
      <c r="P22" s="255"/>
      <c r="Q22" s="255"/>
      <c r="R22" s="255"/>
      <c r="S22" s="255"/>
      <c r="T22" s="237"/>
      <c r="U22" s="90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234">
        <f t="shared" si="1"/>
        <v>0</v>
      </c>
      <c r="I23" s="31"/>
      <c r="J23" s="55"/>
      <c r="K23" s="55"/>
      <c r="L23" s="55"/>
      <c r="M23" s="55"/>
      <c r="N23" s="63"/>
      <c r="O23" s="255"/>
      <c r="P23" s="255"/>
      <c r="Q23" s="255"/>
      <c r="R23" s="255"/>
      <c r="S23" s="255"/>
      <c r="T23" s="237"/>
      <c r="U23" s="90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1">D22*D23/10</f>
        <v>0</v>
      </c>
      <c r="E24" s="31">
        <f t="shared" si="11"/>
        <v>57.54834000000001</v>
      </c>
      <c r="F24" s="31">
        <f t="shared" si="11"/>
        <v>0</v>
      </c>
      <c r="G24" s="31">
        <f t="shared" si="11"/>
        <v>0</v>
      </c>
      <c r="H24" s="234">
        <f t="shared" si="1"/>
        <v>0</v>
      </c>
      <c r="I24" s="31"/>
      <c r="J24" s="55"/>
      <c r="K24" s="55"/>
      <c r="L24" s="55"/>
      <c r="M24" s="55"/>
      <c r="N24" s="63"/>
      <c r="O24" s="255"/>
      <c r="P24" s="255"/>
      <c r="Q24" s="255"/>
      <c r="R24" s="255"/>
      <c r="S24" s="255"/>
      <c r="T24" s="237"/>
      <c r="U24" s="90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2" t="s">
        <v>34</v>
      </c>
      <c r="C25" s="40" t="s">
        <v>18</v>
      </c>
      <c r="D25" s="17"/>
      <c r="E25" s="17">
        <v>2.5</v>
      </c>
      <c r="F25" s="31">
        <v>0</v>
      </c>
      <c r="G25" s="17">
        <v>0</v>
      </c>
      <c r="H25" s="234">
        <f t="shared" si="1"/>
        <v>0</v>
      </c>
      <c r="I25" s="31"/>
      <c r="J25" s="55"/>
      <c r="K25" s="55"/>
      <c r="L25" s="55"/>
      <c r="M25" s="55"/>
      <c r="N25" s="55"/>
      <c r="O25" s="33"/>
      <c r="P25" s="33"/>
      <c r="Q25" s="33"/>
      <c r="R25" s="256"/>
      <c r="S25" s="256"/>
      <c r="T25" s="1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234">
        <f t="shared" si="1"/>
        <v>0</v>
      </c>
      <c r="I26" s="31"/>
      <c r="J26" s="55"/>
      <c r="K26" s="55"/>
      <c r="L26" s="55"/>
      <c r="M26" s="55"/>
      <c r="N26" s="55"/>
      <c r="O26" s="33"/>
      <c r="P26" s="33"/>
      <c r="Q26" s="33"/>
      <c r="R26" s="256"/>
      <c r="S26" s="256"/>
      <c r="T26" s="1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G27" si="12">D25*D26/10</f>
        <v>0</v>
      </c>
      <c r="E27" s="31">
        <f t="shared" si="12"/>
        <v>3.8</v>
      </c>
      <c r="F27" s="31">
        <f t="shared" si="12"/>
        <v>0</v>
      </c>
      <c r="G27" s="31">
        <f t="shared" si="12"/>
        <v>0</v>
      </c>
      <c r="H27" s="234">
        <f t="shared" si="1"/>
        <v>0</v>
      </c>
      <c r="I27" s="31"/>
      <c r="J27" s="55"/>
      <c r="K27" s="55"/>
      <c r="L27" s="55"/>
      <c r="M27" s="55"/>
      <c r="N27" s="55"/>
      <c r="O27" s="33"/>
      <c r="P27" s="33"/>
      <c r="Q27" s="33"/>
      <c r="R27" s="256"/>
      <c r="S27" s="256"/>
      <c r="T27" s="1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234">
        <f t="shared" si="1"/>
        <v>100</v>
      </c>
      <c r="I28" s="17"/>
      <c r="J28" s="28"/>
      <c r="K28" s="28"/>
      <c r="L28" s="28"/>
      <c r="M28" s="28"/>
      <c r="N28" s="28"/>
      <c r="O28" s="2"/>
      <c r="P28" s="2"/>
      <c r="Q28" s="2"/>
      <c r="R28" s="1"/>
      <c r="S28" s="1"/>
      <c r="T28" s="1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E29" si="14">D30/D28*10</f>
        <v>36.85</v>
      </c>
      <c r="E29" s="31">
        <f t="shared" si="14"/>
        <v>36.9</v>
      </c>
      <c r="F29" s="31"/>
      <c r="G29" s="31"/>
      <c r="H29" s="234">
        <f t="shared" si="1"/>
        <v>0</v>
      </c>
      <c r="I29" s="31"/>
      <c r="J29" s="28"/>
      <c r="K29" s="28"/>
      <c r="L29" s="28"/>
      <c r="M29" s="28"/>
      <c r="N29" s="28"/>
      <c r="O29" s="2"/>
      <c r="P29" s="2"/>
      <c r="Q29" s="2"/>
      <c r="R29" s="1"/>
      <c r="S29" s="1"/>
      <c r="T29" s="1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5">D33+D36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234">
        <f t="shared" si="1"/>
        <v>0</v>
      </c>
      <c r="I30" s="31"/>
      <c r="J30" s="28"/>
      <c r="K30" s="28"/>
      <c r="L30" s="28"/>
      <c r="M30" s="28"/>
      <c r="N30" s="28"/>
      <c r="O30" s="2"/>
      <c r="P30" s="2"/>
      <c r="Q30" s="2"/>
      <c r="R30" s="1"/>
      <c r="S30" s="1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234"/>
      <c r="I31" s="17"/>
      <c r="J31" s="28"/>
      <c r="K31" s="35"/>
      <c r="L31" s="28"/>
      <c r="M31" s="28"/>
      <c r="N31" s="28"/>
      <c r="O31" s="2"/>
      <c r="P31" s="2"/>
      <c r="Q31" s="2"/>
      <c r="R31" s="1"/>
      <c r="S31" s="1"/>
      <c r="T31" s="1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234"/>
      <c r="I32" s="17"/>
      <c r="J32" s="28"/>
      <c r="K32" s="35"/>
      <c r="L32" s="28"/>
      <c r="M32" s="28"/>
      <c r="N32" s="28"/>
      <c r="O32" s="2"/>
      <c r="P32" s="2"/>
      <c r="Q32" s="2"/>
      <c r="R32" s="1"/>
      <c r="S32" s="1"/>
      <c r="T32" s="1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234"/>
      <c r="I33" s="17"/>
      <c r="J33" s="28"/>
      <c r="K33" s="35"/>
      <c r="L33" s="28"/>
      <c r="M33" s="28"/>
      <c r="N33" s="28"/>
      <c r="O33" s="2"/>
      <c r="P33" s="2"/>
      <c r="Q33" s="2"/>
      <c r="R33" s="1"/>
      <c r="S33" s="1"/>
      <c r="T33" s="1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234">
        <f t="shared" ref="H34:H39" si="16">F34/E34*100</f>
        <v>100</v>
      </c>
      <c r="I34" s="31"/>
      <c r="J34" s="28"/>
      <c r="K34" s="28"/>
      <c r="L34" s="28"/>
      <c r="M34" s="28"/>
      <c r="N34" s="28"/>
      <c r="O34" s="2"/>
      <c r="P34" s="2"/>
      <c r="Q34" s="2"/>
      <c r="R34" s="2"/>
      <c r="S34" s="2"/>
      <c r="T34" s="2"/>
      <c r="U34" s="2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>
        <v>0</v>
      </c>
      <c r="G35" s="31"/>
      <c r="H35" s="234">
        <f t="shared" si="16"/>
        <v>0</v>
      </c>
      <c r="I35" s="31"/>
      <c r="J35" s="28"/>
      <c r="K35" s="240"/>
      <c r="L35" s="258"/>
      <c r="M35" s="258"/>
      <c r="N35" s="258"/>
      <c r="O35" s="258"/>
      <c r="P35" s="2"/>
      <c r="Q35" s="2"/>
      <c r="R35" s="2"/>
      <c r="S35" s="2"/>
      <c r="T35" s="2"/>
      <c r="U35" s="2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234">
        <f t="shared" si="16"/>
        <v>0</v>
      </c>
      <c r="I36" s="31"/>
      <c r="J36" s="28"/>
      <c r="K36" s="46"/>
      <c r="L36" s="46"/>
      <c r="M36" s="46"/>
      <c r="N36" s="46"/>
      <c r="O36" s="46"/>
      <c r="P36" s="2"/>
      <c r="Q36" s="2"/>
      <c r="R36" s="2"/>
      <c r="S36" s="2"/>
      <c r="T36" s="2"/>
      <c r="U36" s="2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3</v>
      </c>
      <c r="E37" s="17">
        <v>3.17</v>
      </c>
      <c r="F37" s="17">
        <v>3.17</v>
      </c>
      <c r="G37" s="17">
        <v>3.17</v>
      </c>
      <c r="H37" s="234">
        <f t="shared" si="16"/>
        <v>100</v>
      </c>
      <c r="I37" s="31"/>
      <c r="J37" s="63"/>
      <c r="K37" s="63"/>
      <c r="L37" s="63"/>
      <c r="M37" s="63"/>
      <c r="N37" s="63"/>
      <c r="O37" s="63"/>
      <c r="P37" s="255"/>
      <c r="Q37" s="255"/>
      <c r="R37" s="255"/>
      <c r="S37" s="255"/>
      <c r="T37" s="255"/>
      <c r="U37" s="255"/>
      <c r="V37" s="1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17"/>
      <c r="E38" s="31">
        <v>140</v>
      </c>
      <c r="F38" s="31"/>
      <c r="G38" s="31"/>
      <c r="H38" s="234">
        <f t="shared" si="16"/>
        <v>0</v>
      </c>
      <c r="I38" s="31"/>
      <c r="J38" s="63"/>
      <c r="K38" s="63"/>
      <c r="L38" s="63"/>
      <c r="M38" s="63"/>
      <c r="N38" s="63"/>
      <c r="O38" s="63"/>
      <c r="P38" s="255"/>
      <c r="Q38" s="255"/>
      <c r="R38" s="255"/>
      <c r="S38" s="255"/>
      <c r="T38" s="255"/>
      <c r="U38" s="255"/>
      <c r="V38" s="1"/>
      <c r="W38" s="1"/>
      <c r="X38" s="1"/>
      <c r="Y38" s="1"/>
      <c r="Z38" s="1"/>
    </row>
    <row r="39" spans="1:26" ht="31.5" customHeight="1" x14ac:dyDescent="0.25">
      <c r="A39" s="9"/>
      <c r="B39" s="49" t="s">
        <v>27</v>
      </c>
      <c r="C39" s="50" t="s">
        <v>21</v>
      </c>
      <c r="D39" s="260"/>
      <c r="E39" s="51">
        <f t="shared" ref="E39:G39" si="18">E37*E38/10</f>
        <v>44.38</v>
      </c>
      <c r="F39" s="51">
        <f t="shared" si="18"/>
        <v>0</v>
      </c>
      <c r="G39" s="51">
        <f t="shared" si="18"/>
        <v>0</v>
      </c>
      <c r="H39" s="234">
        <f t="shared" si="16"/>
        <v>0</v>
      </c>
      <c r="I39" s="31"/>
      <c r="J39" s="63"/>
      <c r="K39" s="63"/>
      <c r="L39" s="63"/>
      <c r="M39" s="63"/>
      <c r="N39" s="63"/>
      <c r="O39" s="63"/>
      <c r="P39" s="255"/>
      <c r="Q39" s="255"/>
      <c r="R39" s="255"/>
      <c r="S39" s="255"/>
      <c r="T39" s="255"/>
      <c r="U39" s="255"/>
      <c r="V39" s="1"/>
      <c r="W39" s="1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266"/>
      <c r="G40" s="17"/>
      <c r="H40" s="234"/>
      <c r="I40" s="17"/>
      <c r="J40" s="63"/>
      <c r="K40" s="63"/>
      <c r="L40" s="63"/>
      <c r="M40" s="63"/>
      <c r="N40" s="63"/>
      <c r="O40" s="63"/>
      <c r="P40" s="255"/>
      <c r="Q40" s="255"/>
      <c r="R40" s="255"/>
      <c r="S40" s="255"/>
      <c r="T40" s="255"/>
      <c r="U40" s="255"/>
      <c r="V40" s="1"/>
      <c r="W40" s="1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267"/>
      <c r="G41" s="31"/>
      <c r="H41" s="234">
        <f>F41/E41*100</f>
        <v>0</v>
      </c>
      <c r="I41" s="31"/>
      <c r="J41" s="63"/>
      <c r="K41" s="63"/>
      <c r="L41" s="63"/>
      <c r="M41" s="63"/>
      <c r="N41" s="63"/>
      <c r="O41" s="63"/>
      <c r="P41" s="255"/>
      <c r="Q41" s="255"/>
      <c r="R41" s="255"/>
      <c r="S41" s="255"/>
      <c r="T41" s="255"/>
      <c r="U41" s="255"/>
      <c r="V41" s="1"/>
      <c r="W41" s="1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19">E40*E41/10</f>
        <v>0</v>
      </c>
      <c r="F42" s="31">
        <f t="shared" si="19"/>
        <v>0</v>
      </c>
      <c r="G42" s="31">
        <f t="shared" si="19"/>
        <v>0</v>
      </c>
      <c r="H42" s="234"/>
      <c r="I42" s="31"/>
      <c r="J42" s="63"/>
      <c r="K42" s="63"/>
      <c r="L42" s="63"/>
      <c r="M42" s="63"/>
      <c r="N42" s="63"/>
      <c r="O42" s="63"/>
      <c r="P42" s="255"/>
      <c r="Q42" s="255"/>
      <c r="R42" s="255"/>
      <c r="S42" s="255"/>
      <c r="T42" s="255"/>
      <c r="U42" s="255"/>
      <c r="V42" s="1"/>
      <c r="W42" s="1"/>
      <c r="X42" s="1"/>
      <c r="Y42" s="1"/>
      <c r="Z42" s="1"/>
    </row>
    <row r="43" spans="1:26" ht="31.5" customHeight="1" x14ac:dyDescent="0.25">
      <c r="A43" s="268">
        <v>4</v>
      </c>
      <c r="B43" s="16" t="s">
        <v>41</v>
      </c>
      <c r="C43" s="15" t="s">
        <v>18</v>
      </c>
      <c r="D43" s="234">
        <v>0.5</v>
      </c>
      <c r="E43" s="234">
        <v>0.5</v>
      </c>
      <c r="F43" s="17">
        <v>0.27</v>
      </c>
      <c r="G43" s="17">
        <f>F43</f>
        <v>0.27</v>
      </c>
      <c r="H43" s="234">
        <f t="shared" ref="H43:H50" si="20">F43/E43*100</f>
        <v>54</v>
      </c>
      <c r="I43" s="17"/>
      <c r="J43" s="137"/>
      <c r="K43" s="35"/>
      <c r="L43" s="84"/>
      <c r="M43" s="84"/>
      <c r="N43" s="84"/>
      <c r="O43" s="84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234">
        <f t="shared" si="20"/>
        <v>0</v>
      </c>
      <c r="I44" s="31"/>
      <c r="J44" s="137"/>
      <c r="K44" s="238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9" t="s">
        <v>27</v>
      </c>
      <c r="C45" s="50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234">
        <f t="shared" si="20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17.12</v>
      </c>
      <c r="E46" s="17">
        <f t="shared" si="22"/>
        <v>22.92</v>
      </c>
      <c r="F46" s="17">
        <f t="shared" si="22"/>
        <v>17.419999999999998</v>
      </c>
      <c r="G46" s="17">
        <f t="shared" si="22"/>
        <v>17.419999999999998</v>
      </c>
      <c r="H46" s="234">
        <f t="shared" si="20"/>
        <v>76.003490401396149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3">D48+D49</f>
        <v>12.620000000000001</v>
      </c>
      <c r="E47" s="17">
        <f t="shared" si="23"/>
        <v>17.62</v>
      </c>
      <c r="F47" s="17">
        <f t="shared" si="23"/>
        <v>12.62</v>
      </c>
      <c r="G47" s="17">
        <f t="shared" si="23"/>
        <v>12.62</v>
      </c>
      <c r="H47" s="234">
        <f t="shared" si="20"/>
        <v>71.623155505107832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9" t="s">
        <v>32</v>
      </c>
      <c r="B48" s="60" t="s">
        <v>45</v>
      </c>
      <c r="C48" s="61" t="s">
        <v>18</v>
      </c>
      <c r="D48" s="31">
        <v>9</v>
      </c>
      <c r="E48" s="31">
        <f>D48+D49</f>
        <v>12.620000000000001</v>
      </c>
      <c r="F48" s="31">
        <v>12.62</v>
      </c>
      <c r="G48" s="31">
        <v>12.62</v>
      </c>
      <c r="H48" s="271">
        <f t="shared" si="20"/>
        <v>99.999999999999986</v>
      </c>
      <c r="I48" s="31"/>
      <c r="J48" s="55"/>
      <c r="K48" s="55"/>
      <c r="L48" s="55"/>
      <c r="M48" s="55"/>
      <c r="N48" s="55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4">D50+D51</f>
        <v>3.62</v>
      </c>
      <c r="E49" s="17">
        <f t="shared" si="24"/>
        <v>5</v>
      </c>
      <c r="F49" s="17">
        <f t="shared" si="24"/>
        <v>0</v>
      </c>
      <c r="G49" s="17">
        <f t="shared" si="24"/>
        <v>0</v>
      </c>
      <c r="H49" s="234">
        <f t="shared" si="20"/>
        <v>0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61" t="s">
        <v>47</v>
      </c>
      <c r="B50" s="66" t="s">
        <v>269</v>
      </c>
      <c r="C50" s="61" t="s">
        <v>18</v>
      </c>
      <c r="D50" s="31">
        <v>3.62</v>
      </c>
      <c r="E50" s="31">
        <v>5</v>
      </c>
      <c r="F50" s="31">
        <v>0</v>
      </c>
      <c r="G50" s="31">
        <v>0</v>
      </c>
      <c r="H50" s="234">
        <f t="shared" si="20"/>
        <v>0</v>
      </c>
      <c r="I50" s="31"/>
      <c r="J50" s="238"/>
      <c r="K50" s="125"/>
      <c r="L50" s="125"/>
      <c r="M50" s="125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61" t="s">
        <v>47</v>
      </c>
      <c r="B51" s="66" t="s">
        <v>49</v>
      </c>
      <c r="C51" s="30" t="s">
        <v>18</v>
      </c>
      <c r="D51" s="31"/>
      <c r="E51" s="31"/>
      <c r="F51" s="31"/>
      <c r="G51" s="31"/>
      <c r="H51" s="234"/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6.85</v>
      </c>
      <c r="E52" s="17">
        <f t="shared" si="25"/>
        <v>7.6499999999999995</v>
      </c>
      <c r="F52" s="17">
        <f t="shared" si="25"/>
        <v>7.65</v>
      </c>
      <c r="G52" s="17">
        <f t="shared" si="25"/>
        <v>7.65</v>
      </c>
      <c r="H52" s="234">
        <f t="shared" ref="H52:H53" si="26">F52/E52*100</f>
        <v>100.00000000000003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71" t="s">
        <v>47</v>
      </c>
      <c r="B53" s="66" t="s">
        <v>51</v>
      </c>
      <c r="C53" s="30" t="s">
        <v>18</v>
      </c>
      <c r="D53" s="31">
        <f>5.85-1</f>
        <v>4.8499999999999996</v>
      </c>
      <c r="E53" s="31">
        <f>D48*85%</f>
        <v>7.6499999999999995</v>
      </c>
      <c r="F53" s="31">
        <v>7.65</v>
      </c>
      <c r="G53" s="31">
        <v>7.65</v>
      </c>
      <c r="H53" s="271">
        <f t="shared" si="26"/>
        <v>100.00000000000003</v>
      </c>
      <c r="I53" s="31"/>
      <c r="J53" s="137"/>
      <c r="K53" s="137"/>
      <c r="L53" s="137"/>
      <c r="M53" s="238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6" t="s">
        <v>52</v>
      </c>
      <c r="C54" s="30" t="s">
        <v>18</v>
      </c>
      <c r="D54" s="31">
        <v>2</v>
      </c>
      <c r="E54" s="31"/>
      <c r="F54" s="31"/>
      <c r="G54" s="31"/>
      <c r="H54" s="271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4.5</v>
      </c>
      <c r="E55" s="17">
        <f t="shared" si="27"/>
        <v>5.3</v>
      </c>
      <c r="F55" s="17">
        <f t="shared" si="27"/>
        <v>4.8</v>
      </c>
      <c r="G55" s="17">
        <f t="shared" si="27"/>
        <v>4.8</v>
      </c>
      <c r="H55" s="234">
        <f t="shared" ref="H55:H63" si="28">F55/E55*100</f>
        <v>90.566037735849065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60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271">
        <f t="shared" si="28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9">D58+D61</f>
        <v>0</v>
      </c>
      <c r="E57" s="31">
        <f t="shared" si="29"/>
        <v>0.5</v>
      </c>
      <c r="F57" s="31">
        <f t="shared" si="29"/>
        <v>0</v>
      </c>
      <c r="G57" s="31">
        <f t="shared" si="29"/>
        <v>0</v>
      </c>
      <c r="H57" s="234">
        <f t="shared" si="28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30">D59+D60</f>
        <v>0</v>
      </c>
      <c r="E58" s="76">
        <f t="shared" si="30"/>
        <v>0.30000000000000004</v>
      </c>
      <c r="F58" s="76">
        <f t="shared" si="30"/>
        <v>0</v>
      </c>
      <c r="G58" s="76">
        <f t="shared" si="30"/>
        <v>0</v>
      </c>
      <c r="H58" s="234">
        <f t="shared" si="28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1.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234">
        <f t="shared" si="28"/>
        <v>0</v>
      </c>
      <c r="I59" s="31"/>
      <c r="J59" s="35"/>
      <c r="K59" s="240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234">
        <f t="shared" si="28"/>
        <v>0</v>
      </c>
      <c r="I60" s="31"/>
      <c r="J60" s="35"/>
      <c r="K60" s="240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1">D62+D63</f>
        <v>0</v>
      </c>
      <c r="E61" s="76">
        <f t="shared" si="31"/>
        <v>0.2</v>
      </c>
      <c r="F61" s="76">
        <f t="shared" si="31"/>
        <v>0</v>
      </c>
      <c r="G61" s="76">
        <f t="shared" si="31"/>
        <v>0</v>
      </c>
      <c r="H61" s="234">
        <f t="shared" si="28"/>
        <v>0</v>
      </c>
      <c r="I61" s="76"/>
      <c r="J61" s="35"/>
      <c r="K61" s="106"/>
      <c r="L61" s="241"/>
      <c r="M61" s="241"/>
      <c r="N61" s="24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1.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0.1</v>
      </c>
      <c r="F62" s="31">
        <v>0</v>
      </c>
      <c r="G62" s="31">
        <v>0</v>
      </c>
      <c r="H62" s="234">
        <f t="shared" si="28"/>
        <v>0</v>
      </c>
      <c r="I62" s="31"/>
      <c r="J62" s="35"/>
      <c r="K62" s="240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234">
        <f t="shared" si="28"/>
        <v>0</v>
      </c>
      <c r="I63" s="31"/>
      <c r="J63" s="35"/>
      <c r="K63" s="240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2">D65+D66</f>
        <v>0</v>
      </c>
      <c r="E64" s="17">
        <f t="shared" si="32"/>
        <v>0</v>
      </c>
      <c r="F64" s="17">
        <f t="shared" si="32"/>
        <v>0</v>
      </c>
      <c r="G64" s="17">
        <f t="shared" si="32"/>
        <v>0</v>
      </c>
      <c r="H64" s="234"/>
      <c r="I64" s="17"/>
      <c r="J64" s="35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234"/>
      <c r="I65" s="31"/>
      <c r="J65" s="137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234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3">D68+D71</f>
        <v>11.2</v>
      </c>
      <c r="E67" s="17">
        <f t="shared" si="33"/>
        <v>12.52</v>
      </c>
      <c r="F67" s="17">
        <f t="shared" si="33"/>
        <v>9.3800000000000008</v>
      </c>
      <c r="G67" s="17">
        <f t="shared" si="33"/>
        <v>9.3800000000000008</v>
      </c>
      <c r="H67" s="234">
        <f t="shared" ref="H67:H68" si="34">F67/E67*100</f>
        <v>74.920127795527165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5">D69+D70</f>
        <v>0</v>
      </c>
      <c r="E68" s="17">
        <f t="shared" si="35"/>
        <v>3.05</v>
      </c>
      <c r="F68" s="17">
        <f t="shared" si="35"/>
        <v>0</v>
      </c>
      <c r="G68" s="17">
        <f t="shared" si="35"/>
        <v>0</v>
      </c>
      <c r="H68" s="234">
        <f t="shared" si="34"/>
        <v>0</v>
      </c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234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60" t="s">
        <v>70</v>
      </c>
      <c r="C70" s="30" t="s">
        <v>18</v>
      </c>
      <c r="D70" s="31"/>
      <c r="E70" s="31">
        <f>0.5+2.55</f>
        <v>3.05</v>
      </c>
      <c r="F70" s="31"/>
      <c r="G70" s="31"/>
      <c r="H70" s="234">
        <f t="shared" ref="H70:H75" si="36">F70/E70*100</f>
        <v>0</v>
      </c>
      <c r="I70" s="31"/>
      <c r="J70" s="137"/>
      <c r="K70" s="125"/>
      <c r="L70" s="125"/>
      <c r="M70" s="272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7">D72+D73</f>
        <v>11.2</v>
      </c>
      <c r="E71" s="17">
        <f t="shared" si="37"/>
        <v>9.4699999999999989</v>
      </c>
      <c r="F71" s="17">
        <f t="shared" si="37"/>
        <v>9.3800000000000008</v>
      </c>
      <c r="G71" s="17">
        <f t="shared" si="37"/>
        <v>9.3800000000000008</v>
      </c>
      <c r="H71" s="234">
        <f t="shared" si="36"/>
        <v>99.04963041182684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8">D75+D82</f>
        <v>9.86</v>
      </c>
      <c r="E72" s="91">
        <f t="shared" si="38"/>
        <v>9.379999999999999</v>
      </c>
      <c r="F72" s="91">
        <f t="shared" si="38"/>
        <v>9.3800000000000008</v>
      </c>
      <c r="G72" s="91">
        <f t="shared" si="38"/>
        <v>9.3800000000000008</v>
      </c>
      <c r="H72" s="234">
        <f t="shared" si="36"/>
        <v>100.00000000000003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9">D76+D83</f>
        <v>1.3399999999999999</v>
      </c>
      <c r="E73" s="17">
        <f t="shared" si="39"/>
        <v>0.09</v>
      </c>
      <c r="F73" s="17">
        <f t="shared" si="39"/>
        <v>0</v>
      </c>
      <c r="G73" s="17">
        <f t="shared" si="39"/>
        <v>0</v>
      </c>
      <c r="H73" s="234">
        <f t="shared" si="36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40">D75+D76</f>
        <v>9.379999999999999</v>
      </c>
      <c r="E74" s="96">
        <f t="shared" si="40"/>
        <v>9.379999999999999</v>
      </c>
      <c r="F74" s="96">
        <f t="shared" si="40"/>
        <v>9.3800000000000008</v>
      </c>
      <c r="G74" s="96">
        <f t="shared" si="40"/>
        <v>9.3800000000000008</v>
      </c>
      <c r="H74" s="273">
        <f t="shared" si="36"/>
        <v>100.00000000000003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9" t="s">
        <v>32</v>
      </c>
      <c r="B75" s="98" t="s">
        <v>45</v>
      </c>
      <c r="C75" s="30" t="s">
        <v>18</v>
      </c>
      <c r="D75" s="62">
        <f>5.04+3</f>
        <v>8.0399999999999991</v>
      </c>
      <c r="E75" s="62">
        <f>D75+D76</f>
        <v>9.379999999999999</v>
      </c>
      <c r="F75" s="62">
        <v>9.3800000000000008</v>
      </c>
      <c r="G75" s="62">
        <v>9.3800000000000008</v>
      </c>
      <c r="H75" s="271">
        <f t="shared" si="36"/>
        <v>100.00000000000003</v>
      </c>
      <c r="I75" s="31"/>
      <c r="J75" s="137"/>
      <c r="K75" s="137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41">SUM(D77:D80)</f>
        <v>1.3399999999999999</v>
      </c>
      <c r="E76" s="244">
        <f t="shared" si="41"/>
        <v>0</v>
      </c>
      <c r="F76" s="244">
        <f t="shared" si="41"/>
        <v>0</v>
      </c>
      <c r="G76" s="244">
        <f t="shared" si="41"/>
        <v>0</v>
      </c>
      <c r="H76" s="234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8" t="s">
        <v>47</v>
      </c>
      <c r="B77" s="101" t="s">
        <v>80</v>
      </c>
      <c r="C77" s="48" t="s">
        <v>18</v>
      </c>
      <c r="D77" s="31"/>
      <c r="E77" s="31">
        <v>0</v>
      </c>
      <c r="F77" s="31"/>
      <c r="G77" s="31"/>
      <c r="H77" s="234"/>
      <c r="I77" s="31"/>
      <c r="J77" s="241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8" t="s">
        <v>47</v>
      </c>
      <c r="B78" s="101" t="s">
        <v>81</v>
      </c>
      <c r="C78" s="48" t="s">
        <v>18</v>
      </c>
      <c r="D78" s="31">
        <v>0.5</v>
      </c>
      <c r="E78" s="31">
        <v>0</v>
      </c>
      <c r="F78" s="31"/>
      <c r="G78" s="31"/>
      <c r="H78" s="234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234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8" t="s">
        <v>47</v>
      </c>
      <c r="B80" s="247" t="s">
        <v>83</v>
      </c>
      <c r="C80" s="48" t="s">
        <v>18</v>
      </c>
      <c r="D80" s="31">
        <f>1-0.16</f>
        <v>0.84</v>
      </c>
      <c r="E80" s="31"/>
      <c r="F80" s="31"/>
      <c r="G80" s="31"/>
      <c r="H80" s="234"/>
      <c r="I80" s="31"/>
      <c r="J80" s="241"/>
      <c r="K80" s="241"/>
      <c r="L80" s="241"/>
      <c r="M80" s="241"/>
      <c r="N80" s="24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2">D82+D83</f>
        <v>1.82</v>
      </c>
      <c r="E81" s="96">
        <f t="shared" si="42"/>
        <v>0.09</v>
      </c>
      <c r="F81" s="96">
        <f t="shared" si="42"/>
        <v>0</v>
      </c>
      <c r="G81" s="96">
        <f t="shared" si="42"/>
        <v>0</v>
      </c>
      <c r="H81" s="234">
        <f>F81/E81*100</f>
        <v>0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1.5" customHeight="1" x14ac:dyDescent="0.25">
      <c r="A82" s="117" t="s">
        <v>47</v>
      </c>
      <c r="B82" s="101" t="s">
        <v>85</v>
      </c>
      <c r="C82" s="48" t="s">
        <v>18</v>
      </c>
      <c r="D82" s="76">
        <v>1.82</v>
      </c>
      <c r="E82" s="76">
        <v>0</v>
      </c>
      <c r="F82" s="76"/>
      <c r="G82" s="76"/>
      <c r="H82" s="234"/>
      <c r="I82" s="76"/>
      <c r="J82" s="241"/>
      <c r="K82" s="241"/>
      <c r="L82" s="10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1.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3">SUM(D84:D87)</f>
        <v>0</v>
      </c>
      <c r="E83" s="62">
        <f t="shared" si="43"/>
        <v>0.09</v>
      </c>
      <c r="F83" s="62">
        <f t="shared" si="43"/>
        <v>0</v>
      </c>
      <c r="G83" s="62">
        <f t="shared" si="43"/>
        <v>0</v>
      </c>
      <c r="H83" s="234">
        <f>F83/E83*100</f>
        <v>0</v>
      </c>
      <c r="I83" s="62"/>
      <c r="J83" s="241"/>
      <c r="K83" s="241"/>
      <c r="L83" s="106"/>
      <c r="M83" s="106"/>
      <c r="N83" s="106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234"/>
      <c r="I84" s="31"/>
      <c r="J84" s="106"/>
      <c r="K84" s="106"/>
      <c r="L84" s="106"/>
      <c r="M84" s="106"/>
      <c r="N84" s="106"/>
      <c r="O84" s="2"/>
      <c r="P84" s="2"/>
      <c r="Q84" s="2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234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234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17" t="s">
        <v>47</v>
      </c>
      <c r="B87" s="101" t="s">
        <v>89</v>
      </c>
      <c r="C87" s="48" t="s">
        <v>18</v>
      </c>
      <c r="D87" s="31"/>
      <c r="E87" s="31">
        <v>0.09</v>
      </c>
      <c r="F87" s="31">
        <v>0</v>
      </c>
      <c r="G87" s="31">
        <v>0</v>
      </c>
      <c r="H87" s="234">
        <f t="shared" ref="H87:H91" si="44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38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5">SUM(D89:D93)</f>
        <v>207</v>
      </c>
      <c r="E88" s="17">
        <f t="shared" si="45"/>
        <v>220</v>
      </c>
      <c r="F88" s="17">
        <f t="shared" si="45"/>
        <v>196</v>
      </c>
      <c r="G88" s="17">
        <f t="shared" si="45"/>
        <v>196</v>
      </c>
      <c r="H88" s="234">
        <f t="shared" si="44"/>
        <v>89.090909090909093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19</v>
      </c>
      <c r="E89" s="31">
        <f>19+10</f>
        <v>29</v>
      </c>
      <c r="F89" s="31">
        <v>27</v>
      </c>
      <c r="G89" s="31">
        <f t="shared" ref="G89:G91" si="46">F89</f>
        <v>27</v>
      </c>
      <c r="H89" s="271">
        <f t="shared" si="44"/>
        <v>93.103448275862064</v>
      </c>
      <c r="I89" s="31"/>
      <c r="J89" s="57"/>
      <c r="K89" s="84"/>
      <c r="L89" s="274"/>
      <c r="M89" s="275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32</v>
      </c>
      <c r="E90" s="31">
        <f>20+3</f>
        <v>23</v>
      </c>
      <c r="F90" s="31">
        <v>22</v>
      </c>
      <c r="G90" s="31">
        <f t="shared" si="46"/>
        <v>22</v>
      </c>
      <c r="H90" s="271">
        <f t="shared" si="44"/>
        <v>95.652173913043484</v>
      </c>
      <c r="I90" s="31"/>
      <c r="J90" s="57"/>
      <c r="K90" s="276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18</v>
      </c>
      <c r="E91" s="31">
        <f>38+12</f>
        <v>50</v>
      </c>
      <c r="F91" s="31">
        <v>47</v>
      </c>
      <c r="G91" s="31">
        <f t="shared" si="46"/>
        <v>47</v>
      </c>
      <c r="H91" s="271">
        <f t="shared" si="44"/>
        <v>94</v>
      </c>
      <c r="I91" s="31"/>
      <c r="J91" s="57"/>
      <c r="K91" s="276"/>
      <c r="L91" s="274"/>
      <c r="M91" s="275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1.5" customHeight="1" x14ac:dyDescent="0.25">
      <c r="A92" s="30">
        <v>4</v>
      </c>
      <c r="B92" s="27" t="s">
        <v>99</v>
      </c>
      <c r="C92" s="30" t="s">
        <v>93</v>
      </c>
      <c r="D92" s="31"/>
      <c r="E92" s="31"/>
      <c r="F92" s="31"/>
      <c r="G92" s="31"/>
      <c r="H92" s="234"/>
      <c r="I92" s="31"/>
      <c r="J92" s="28"/>
      <c r="K92" s="28"/>
      <c r="L92" s="277"/>
      <c r="M92" s="275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100</v>
      </c>
      <c r="C93" s="30" t="s">
        <v>93</v>
      </c>
      <c r="D93" s="31">
        <v>138</v>
      </c>
      <c r="E93" s="31">
        <f>131-13</f>
        <v>118</v>
      </c>
      <c r="F93" s="31">
        <v>100</v>
      </c>
      <c r="G93" s="31">
        <f>F93</f>
        <v>100</v>
      </c>
      <c r="H93" s="271">
        <f>F93/E93*100</f>
        <v>84.745762711864401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1.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7">D95</f>
        <v>0</v>
      </c>
      <c r="E94" s="17">
        <f t="shared" si="47"/>
        <v>0</v>
      </c>
      <c r="F94" s="17">
        <f t="shared" si="47"/>
        <v>0</v>
      </c>
      <c r="G94" s="17">
        <f t="shared" si="47"/>
        <v>0</v>
      </c>
      <c r="H94" s="234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8" t="s">
        <v>47</v>
      </c>
      <c r="B95" s="81" t="s">
        <v>103</v>
      </c>
      <c r="C95" s="48" t="s">
        <v>18</v>
      </c>
      <c r="D95" s="31"/>
      <c r="E95" s="31"/>
      <c r="F95" s="31"/>
      <c r="G95" s="31"/>
      <c r="H95" s="234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8">D97+D98</f>
        <v>2.8</v>
      </c>
      <c r="E96" s="17">
        <f t="shared" si="48"/>
        <v>0.64999999999999991</v>
      </c>
      <c r="F96" s="17">
        <f t="shared" si="48"/>
        <v>0</v>
      </c>
      <c r="G96" s="17">
        <f t="shared" si="48"/>
        <v>0</v>
      </c>
      <c r="H96" s="234">
        <f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8" t="s">
        <v>270</v>
      </c>
      <c r="C97" s="48" t="s">
        <v>18</v>
      </c>
      <c r="D97" s="31"/>
      <c r="E97" s="31"/>
      <c r="F97" s="31"/>
      <c r="G97" s="31"/>
      <c r="H97" s="234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33" t="s">
        <v>47</v>
      </c>
      <c r="B98" s="98" t="s">
        <v>110</v>
      </c>
      <c r="C98" s="48" t="s">
        <v>18</v>
      </c>
      <c r="D98" s="31">
        <v>2.8</v>
      </c>
      <c r="E98" s="31">
        <f>1.9-1.25</f>
        <v>0.64999999999999991</v>
      </c>
      <c r="F98" s="31"/>
      <c r="G98" s="31"/>
      <c r="H98" s="234">
        <f>F98/E98*100</f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39370078740157483" right="0.31496062992125984" top="0.55118110236220474" bottom="0.51181102362204722" header="0" footer="0"/>
  <pageSetup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88671875" customWidth="1"/>
    <col min="2" max="2" width="29" customWidth="1"/>
    <col min="3" max="3" width="9.88671875" customWidth="1"/>
    <col min="4" max="5" width="17.77734375" customWidth="1"/>
    <col min="6" max="9" width="12.6640625" customWidth="1"/>
    <col min="10" max="10" width="8.88671875" customWidth="1"/>
    <col min="11" max="11" width="21.21875" customWidth="1"/>
    <col min="12" max="14" width="8.88671875" customWidth="1"/>
    <col min="15" max="22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277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'ĐĂK CHUM II(4)'!A5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2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78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283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77.710000000000008</v>
      </c>
      <c r="E9" s="234">
        <f t="shared" si="0"/>
        <v>103.32</v>
      </c>
      <c r="F9" s="234">
        <f t="shared" si="0"/>
        <v>76.84</v>
      </c>
      <c r="G9" s="234">
        <f t="shared" si="0"/>
        <v>76.240000000000009</v>
      </c>
      <c r="H9" s="234">
        <f t="shared" ref="H9:H24" si="1">F9/E9*100</f>
        <v>74.370886566008522</v>
      </c>
      <c r="I9" s="234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22.91</v>
      </c>
      <c r="F10" s="17">
        <f t="shared" si="2"/>
        <v>4.9000000000000004</v>
      </c>
      <c r="G10" s="17">
        <f t="shared" si="2"/>
        <v>4.9000000000000004</v>
      </c>
      <c r="H10" s="234">
        <f t="shared" si="1"/>
        <v>21.388040157136622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85.805340000000015</v>
      </c>
      <c r="F11" s="17">
        <f t="shared" si="3"/>
        <v>0</v>
      </c>
      <c r="G11" s="17">
        <f t="shared" si="3"/>
        <v>0</v>
      </c>
      <c r="H11" s="234">
        <f t="shared" si="1"/>
        <v>0</v>
      </c>
      <c r="I11" s="17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82.115340000000018</v>
      </c>
      <c r="F12" s="17">
        <f t="shared" si="4"/>
        <v>0</v>
      </c>
      <c r="G12" s="17">
        <f t="shared" si="4"/>
        <v>0</v>
      </c>
      <c r="H12" s="234">
        <f t="shared" si="1"/>
        <v>0</v>
      </c>
      <c r="I12" s="17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21.91</v>
      </c>
      <c r="F13" s="17">
        <f t="shared" si="5"/>
        <v>3.9</v>
      </c>
      <c r="G13" s="17">
        <f t="shared" si="5"/>
        <v>3.9</v>
      </c>
      <c r="H13" s="234">
        <f t="shared" si="1"/>
        <v>17.800091282519396</v>
      </c>
      <c r="I13" s="17"/>
      <c r="J13" s="137"/>
      <c r="K13" s="259"/>
      <c r="L13" s="259"/>
      <c r="M13" s="259"/>
      <c r="N13" s="25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37.47847558192607</v>
      </c>
      <c r="F14" s="31">
        <f t="shared" si="6"/>
        <v>0</v>
      </c>
      <c r="G14" s="31">
        <f t="shared" si="6"/>
        <v>0</v>
      </c>
      <c r="H14" s="234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82.115340000000018</v>
      </c>
      <c r="F15" s="31">
        <f t="shared" si="7"/>
        <v>0</v>
      </c>
      <c r="G15" s="31">
        <f t="shared" si="7"/>
        <v>0</v>
      </c>
      <c r="H15" s="234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3.9</v>
      </c>
      <c r="F16" s="17">
        <v>3.9</v>
      </c>
      <c r="G16" s="17">
        <v>3.9</v>
      </c>
      <c r="H16" s="234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234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13.065000000000001</v>
      </c>
      <c r="F18" s="31">
        <f t="shared" si="8"/>
        <v>0</v>
      </c>
      <c r="G18" s="31">
        <f t="shared" si="8"/>
        <v>0</v>
      </c>
      <c r="H18" s="234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18.010000000000002</v>
      </c>
      <c r="F19" s="17">
        <f t="shared" si="9"/>
        <v>0</v>
      </c>
      <c r="G19" s="17">
        <f t="shared" si="9"/>
        <v>0</v>
      </c>
      <c r="H19" s="234">
        <f t="shared" si="1"/>
        <v>0</v>
      </c>
      <c r="I19" s="17"/>
      <c r="J19" s="28"/>
      <c r="K19" s="28"/>
      <c r="L19" s="28"/>
      <c r="M19" s="46"/>
      <c r="N19" s="46"/>
      <c r="O19" s="90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/>
      <c r="E20" s="31">
        <f>E21/E19*10</f>
        <v>38.340000000000011</v>
      </c>
      <c r="F20" s="31"/>
      <c r="G20" s="31"/>
      <c r="H20" s="234">
        <f t="shared" si="1"/>
        <v>0</v>
      </c>
      <c r="I20" s="31"/>
      <c r="J20" s="28"/>
      <c r="K20" s="28"/>
      <c r="L20" s="28"/>
      <c r="M20" s="46"/>
      <c r="N20" s="46"/>
      <c r="O20" s="90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0">D24+D27</f>
        <v>0</v>
      </c>
      <c r="E21" s="31">
        <f t="shared" si="10"/>
        <v>69.05034000000002</v>
      </c>
      <c r="F21" s="31">
        <f t="shared" si="10"/>
        <v>0</v>
      </c>
      <c r="G21" s="31">
        <f t="shared" si="10"/>
        <v>0</v>
      </c>
      <c r="H21" s="234">
        <f t="shared" si="1"/>
        <v>0</v>
      </c>
      <c r="I21" s="31"/>
      <c r="J21" s="28"/>
      <c r="K21" s="28"/>
      <c r="L21" s="28"/>
      <c r="M21" s="46"/>
      <c r="N21" s="46"/>
      <c r="O21" s="90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2" t="s">
        <v>33</v>
      </c>
      <c r="C22" s="40" t="s">
        <v>18</v>
      </c>
      <c r="D22" s="17"/>
      <c r="E22" s="17">
        <v>18.010000000000002</v>
      </c>
      <c r="F22" s="31">
        <v>0</v>
      </c>
      <c r="G22" s="17">
        <v>0</v>
      </c>
      <c r="H22" s="234">
        <f t="shared" si="1"/>
        <v>0</v>
      </c>
      <c r="I22" s="31"/>
      <c r="J22" s="55"/>
      <c r="K22" s="55"/>
      <c r="L22" s="55"/>
      <c r="M22" s="63"/>
      <c r="N22" s="63"/>
      <c r="O22" s="255"/>
      <c r="P22" s="255"/>
      <c r="Q22" s="255"/>
      <c r="R22" s="255"/>
      <c r="S22" s="255"/>
      <c r="T22" s="237"/>
      <c r="U22" s="90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234">
        <f t="shared" si="1"/>
        <v>0</v>
      </c>
      <c r="I23" s="31"/>
      <c r="J23" s="55"/>
      <c r="K23" s="55"/>
      <c r="L23" s="55"/>
      <c r="M23" s="63"/>
      <c r="N23" s="63"/>
      <c r="O23" s="255"/>
      <c r="P23" s="255"/>
      <c r="Q23" s="255"/>
      <c r="R23" s="255"/>
      <c r="S23" s="255"/>
      <c r="T23" s="237"/>
      <c r="U23" s="90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1">D22*D23/10</f>
        <v>0</v>
      </c>
      <c r="E24" s="31">
        <f t="shared" si="11"/>
        <v>69.05034000000002</v>
      </c>
      <c r="F24" s="31">
        <f t="shared" si="11"/>
        <v>0</v>
      </c>
      <c r="G24" s="31">
        <f t="shared" si="11"/>
        <v>0</v>
      </c>
      <c r="H24" s="234">
        <f t="shared" si="1"/>
        <v>0</v>
      </c>
      <c r="I24" s="31"/>
      <c r="J24" s="55"/>
      <c r="K24" s="55"/>
      <c r="L24" s="55"/>
      <c r="M24" s="63"/>
      <c r="N24" s="63"/>
      <c r="O24" s="255"/>
      <c r="P24" s="255"/>
      <c r="Q24" s="255"/>
      <c r="R24" s="255"/>
      <c r="S24" s="255"/>
      <c r="T24" s="237"/>
      <c r="U24" s="90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2" t="s">
        <v>34</v>
      </c>
      <c r="C25" s="40" t="s">
        <v>18</v>
      </c>
      <c r="D25" s="17"/>
      <c r="E25" s="17"/>
      <c r="F25" s="31">
        <v>0</v>
      </c>
      <c r="G25" s="31">
        <v>0</v>
      </c>
      <c r="H25" s="234"/>
      <c r="I25" s="31"/>
      <c r="J25" s="55"/>
      <c r="K25" s="55"/>
      <c r="L25" s="55"/>
      <c r="M25" s="55"/>
      <c r="N25" s="55"/>
      <c r="O25" s="33"/>
      <c r="P25" s="33"/>
      <c r="Q25" s="256"/>
      <c r="R25" s="256"/>
      <c r="S25" s="256"/>
      <c r="T25" s="1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234"/>
      <c r="I26" s="31"/>
      <c r="J26" s="55"/>
      <c r="K26" s="55"/>
      <c r="L26" s="55"/>
      <c r="M26" s="55"/>
      <c r="N26" s="55"/>
      <c r="O26" s="33"/>
      <c r="P26" s="33"/>
      <c r="Q26" s="256"/>
      <c r="R26" s="256"/>
      <c r="S26" s="256"/>
      <c r="T26" s="1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17">
        <f t="shared" ref="D27:G27" si="12">D25*D26/10</f>
        <v>0</v>
      </c>
      <c r="E27" s="17">
        <f t="shared" si="12"/>
        <v>0</v>
      </c>
      <c r="F27" s="17">
        <f t="shared" si="12"/>
        <v>0</v>
      </c>
      <c r="G27" s="17">
        <f t="shared" si="12"/>
        <v>0</v>
      </c>
      <c r="H27" s="234"/>
      <c r="I27" s="17"/>
      <c r="J27" s="55"/>
      <c r="K27" s="55"/>
      <c r="L27" s="55"/>
      <c r="M27" s="55"/>
      <c r="N27" s="55"/>
      <c r="O27" s="33"/>
      <c r="P27" s="33"/>
      <c r="Q27" s="256"/>
      <c r="R27" s="256"/>
      <c r="S27" s="256"/>
      <c r="T27" s="1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234">
        <f>F28/E28*100</f>
        <v>100</v>
      </c>
      <c r="I28" s="17"/>
      <c r="J28" s="257"/>
      <c r="K28" s="257"/>
      <c r="L28" s="257"/>
      <c r="M28" s="257"/>
      <c r="N28" s="257"/>
      <c r="O28" s="256"/>
      <c r="P28" s="256"/>
      <c r="Q28" s="256"/>
      <c r="R28" s="256"/>
      <c r="S28" s="256"/>
      <c r="T28" s="1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E29" si="14">D30/D28*10</f>
        <v>36.85</v>
      </c>
      <c r="E29" s="31">
        <f t="shared" si="14"/>
        <v>36.9</v>
      </c>
      <c r="F29" s="31">
        <v>0</v>
      </c>
      <c r="G29" s="31">
        <v>0</v>
      </c>
      <c r="H29" s="234"/>
      <c r="I29" s="31"/>
      <c r="J29" s="257"/>
      <c r="K29" s="257"/>
      <c r="L29" s="257"/>
      <c r="M29" s="257"/>
      <c r="N29" s="257"/>
      <c r="O29" s="256"/>
      <c r="P29" s="256"/>
      <c r="Q29" s="256"/>
      <c r="R29" s="256"/>
      <c r="S29" s="256"/>
      <c r="T29" s="1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5">D33+D36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234">
        <f>F30/E30*100</f>
        <v>0</v>
      </c>
      <c r="I30" s="31"/>
      <c r="J30" s="257"/>
      <c r="K30" s="257"/>
      <c r="L30" s="257"/>
      <c r="M30" s="257"/>
      <c r="N30" s="257"/>
      <c r="O30" s="256"/>
      <c r="P30" s="256"/>
      <c r="Q30" s="256"/>
      <c r="R30" s="256"/>
      <c r="S30" s="256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234"/>
      <c r="I31" s="17"/>
      <c r="J31" s="257"/>
      <c r="K31" s="257"/>
      <c r="L31" s="257"/>
      <c r="M31" s="257"/>
      <c r="N31" s="257"/>
      <c r="O31" s="256"/>
      <c r="P31" s="256"/>
      <c r="Q31" s="256"/>
      <c r="R31" s="256"/>
      <c r="S31" s="256"/>
      <c r="T31" s="1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234"/>
      <c r="I32" s="17"/>
      <c r="J32" s="257"/>
      <c r="K32" s="257"/>
      <c r="L32" s="257"/>
      <c r="M32" s="257"/>
      <c r="N32" s="257"/>
      <c r="O32" s="256"/>
      <c r="P32" s="256"/>
      <c r="Q32" s="256"/>
      <c r="R32" s="256"/>
      <c r="S32" s="256"/>
      <c r="T32" s="1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234"/>
      <c r="I33" s="17"/>
      <c r="J33" s="257"/>
      <c r="K33" s="257"/>
      <c r="L33" s="257"/>
      <c r="M33" s="257"/>
      <c r="N33" s="257"/>
      <c r="O33" s="256"/>
      <c r="P33" s="256"/>
      <c r="Q33" s="256"/>
      <c r="R33" s="256"/>
      <c r="S33" s="256"/>
      <c r="T33" s="1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234">
        <f t="shared" ref="H34:H39" si="16">F34/E34*100</f>
        <v>100</v>
      </c>
      <c r="I34" s="31"/>
      <c r="J34" s="257"/>
      <c r="K34" s="257"/>
      <c r="L34" s="257"/>
      <c r="M34" s="257"/>
      <c r="N34" s="257"/>
      <c r="O34" s="256"/>
      <c r="P34" s="256"/>
      <c r="Q34" s="256"/>
      <c r="R34" s="256"/>
      <c r="S34" s="256"/>
      <c r="T34" s="1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234">
        <f t="shared" si="16"/>
        <v>0</v>
      </c>
      <c r="I35" s="31"/>
      <c r="J35" s="257"/>
      <c r="K35" s="257"/>
      <c r="L35" s="257"/>
      <c r="M35" s="257"/>
      <c r="N35" s="257"/>
      <c r="O35" s="256"/>
      <c r="P35" s="256"/>
      <c r="Q35" s="256"/>
      <c r="R35" s="256"/>
      <c r="S35" s="256"/>
      <c r="T35" s="1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234">
        <f t="shared" si="16"/>
        <v>0</v>
      </c>
      <c r="I36" s="31"/>
      <c r="J36" s="257"/>
      <c r="K36" s="240"/>
      <c r="L36" s="258"/>
      <c r="M36" s="258"/>
      <c r="N36" s="258"/>
      <c r="O36" s="258"/>
      <c r="P36" s="255"/>
      <c r="Q36" s="256"/>
      <c r="R36" s="256"/>
      <c r="S36" s="256"/>
      <c r="T36" s="1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12</v>
      </c>
      <c r="E37" s="17">
        <v>11.63</v>
      </c>
      <c r="F37" s="17">
        <v>11.63</v>
      </c>
      <c r="G37" s="17">
        <v>11.63</v>
      </c>
      <c r="H37" s="234">
        <f t="shared" si="16"/>
        <v>100</v>
      </c>
      <c r="I37" s="31"/>
      <c r="J37" s="55"/>
      <c r="K37" s="53"/>
      <c r="L37" s="53"/>
      <c r="M37" s="46"/>
      <c r="N37" s="46"/>
      <c r="O37" s="46"/>
      <c r="P37" s="33"/>
      <c r="Q37" s="33"/>
      <c r="R37" s="33"/>
      <c r="S37" s="33"/>
      <c r="T37" s="33"/>
      <c r="U37" s="33"/>
      <c r="V37" s="33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17"/>
      <c r="E38" s="31">
        <v>140</v>
      </c>
      <c r="F38" s="31"/>
      <c r="G38" s="31"/>
      <c r="H38" s="234">
        <f t="shared" si="16"/>
        <v>0</v>
      </c>
      <c r="I38" s="31"/>
      <c r="J38" s="55"/>
      <c r="K38" s="53"/>
      <c r="L38" s="53"/>
      <c r="M38" s="46"/>
      <c r="N38" s="46"/>
      <c r="O38" s="46"/>
      <c r="P38" s="33"/>
      <c r="Q38" s="33"/>
      <c r="R38" s="33"/>
      <c r="S38" s="33"/>
      <c r="T38" s="33"/>
      <c r="U38" s="33"/>
      <c r="V38" s="33"/>
      <c r="W38" s="1"/>
      <c r="X38" s="1"/>
      <c r="Y38" s="1"/>
      <c r="Z38" s="1"/>
    </row>
    <row r="39" spans="1:26" ht="31.5" customHeight="1" x14ac:dyDescent="0.25">
      <c r="A39" s="9"/>
      <c r="B39" s="49" t="s">
        <v>27</v>
      </c>
      <c r="C39" s="50" t="s">
        <v>21</v>
      </c>
      <c r="D39" s="260"/>
      <c r="E39" s="51">
        <f t="shared" ref="E39:G39" si="18">E37*E38/10</f>
        <v>162.82</v>
      </c>
      <c r="F39" s="51">
        <f t="shared" si="18"/>
        <v>0</v>
      </c>
      <c r="G39" s="51">
        <f t="shared" si="18"/>
        <v>0</v>
      </c>
      <c r="H39" s="234">
        <f t="shared" si="16"/>
        <v>0</v>
      </c>
      <c r="I39" s="31"/>
      <c r="J39" s="55"/>
      <c r="K39" s="53"/>
      <c r="L39" s="53"/>
      <c r="M39" s="46"/>
      <c r="N39" s="46"/>
      <c r="O39" s="46"/>
      <c r="P39" s="33"/>
      <c r="Q39" s="33"/>
      <c r="R39" s="33"/>
      <c r="S39" s="33"/>
      <c r="T39" s="33"/>
      <c r="U39" s="33"/>
      <c r="V39" s="33"/>
      <c r="W39" s="1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267"/>
      <c r="G40" s="31"/>
      <c r="H40" s="234"/>
      <c r="I40" s="31"/>
      <c r="J40" s="55"/>
      <c r="K40" s="53"/>
      <c r="L40" s="53"/>
      <c r="M40" s="46"/>
      <c r="N40" s="46"/>
      <c r="O40" s="46"/>
      <c r="P40" s="33"/>
      <c r="Q40" s="33"/>
      <c r="R40" s="33"/>
      <c r="S40" s="33"/>
      <c r="T40" s="33"/>
      <c r="U40" s="33"/>
      <c r="V40" s="33"/>
      <c r="W40" s="1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267"/>
      <c r="G41" s="31"/>
      <c r="H41" s="234">
        <f>F41/E41*100</f>
        <v>0</v>
      </c>
      <c r="I41" s="31"/>
      <c r="J41" s="55"/>
      <c r="K41" s="53"/>
      <c r="L41" s="53"/>
      <c r="M41" s="46"/>
      <c r="N41" s="46"/>
      <c r="O41" s="46"/>
      <c r="P41" s="33"/>
      <c r="Q41" s="33"/>
      <c r="R41" s="33"/>
      <c r="S41" s="33"/>
      <c r="T41" s="33"/>
      <c r="U41" s="33"/>
      <c r="V41" s="33"/>
      <c r="W41" s="1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19">E40*E41/10</f>
        <v>0</v>
      </c>
      <c r="F42" s="31">
        <f t="shared" si="19"/>
        <v>0</v>
      </c>
      <c r="G42" s="31">
        <f t="shared" si="19"/>
        <v>0</v>
      </c>
      <c r="H42" s="234"/>
      <c r="I42" s="31"/>
      <c r="J42" s="55"/>
      <c r="K42" s="53"/>
      <c r="L42" s="53"/>
      <c r="M42" s="46"/>
      <c r="N42" s="46"/>
      <c r="O42" s="46"/>
      <c r="P42" s="33"/>
      <c r="Q42" s="33"/>
      <c r="R42" s="33"/>
      <c r="S42" s="33"/>
      <c r="T42" s="33"/>
      <c r="U42" s="33"/>
      <c r="V42" s="33"/>
      <c r="W42" s="1"/>
      <c r="X42" s="1"/>
      <c r="Y42" s="1"/>
      <c r="Z42" s="1"/>
    </row>
    <row r="43" spans="1:26" ht="31.5" customHeight="1" x14ac:dyDescent="0.25">
      <c r="A43" s="268">
        <v>4</v>
      </c>
      <c r="B43" s="16" t="s">
        <v>41</v>
      </c>
      <c r="C43" s="15" t="s">
        <v>18</v>
      </c>
      <c r="D43" s="234">
        <v>0.5</v>
      </c>
      <c r="E43" s="234">
        <v>0.5</v>
      </c>
      <c r="F43" s="17">
        <v>0.27</v>
      </c>
      <c r="G43" s="17">
        <f>F43</f>
        <v>0.27</v>
      </c>
      <c r="H43" s="234">
        <f t="shared" ref="H43:H50" si="20">F43/E43*100</f>
        <v>54</v>
      </c>
      <c r="I43" s="17"/>
      <c r="J43" s="137"/>
      <c r="K43" s="35"/>
      <c r="L43" s="35"/>
      <c r="M43" s="35"/>
      <c r="N43" s="35"/>
      <c r="O43" s="3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234">
        <f t="shared" si="20"/>
        <v>0</v>
      </c>
      <c r="I44" s="31"/>
      <c r="J44" s="137"/>
      <c r="K44" s="35"/>
      <c r="L44" s="84"/>
      <c r="M44" s="84"/>
      <c r="N44" s="84"/>
      <c r="O44" s="84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9" t="s">
        <v>27</v>
      </c>
      <c r="C45" s="50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234">
        <f t="shared" si="20"/>
        <v>0</v>
      </c>
      <c r="I45" s="31"/>
      <c r="J45" s="137"/>
      <c r="K45" s="238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40.1</v>
      </c>
      <c r="E46" s="17">
        <f t="shared" si="22"/>
        <v>49</v>
      </c>
      <c r="F46" s="17">
        <f t="shared" si="22"/>
        <v>41</v>
      </c>
      <c r="G46" s="17">
        <f t="shared" si="22"/>
        <v>40.4</v>
      </c>
      <c r="H46" s="234">
        <f t="shared" si="20"/>
        <v>83.673469387755105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3">D48+D49</f>
        <v>35.6</v>
      </c>
      <c r="E47" s="17">
        <f t="shared" si="23"/>
        <v>43.6</v>
      </c>
      <c r="F47" s="17">
        <f t="shared" si="23"/>
        <v>36.200000000000003</v>
      </c>
      <c r="G47" s="17">
        <f t="shared" si="23"/>
        <v>35.6</v>
      </c>
      <c r="H47" s="234">
        <f t="shared" si="20"/>
        <v>83.027522935779814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9" t="s">
        <v>32</v>
      </c>
      <c r="B48" s="60" t="s">
        <v>45</v>
      </c>
      <c r="C48" s="61" t="s">
        <v>18</v>
      </c>
      <c r="D48" s="31">
        <v>20.7</v>
      </c>
      <c r="E48" s="31">
        <f>D48+D49</f>
        <v>35.6</v>
      </c>
      <c r="F48" s="31">
        <v>35.6</v>
      </c>
      <c r="G48" s="31">
        <v>35.6</v>
      </c>
      <c r="H48" s="234">
        <f t="shared" si="20"/>
        <v>100</v>
      </c>
      <c r="I48" s="31"/>
      <c r="J48" s="55"/>
      <c r="K48" s="55"/>
      <c r="L48" s="55"/>
      <c r="M48" s="55"/>
      <c r="N48" s="55"/>
      <c r="O48" s="3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4">D50+D51</f>
        <v>14.9</v>
      </c>
      <c r="E49" s="17">
        <f t="shared" si="24"/>
        <v>8</v>
      </c>
      <c r="F49" s="17">
        <f t="shared" si="24"/>
        <v>0.6</v>
      </c>
      <c r="G49" s="17">
        <f t="shared" si="24"/>
        <v>0</v>
      </c>
      <c r="H49" s="234">
        <f t="shared" si="20"/>
        <v>7.5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61" t="s">
        <v>47</v>
      </c>
      <c r="B50" s="66" t="s">
        <v>269</v>
      </c>
      <c r="C50" s="61" t="s">
        <v>18</v>
      </c>
      <c r="D50" s="31">
        <v>14.9</v>
      </c>
      <c r="E50" s="31">
        <v>8</v>
      </c>
      <c r="F50" s="31">
        <v>0.6</v>
      </c>
      <c r="G50" s="31">
        <v>0</v>
      </c>
      <c r="H50" s="234">
        <f t="shared" si="20"/>
        <v>7.5</v>
      </c>
      <c r="I50" s="31"/>
      <c r="J50" s="35"/>
      <c r="K50" s="137"/>
      <c r="L50" s="137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61" t="s">
        <v>47</v>
      </c>
      <c r="B51" s="66" t="s">
        <v>49</v>
      </c>
      <c r="C51" s="30" t="s">
        <v>18</v>
      </c>
      <c r="D51" s="31"/>
      <c r="E51" s="31"/>
      <c r="F51" s="31"/>
      <c r="G51" s="31"/>
      <c r="H51" s="234"/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11.46</v>
      </c>
      <c r="E52" s="17">
        <f t="shared" si="25"/>
        <v>17.594999999999999</v>
      </c>
      <c r="F52" s="17">
        <f t="shared" si="25"/>
        <v>17.600000000000001</v>
      </c>
      <c r="G52" s="17">
        <f t="shared" si="25"/>
        <v>17.600000000000001</v>
      </c>
      <c r="H52" s="234">
        <f t="shared" ref="H52:H53" si="26">F52/E52*100</f>
        <v>100.02841716396705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71" t="s">
        <v>47</v>
      </c>
      <c r="B53" s="66" t="s">
        <v>51</v>
      </c>
      <c r="C53" s="30" t="s">
        <v>18</v>
      </c>
      <c r="D53" s="31">
        <f>13.46-5</f>
        <v>8.4600000000000009</v>
      </c>
      <c r="E53" s="31">
        <f>D48*85%</f>
        <v>17.594999999999999</v>
      </c>
      <c r="F53" s="31">
        <v>17.600000000000001</v>
      </c>
      <c r="G53" s="31">
        <v>17.600000000000001</v>
      </c>
      <c r="H53" s="271">
        <f t="shared" si="26"/>
        <v>100.02841716396705</v>
      </c>
      <c r="I53" s="31"/>
      <c r="J53" s="137"/>
      <c r="K53" s="137"/>
      <c r="L53" s="137"/>
      <c r="M53" s="238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6" t="s">
        <v>52</v>
      </c>
      <c r="C54" s="30" t="s">
        <v>18</v>
      </c>
      <c r="D54" s="31">
        <v>3</v>
      </c>
      <c r="E54" s="31"/>
      <c r="F54" s="31"/>
      <c r="G54" s="31"/>
      <c r="H54" s="271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4.5</v>
      </c>
      <c r="E55" s="17">
        <f t="shared" si="27"/>
        <v>5.4</v>
      </c>
      <c r="F55" s="17">
        <f t="shared" si="27"/>
        <v>4.8</v>
      </c>
      <c r="G55" s="17">
        <f t="shared" si="27"/>
        <v>4.8</v>
      </c>
      <c r="H55" s="234">
        <f t="shared" ref="H55:H63" si="28">F55/E55*100</f>
        <v>88.888888888888886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60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271">
        <f t="shared" si="28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9">D58+D61</f>
        <v>0</v>
      </c>
      <c r="E57" s="31">
        <f t="shared" si="29"/>
        <v>0.60000000000000009</v>
      </c>
      <c r="F57" s="31">
        <f t="shared" si="29"/>
        <v>0</v>
      </c>
      <c r="G57" s="31">
        <f t="shared" si="29"/>
        <v>0</v>
      </c>
      <c r="H57" s="234">
        <f t="shared" si="28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30">D59+D60</f>
        <v>0</v>
      </c>
      <c r="E58" s="76">
        <f t="shared" si="30"/>
        <v>0.30000000000000004</v>
      </c>
      <c r="F58" s="76">
        <f t="shared" si="30"/>
        <v>0</v>
      </c>
      <c r="G58" s="76">
        <f t="shared" si="30"/>
        <v>0</v>
      </c>
      <c r="H58" s="234">
        <f t="shared" si="28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1.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234">
        <f t="shared" si="28"/>
        <v>0</v>
      </c>
      <c r="I59" s="31"/>
      <c r="J59" s="35"/>
      <c r="K59" s="240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234">
        <f t="shared" si="28"/>
        <v>0</v>
      </c>
      <c r="I60" s="31"/>
      <c r="J60" s="35"/>
      <c r="K60" s="240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1">D62+D63</f>
        <v>0</v>
      </c>
      <c r="E61" s="76">
        <f t="shared" si="31"/>
        <v>0.30000000000000004</v>
      </c>
      <c r="F61" s="76">
        <f t="shared" si="31"/>
        <v>0</v>
      </c>
      <c r="G61" s="76">
        <f t="shared" si="31"/>
        <v>0</v>
      </c>
      <c r="H61" s="234">
        <f t="shared" si="28"/>
        <v>0</v>
      </c>
      <c r="I61" s="76"/>
      <c r="J61" s="35"/>
      <c r="K61" s="106"/>
      <c r="L61" s="241"/>
      <c r="M61" s="241"/>
      <c r="N61" s="24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1.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0.2</v>
      </c>
      <c r="F62" s="31">
        <v>0</v>
      </c>
      <c r="G62" s="31">
        <v>0</v>
      </c>
      <c r="H62" s="234">
        <f t="shared" si="28"/>
        <v>0</v>
      </c>
      <c r="I62" s="31"/>
      <c r="J62" s="35"/>
      <c r="K62" s="240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234">
        <f t="shared" si="28"/>
        <v>0</v>
      </c>
      <c r="I63" s="31"/>
      <c r="J63" s="35"/>
      <c r="K63" s="240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2">D65+D66</f>
        <v>0</v>
      </c>
      <c r="E64" s="17">
        <f t="shared" si="32"/>
        <v>0</v>
      </c>
      <c r="F64" s="17">
        <f t="shared" si="32"/>
        <v>0</v>
      </c>
      <c r="G64" s="17">
        <f t="shared" si="32"/>
        <v>0</v>
      </c>
      <c r="H64" s="234"/>
      <c r="I64" s="17"/>
      <c r="J64" s="137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234"/>
      <c r="I65" s="31"/>
      <c r="J65" s="137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234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3">D68+D71</f>
        <v>24.11</v>
      </c>
      <c r="E67" s="17">
        <f t="shared" si="33"/>
        <v>19.279999999999998</v>
      </c>
      <c r="F67" s="17">
        <f t="shared" si="33"/>
        <v>19.04</v>
      </c>
      <c r="G67" s="17">
        <f t="shared" si="33"/>
        <v>19.04</v>
      </c>
      <c r="H67" s="234">
        <f>F67/E67*100</f>
        <v>98.755186721991706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4">D69+D70</f>
        <v>0</v>
      </c>
      <c r="E68" s="17">
        <f t="shared" si="34"/>
        <v>0</v>
      </c>
      <c r="F68" s="17">
        <f t="shared" si="34"/>
        <v>0</v>
      </c>
      <c r="G68" s="17">
        <f t="shared" si="34"/>
        <v>0</v>
      </c>
      <c r="H68" s="234"/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234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60" t="s">
        <v>70</v>
      </c>
      <c r="C70" s="30" t="s">
        <v>18</v>
      </c>
      <c r="D70" s="31"/>
      <c r="E70" s="31">
        <v>0</v>
      </c>
      <c r="F70" s="31"/>
      <c r="G70" s="31"/>
      <c r="H70" s="234"/>
      <c r="I70" s="31"/>
      <c r="J70" s="137"/>
      <c r="K70" s="55"/>
      <c r="L70" s="55"/>
      <c r="M70" s="278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5">D72+D73</f>
        <v>24.11</v>
      </c>
      <c r="E71" s="17">
        <f t="shared" si="35"/>
        <v>19.279999999999998</v>
      </c>
      <c r="F71" s="17">
        <f t="shared" si="35"/>
        <v>19.04</v>
      </c>
      <c r="G71" s="17">
        <f t="shared" si="35"/>
        <v>19.04</v>
      </c>
      <c r="H71" s="234">
        <f t="shared" ref="H71:H75" si="36">F71/E71*100</f>
        <v>98.755186721991706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7">D75+D82</f>
        <v>23.11</v>
      </c>
      <c r="E72" s="91">
        <f t="shared" si="37"/>
        <v>19.04</v>
      </c>
      <c r="F72" s="91">
        <f t="shared" si="37"/>
        <v>19.04</v>
      </c>
      <c r="G72" s="91">
        <f t="shared" si="37"/>
        <v>19.04</v>
      </c>
      <c r="H72" s="234">
        <f t="shared" si="36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8">D76+D83</f>
        <v>1</v>
      </c>
      <c r="E73" s="17">
        <f t="shared" si="38"/>
        <v>0.24</v>
      </c>
      <c r="F73" s="17">
        <f t="shared" si="38"/>
        <v>0</v>
      </c>
      <c r="G73" s="17">
        <f t="shared" si="38"/>
        <v>0</v>
      </c>
      <c r="H73" s="234">
        <f t="shared" si="36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39">D75+D76</f>
        <v>18.04</v>
      </c>
      <c r="E74" s="96">
        <f t="shared" si="39"/>
        <v>18.04</v>
      </c>
      <c r="F74" s="96">
        <f t="shared" si="39"/>
        <v>18.04</v>
      </c>
      <c r="G74" s="96">
        <f t="shared" si="39"/>
        <v>18.04</v>
      </c>
      <c r="H74" s="273">
        <f t="shared" si="36"/>
        <v>100</v>
      </c>
      <c r="I74" s="96"/>
      <c r="J74" s="243"/>
      <c r="K74" s="243"/>
      <c r="L74" s="108"/>
      <c r="M74" s="108"/>
      <c r="N74" s="108"/>
      <c r="O74" s="108"/>
      <c r="P74" s="108"/>
      <c r="Q74" s="108"/>
      <c r="R74" s="2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9" t="s">
        <v>32</v>
      </c>
      <c r="B75" s="98" t="s">
        <v>45</v>
      </c>
      <c r="C75" s="30" t="s">
        <v>18</v>
      </c>
      <c r="D75" s="62">
        <f>14.04+4</f>
        <v>18.04</v>
      </c>
      <c r="E75" s="62">
        <f>D75+D76</f>
        <v>18.04</v>
      </c>
      <c r="F75" s="62">
        <v>18.04</v>
      </c>
      <c r="G75" s="62">
        <v>18.04</v>
      </c>
      <c r="H75" s="271">
        <f t="shared" si="36"/>
        <v>100</v>
      </c>
      <c r="I75" s="31"/>
      <c r="J75" s="137"/>
      <c r="K75" s="137"/>
      <c r="L75" s="28"/>
      <c r="M75" s="28"/>
      <c r="N75" s="28"/>
      <c r="O75" s="2"/>
      <c r="P75" s="2"/>
      <c r="Q75" s="2"/>
      <c r="R75" s="2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40">SUM(D77:D80)</f>
        <v>0</v>
      </c>
      <c r="E76" s="244">
        <f t="shared" si="40"/>
        <v>0</v>
      </c>
      <c r="F76" s="244">
        <f t="shared" si="40"/>
        <v>0</v>
      </c>
      <c r="G76" s="244">
        <f t="shared" si="40"/>
        <v>0</v>
      </c>
      <c r="H76" s="234"/>
      <c r="I76" s="244"/>
      <c r="J76" s="241"/>
      <c r="K76" s="241"/>
      <c r="L76" s="106"/>
      <c r="M76" s="106"/>
      <c r="N76" s="106"/>
      <c r="O76" s="2"/>
      <c r="P76" s="2"/>
      <c r="Q76" s="2"/>
      <c r="R76" s="2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8" t="s">
        <v>47</v>
      </c>
      <c r="B77" s="101" t="s">
        <v>80</v>
      </c>
      <c r="C77" s="48" t="s">
        <v>18</v>
      </c>
      <c r="D77" s="31"/>
      <c r="E77" s="31"/>
      <c r="F77" s="31"/>
      <c r="G77" s="31"/>
      <c r="H77" s="271"/>
      <c r="I77" s="31"/>
      <c r="J77" s="241"/>
      <c r="K77" s="241"/>
      <c r="L77" s="106"/>
      <c r="M77" s="246"/>
      <c r="N77" s="246"/>
      <c r="O77" s="2"/>
      <c r="P77" s="38"/>
      <c r="Q77" s="38"/>
      <c r="R77" s="2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31"/>
      <c r="H78" s="271"/>
      <c r="I78" s="31"/>
      <c r="J78" s="241"/>
      <c r="K78" s="241"/>
      <c r="L78" s="106"/>
      <c r="M78" s="106"/>
      <c r="N78" s="106"/>
      <c r="O78" s="2"/>
      <c r="P78" s="2"/>
      <c r="Q78" s="2"/>
      <c r="R78" s="2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271"/>
      <c r="I79" s="31"/>
      <c r="J79" s="241"/>
      <c r="K79" s="241"/>
      <c r="L79" s="106"/>
      <c r="M79" s="106"/>
      <c r="N79" s="106"/>
      <c r="O79" s="2"/>
      <c r="P79" s="2"/>
      <c r="Q79" s="2"/>
      <c r="R79" s="2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8" t="s">
        <v>47</v>
      </c>
      <c r="B80" s="247" t="s">
        <v>83</v>
      </c>
      <c r="C80" s="48" t="s">
        <v>18</v>
      </c>
      <c r="D80" s="31"/>
      <c r="E80" s="31"/>
      <c r="F80" s="31"/>
      <c r="G80" s="31"/>
      <c r="H80" s="271"/>
      <c r="I80" s="31"/>
      <c r="J80" s="241"/>
      <c r="K80" s="241"/>
      <c r="L80" s="106"/>
      <c r="M80" s="106"/>
      <c r="N80" s="106"/>
      <c r="O80" s="2"/>
      <c r="P80" s="2"/>
      <c r="Q80" s="2"/>
      <c r="R80" s="2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1">D82+D83</f>
        <v>6.07</v>
      </c>
      <c r="E81" s="96">
        <f t="shared" si="41"/>
        <v>1.24</v>
      </c>
      <c r="F81" s="96">
        <f t="shared" si="41"/>
        <v>1</v>
      </c>
      <c r="G81" s="96">
        <f t="shared" si="41"/>
        <v>1</v>
      </c>
      <c r="H81" s="234">
        <f t="shared" ref="H81:H83" si="42">F81/E81*100</f>
        <v>80.645161290322591</v>
      </c>
      <c r="I81" s="96"/>
      <c r="J81" s="243"/>
      <c r="K81" s="243"/>
      <c r="L81" s="108"/>
      <c r="M81" s="108"/>
      <c r="N81" s="108"/>
      <c r="O81" s="108"/>
      <c r="P81" s="108"/>
      <c r="Q81" s="108"/>
      <c r="R81" s="109"/>
      <c r="S81" s="110"/>
      <c r="T81" s="110"/>
      <c r="U81" s="110"/>
      <c r="V81" s="110"/>
      <c r="W81" s="110"/>
      <c r="X81" s="110"/>
      <c r="Y81" s="110"/>
      <c r="Z81" s="110"/>
    </row>
    <row r="82" spans="1:26" ht="31.5" customHeight="1" x14ac:dyDescent="0.25">
      <c r="A82" s="117" t="s">
        <v>47</v>
      </c>
      <c r="B82" s="101" t="s">
        <v>85</v>
      </c>
      <c r="C82" s="48" t="s">
        <v>18</v>
      </c>
      <c r="D82" s="76">
        <v>5.07</v>
      </c>
      <c r="E82" s="76">
        <v>1</v>
      </c>
      <c r="F82" s="76">
        <v>1</v>
      </c>
      <c r="G82" s="76">
        <v>1</v>
      </c>
      <c r="H82" s="271">
        <f t="shared" si="42"/>
        <v>100</v>
      </c>
      <c r="I82" s="76"/>
      <c r="J82" s="241"/>
      <c r="K82" s="245"/>
      <c r="L82" s="106"/>
      <c r="M82" s="106"/>
      <c r="N82" s="106"/>
      <c r="O82" s="79"/>
      <c r="P82" s="79"/>
      <c r="Q82" s="79"/>
      <c r="R82" s="79"/>
      <c r="S82" s="80"/>
      <c r="T82" s="80"/>
      <c r="U82" s="80"/>
      <c r="V82" s="80"/>
      <c r="W82" s="80"/>
      <c r="X82" s="80"/>
      <c r="Y82" s="80"/>
      <c r="Z82" s="80"/>
    </row>
    <row r="83" spans="1:26" ht="31.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3">SUM(D84:D87)</f>
        <v>1</v>
      </c>
      <c r="E83" s="62">
        <f t="shared" si="43"/>
        <v>0.24</v>
      </c>
      <c r="F83" s="62">
        <f t="shared" si="43"/>
        <v>0</v>
      </c>
      <c r="G83" s="62">
        <f t="shared" si="43"/>
        <v>0</v>
      </c>
      <c r="H83" s="234">
        <f t="shared" si="42"/>
        <v>0</v>
      </c>
      <c r="I83" s="62"/>
      <c r="J83" s="241"/>
      <c r="K83" s="241"/>
      <c r="L83" s="241"/>
      <c r="M83" s="241"/>
      <c r="N83" s="24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234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234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234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17" t="s">
        <v>47</v>
      </c>
      <c r="B87" s="101" t="s">
        <v>89</v>
      </c>
      <c r="C87" s="48" t="s">
        <v>18</v>
      </c>
      <c r="D87" s="31">
        <v>1</v>
      </c>
      <c r="E87" s="31">
        <v>0.24</v>
      </c>
      <c r="F87" s="31">
        <v>0</v>
      </c>
      <c r="G87" s="31">
        <v>0</v>
      </c>
      <c r="H87" s="234">
        <f t="shared" ref="H87:H91" si="44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38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5">SUM(D89:D93)</f>
        <v>567</v>
      </c>
      <c r="E88" s="17">
        <f t="shared" si="45"/>
        <v>548</v>
      </c>
      <c r="F88" s="17">
        <f t="shared" si="45"/>
        <v>459</v>
      </c>
      <c r="G88" s="17">
        <f t="shared" si="45"/>
        <v>459</v>
      </c>
      <c r="H88" s="234">
        <f t="shared" si="44"/>
        <v>83.759124087591246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53</v>
      </c>
      <c r="E89" s="31">
        <f>95+51</f>
        <v>146</v>
      </c>
      <c r="F89" s="31">
        <v>144</v>
      </c>
      <c r="G89" s="31">
        <f t="shared" ref="G89:G91" si="46">F89</f>
        <v>144</v>
      </c>
      <c r="H89" s="271">
        <f t="shared" si="44"/>
        <v>98.630136986301366</v>
      </c>
      <c r="I89" s="31"/>
      <c r="J89" s="57"/>
      <c r="K89" s="279"/>
      <c r="L89" s="274"/>
      <c r="M89" s="275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f>88-5</f>
        <v>83</v>
      </c>
      <c r="E90" s="31">
        <f>40+6</f>
        <v>46</v>
      </c>
      <c r="F90" s="31">
        <v>43</v>
      </c>
      <c r="G90" s="31">
        <f t="shared" si="46"/>
        <v>43</v>
      </c>
      <c r="H90" s="271">
        <f t="shared" si="44"/>
        <v>93.478260869565219</v>
      </c>
      <c r="I90" s="31"/>
      <c r="J90" s="57"/>
      <c r="K90" s="279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f>50-5</f>
        <v>45</v>
      </c>
      <c r="E91" s="31">
        <f>20+6</f>
        <v>26</v>
      </c>
      <c r="F91" s="31">
        <v>22</v>
      </c>
      <c r="G91" s="31">
        <f t="shared" si="46"/>
        <v>22</v>
      </c>
      <c r="H91" s="271">
        <f t="shared" si="44"/>
        <v>84.615384615384613</v>
      </c>
      <c r="I91" s="31"/>
      <c r="J91" s="57"/>
      <c r="K91" s="279"/>
      <c r="L91" s="274"/>
      <c r="M91" s="275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1.5" customHeight="1" x14ac:dyDescent="0.25">
      <c r="A92" s="30">
        <v>4</v>
      </c>
      <c r="B92" s="27" t="s">
        <v>99</v>
      </c>
      <c r="C92" s="30" t="s">
        <v>93</v>
      </c>
      <c r="D92" s="31"/>
      <c r="E92" s="31">
        <v>0</v>
      </c>
      <c r="F92" s="31"/>
      <c r="G92" s="31"/>
      <c r="H92" s="234"/>
      <c r="I92" s="31"/>
      <c r="J92" s="28"/>
      <c r="K92" s="55"/>
      <c r="L92" s="277"/>
      <c r="M92" s="275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100</v>
      </c>
      <c r="C93" s="30" t="s">
        <v>93</v>
      </c>
      <c r="D93" s="31">
        <v>386</v>
      </c>
      <c r="E93" s="31">
        <f>365-35</f>
        <v>330</v>
      </c>
      <c r="F93" s="31">
        <v>250</v>
      </c>
      <c r="G93" s="31">
        <f>F93</f>
        <v>250</v>
      </c>
      <c r="H93" s="271">
        <f>F93/E93*100</f>
        <v>75.757575757575751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1.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7">D95</f>
        <v>0</v>
      </c>
      <c r="E94" s="17">
        <f t="shared" si="47"/>
        <v>0</v>
      </c>
      <c r="F94" s="17">
        <f t="shared" si="47"/>
        <v>0</v>
      </c>
      <c r="G94" s="17">
        <f t="shared" si="47"/>
        <v>0</v>
      </c>
      <c r="H94" s="234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8" t="s">
        <v>47</v>
      </c>
      <c r="B95" s="81" t="s">
        <v>103</v>
      </c>
      <c r="C95" s="48" t="s">
        <v>18</v>
      </c>
      <c r="D95" s="31"/>
      <c r="E95" s="31"/>
      <c r="F95" s="31"/>
      <c r="G95" s="31"/>
      <c r="H95" s="234"/>
      <c r="I95" s="31"/>
      <c r="J95" s="35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8">D97+D98</f>
        <v>0</v>
      </c>
      <c r="E96" s="17">
        <f t="shared" si="48"/>
        <v>0</v>
      </c>
      <c r="F96" s="17">
        <f t="shared" si="48"/>
        <v>0</v>
      </c>
      <c r="G96" s="17">
        <f t="shared" si="48"/>
        <v>0</v>
      </c>
      <c r="H96" s="234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8" t="s">
        <v>270</v>
      </c>
      <c r="C97" s="48" t="s">
        <v>18</v>
      </c>
      <c r="D97" s="31"/>
      <c r="E97" s="31"/>
      <c r="F97" s="31"/>
      <c r="G97" s="31"/>
      <c r="H97" s="234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33" t="s">
        <v>47</v>
      </c>
      <c r="B98" s="98" t="s">
        <v>110</v>
      </c>
      <c r="C98" s="48" t="s">
        <v>18</v>
      </c>
      <c r="D98" s="31"/>
      <c r="E98" s="31"/>
      <c r="F98" s="31"/>
      <c r="G98" s="31"/>
      <c r="H98" s="234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3307086614173229" right="0.35433070866141736" top="0.51181102362204722" bottom="0.43307086614173229" header="0" footer="0"/>
  <pageSetup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6640625" customWidth="1"/>
    <col min="2" max="2" width="30.33203125" customWidth="1"/>
    <col min="3" max="3" width="9.77734375" customWidth="1"/>
    <col min="4" max="5" width="18.109375" customWidth="1"/>
    <col min="6" max="8" width="12.6640625" customWidth="1"/>
    <col min="9" max="9" width="11.21875" customWidth="1"/>
    <col min="10" max="10" width="8.88671875" customWidth="1"/>
    <col min="11" max="11" width="19.33203125" customWidth="1"/>
    <col min="12" max="14" width="8.88671875" customWidth="1"/>
    <col min="15" max="24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278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'TU CẤP(5)'!A5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38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143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71.73</v>
      </c>
      <c r="E9" s="17">
        <f t="shared" si="0"/>
        <v>75.790000000000006</v>
      </c>
      <c r="F9" s="17">
        <f t="shared" si="0"/>
        <v>59.64</v>
      </c>
      <c r="G9" s="17">
        <f t="shared" si="0"/>
        <v>59.54</v>
      </c>
      <c r="H9" s="17">
        <f t="shared" ref="H9:H19" si="1">F9/E9*100</f>
        <v>78.691120200554153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7.57</v>
      </c>
      <c r="F10" s="17">
        <f t="shared" si="2"/>
        <v>2.17</v>
      </c>
      <c r="G10" s="17">
        <f t="shared" si="2"/>
        <v>2.17</v>
      </c>
      <c r="H10" s="17">
        <f t="shared" si="1"/>
        <v>28.66578599735799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31">
        <f t="shared" ref="D11:G11" si="3">D12+D30</f>
        <v>3.6850000000000001</v>
      </c>
      <c r="E11" s="31">
        <f t="shared" si="3"/>
        <v>28.313100000000002</v>
      </c>
      <c r="F11" s="31">
        <f t="shared" si="3"/>
        <v>0</v>
      </c>
      <c r="G11" s="31">
        <f t="shared" si="3"/>
        <v>0</v>
      </c>
      <c r="H11" s="17">
        <f t="shared" si="1"/>
        <v>0</v>
      </c>
      <c r="I11" s="31"/>
      <c r="J11" s="236"/>
      <c r="K11" s="236"/>
      <c r="L11" s="236"/>
      <c r="M11" s="236"/>
      <c r="N11" s="236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31">
        <f t="shared" ref="D12:G12" si="4">D15</f>
        <v>0</v>
      </c>
      <c r="E12" s="31">
        <f t="shared" si="4"/>
        <v>24.623100000000001</v>
      </c>
      <c r="F12" s="31">
        <f t="shared" si="4"/>
        <v>0</v>
      </c>
      <c r="G12" s="31">
        <f t="shared" si="4"/>
        <v>0</v>
      </c>
      <c r="H12" s="17">
        <f t="shared" si="1"/>
        <v>0</v>
      </c>
      <c r="I12" s="31"/>
      <c r="J12" s="236"/>
      <c r="K12" s="236"/>
      <c r="L12" s="236"/>
      <c r="M12" s="236"/>
      <c r="N12" s="236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6.57</v>
      </c>
      <c r="F13" s="17">
        <f t="shared" si="5"/>
        <v>1.17</v>
      </c>
      <c r="G13" s="17">
        <f t="shared" si="5"/>
        <v>1.17</v>
      </c>
      <c r="H13" s="17">
        <f t="shared" si="1"/>
        <v>17.80821917808219</v>
      </c>
      <c r="I13" s="17"/>
      <c r="J13" s="137"/>
      <c r="K13" s="253"/>
      <c r="L13" s="253"/>
      <c r="M13" s="253"/>
      <c r="N13" s="1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37.478082191780821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37"/>
      <c r="K14" s="137"/>
      <c r="L14" s="137"/>
      <c r="M14" s="137"/>
      <c r="N14" s="1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24.623100000000001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37"/>
      <c r="K15" s="137"/>
      <c r="L15" s="137"/>
      <c r="M15" s="137"/>
      <c r="N15" s="1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1.17</v>
      </c>
      <c r="F16" s="17">
        <v>1.17</v>
      </c>
      <c r="G16" s="17">
        <v>1.17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3.9195000000000002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5.4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6"/>
      <c r="O19" s="90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/>
      <c r="E20" s="31">
        <f>E21/E19*10</f>
        <v>38.340000000000003</v>
      </c>
      <c r="F20" s="31"/>
      <c r="G20" s="31">
        <v>0</v>
      </c>
      <c r="H20" s="17"/>
      <c r="I20" s="31"/>
      <c r="J20" s="28"/>
      <c r="K20" s="28"/>
      <c r="L20" s="28"/>
      <c r="M20" s="28"/>
      <c r="N20" s="46"/>
      <c r="O20" s="90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0">D24+D27</f>
        <v>0</v>
      </c>
      <c r="E21" s="31">
        <f t="shared" si="10"/>
        <v>20.703600000000002</v>
      </c>
      <c r="F21" s="31">
        <f t="shared" si="10"/>
        <v>0</v>
      </c>
      <c r="G21" s="31">
        <f t="shared" si="10"/>
        <v>0</v>
      </c>
      <c r="H21" s="17">
        <f t="shared" ref="H21:H24" si="11">F21/E21*100</f>
        <v>0</v>
      </c>
      <c r="I21" s="31"/>
      <c r="J21" s="28"/>
      <c r="K21" s="28"/>
      <c r="L21" s="28"/>
      <c r="M21" s="28"/>
      <c r="N21" s="46"/>
      <c r="O21" s="90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2" t="s">
        <v>33</v>
      </c>
      <c r="C22" s="40" t="s">
        <v>18</v>
      </c>
      <c r="D22" s="17"/>
      <c r="E22" s="17">
        <v>5.4</v>
      </c>
      <c r="F22" s="31">
        <v>0</v>
      </c>
      <c r="G22" s="17">
        <v>0</v>
      </c>
      <c r="H22" s="17">
        <f t="shared" si="11"/>
        <v>0</v>
      </c>
      <c r="I22" s="31"/>
      <c r="J22" s="55"/>
      <c r="K22" s="55"/>
      <c r="L22" s="55"/>
      <c r="M22" s="55"/>
      <c r="N22" s="63"/>
      <c r="O22" s="255"/>
      <c r="P22" s="255"/>
      <c r="Q22" s="255"/>
      <c r="R22" s="255"/>
      <c r="S22" s="255"/>
      <c r="T22" s="255"/>
      <c r="U22" s="255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>
        <v>0</v>
      </c>
      <c r="G23" s="31"/>
      <c r="H23" s="17">
        <f t="shared" si="11"/>
        <v>0</v>
      </c>
      <c r="I23" s="31"/>
      <c r="J23" s="55"/>
      <c r="K23" s="55"/>
      <c r="L23" s="55"/>
      <c r="M23" s="55"/>
      <c r="N23" s="63"/>
      <c r="O23" s="255"/>
      <c r="P23" s="255"/>
      <c r="Q23" s="255"/>
      <c r="R23" s="255"/>
      <c r="S23" s="255"/>
      <c r="T23" s="255"/>
      <c r="U23" s="255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2">D22*D23/10</f>
        <v>0</v>
      </c>
      <c r="E24" s="31">
        <f t="shared" si="12"/>
        <v>20.703600000000002</v>
      </c>
      <c r="F24" s="31">
        <f t="shared" si="12"/>
        <v>0</v>
      </c>
      <c r="G24" s="31">
        <f t="shared" si="12"/>
        <v>0</v>
      </c>
      <c r="H24" s="17">
        <f t="shared" si="11"/>
        <v>0</v>
      </c>
      <c r="I24" s="31"/>
      <c r="J24" s="55"/>
      <c r="K24" s="55"/>
      <c r="L24" s="55"/>
      <c r="M24" s="55"/>
      <c r="N24" s="63"/>
      <c r="O24" s="255"/>
      <c r="P24" s="255"/>
      <c r="Q24" s="255"/>
      <c r="R24" s="255"/>
      <c r="S24" s="255"/>
      <c r="T24" s="255"/>
      <c r="U24" s="255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2" t="s">
        <v>34</v>
      </c>
      <c r="C25" s="40" t="s">
        <v>18</v>
      </c>
      <c r="D25" s="17"/>
      <c r="E25" s="17"/>
      <c r="F25" s="31">
        <v>0</v>
      </c>
      <c r="G25" s="31">
        <v>0</v>
      </c>
      <c r="H25" s="17"/>
      <c r="I25" s="31"/>
      <c r="J25" s="55"/>
      <c r="K25" s="55"/>
      <c r="L25" s="55"/>
      <c r="M25" s="55"/>
      <c r="N25" s="55"/>
      <c r="O25" s="33"/>
      <c r="P25" s="33"/>
      <c r="Q25" s="256"/>
      <c r="R25" s="256"/>
      <c r="S25" s="256"/>
      <c r="T25" s="256"/>
      <c r="U25" s="256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>
        <v>0</v>
      </c>
      <c r="G26" s="31">
        <v>0</v>
      </c>
      <c r="H26" s="17"/>
      <c r="I26" s="31"/>
      <c r="J26" s="55"/>
      <c r="K26" s="55"/>
      <c r="L26" s="55"/>
      <c r="M26" s="55"/>
      <c r="N26" s="55"/>
      <c r="O26" s="33"/>
      <c r="P26" s="33"/>
      <c r="Q26" s="256"/>
      <c r="R26" s="256"/>
      <c r="S26" s="256"/>
      <c r="T26" s="256"/>
      <c r="U26" s="256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E27" si="13">D25*D26/10</f>
        <v>0</v>
      </c>
      <c r="E27" s="31">
        <f t="shared" si="13"/>
        <v>0</v>
      </c>
      <c r="F27" s="31">
        <v>0</v>
      </c>
      <c r="G27" s="31">
        <v>0</v>
      </c>
      <c r="H27" s="17"/>
      <c r="I27" s="31"/>
      <c r="J27" s="55"/>
      <c r="K27" s="55"/>
      <c r="L27" s="55"/>
      <c r="M27" s="55"/>
      <c r="N27" s="55"/>
      <c r="O27" s="33"/>
      <c r="P27" s="33"/>
      <c r="Q27" s="256"/>
      <c r="R27" s="256"/>
      <c r="S27" s="256"/>
      <c r="T27" s="256"/>
      <c r="U27" s="256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</v>
      </c>
      <c r="E28" s="17">
        <f t="shared" si="14"/>
        <v>1</v>
      </c>
      <c r="F28" s="17">
        <f t="shared" si="14"/>
        <v>1</v>
      </c>
      <c r="G28" s="17">
        <f t="shared" si="14"/>
        <v>1</v>
      </c>
      <c r="H28" s="17">
        <f t="shared" ref="H28:H30" si="15">F28/E28*100</f>
        <v>100</v>
      </c>
      <c r="I28" s="17"/>
      <c r="J28" s="257"/>
      <c r="K28" s="257"/>
      <c r="L28" s="257"/>
      <c r="M28" s="257"/>
      <c r="N28" s="257"/>
      <c r="O28" s="256"/>
      <c r="P28" s="256"/>
      <c r="Q28" s="256"/>
      <c r="R28" s="256"/>
      <c r="S28" s="256"/>
      <c r="T28" s="256"/>
      <c r="U28" s="256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E29" si="16">D30/D28*10</f>
        <v>36.85</v>
      </c>
      <c r="E29" s="31">
        <f t="shared" si="16"/>
        <v>36.9</v>
      </c>
      <c r="F29" s="31"/>
      <c r="G29" s="31">
        <f>G30/G28*10</f>
        <v>0</v>
      </c>
      <c r="H29" s="17">
        <f t="shared" si="15"/>
        <v>0</v>
      </c>
      <c r="I29" s="31"/>
      <c r="J29" s="257"/>
      <c r="K29" s="257"/>
      <c r="L29" s="257"/>
      <c r="M29" s="257"/>
      <c r="N29" s="257"/>
      <c r="O29" s="256"/>
      <c r="P29" s="256"/>
      <c r="Q29" s="256"/>
      <c r="R29" s="256"/>
      <c r="S29" s="256"/>
      <c r="T29" s="256"/>
      <c r="U29" s="256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7">D33+D36</f>
        <v>3.6850000000000001</v>
      </c>
      <c r="E30" s="31">
        <f t="shared" si="17"/>
        <v>3.69</v>
      </c>
      <c r="F30" s="31">
        <f t="shared" si="17"/>
        <v>0</v>
      </c>
      <c r="G30" s="31">
        <f t="shared" si="17"/>
        <v>0</v>
      </c>
      <c r="H30" s="17">
        <f t="shared" si="15"/>
        <v>0</v>
      </c>
      <c r="I30" s="31"/>
      <c r="J30" s="257"/>
      <c r="K30" s="257"/>
      <c r="L30" s="257"/>
      <c r="M30" s="257"/>
      <c r="N30" s="257"/>
      <c r="O30" s="256"/>
      <c r="P30" s="256"/>
      <c r="Q30" s="256"/>
      <c r="R30" s="256"/>
      <c r="S30" s="256"/>
      <c r="T30" s="256"/>
      <c r="U30" s="256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>
        <v>0</v>
      </c>
      <c r="G31" s="17">
        <v>0</v>
      </c>
      <c r="H31" s="17"/>
      <c r="I31" s="17"/>
      <c r="J31" s="257"/>
      <c r="K31" s="257"/>
      <c r="L31" s="257"/>
      <c r="M31" s="257"/>
      <c r="N31" s="257"/>
      <c r="O31" s="256"/>
      <c r="P31" s="256"/>
      <c r="Q31" s="256"/>
      <c r="R31" s="256"/>
      <c r="S31" s="256"/>
      <c r="T31" s="256"/>
      <c r="U31" s="256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257"/>
      <c r="K32" s="257"/>
      <c r="L32" s="257"/>
      <c r="M32" s="257"/>
      <c r="N32" s="257"/>
      <c r="O32" s="256"/>
      <c r="P32" s="256"/>
      <c r="Q32" s="256"/>
      <c r="R32" s="256"/>
      <c r="S32" s="256"/>
      <c r="T32" s="256"/>
      <c r="U32" s="256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257"/>
      <c r="K33" s="257"/>
      <c r="L33" s="257"/>
      <c r="M33" s="257"/>
      <c r="N33" s="257"/>
      <c r="O33" s="256"/>
      <c r="P33" s="256"/>
      <c r="Q33" s="256"/>
      <c r="R33" s="256"/>
      <c r="S33" s="256"/>
      <c r="T33" s="256"/>
      <c r="U33" s="256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17">
        <f t="shared" ref="H34:H39" si="18">F34/E34*100</f>
        <v>100</v>
      </c>
      <c r="I34" s="31"/>
      <c r="J34" s="257"/>
      <c r="K34" s="257"/>
      <c r="L34" s="257"/>
      <c r="M34" s="257"/>
      <c r="N34" s="257"/>
      <c r="O34" s="256"/>
      <c r="P34" s="256"/>
      <c r="Q34" s="256"/>
      <c r="R34" s="256"/>
      <c r="S34" s="256"/>
      <c r="T34" s="256"/>
      <c r="U34" s="256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8"/>
        <v>0</v>
      </c>
      <c r="I35" s="31"/>
      <c r="J35" s="257"/>
      <c r="K35" s="257"/>
      <c r="L35" s="257"/>
      <c r="M35" s="257"/>
      <c r="N35" s="257"/>
      <c r="O35" s="256"/>
      <c r="P35" s="256"/>
      <c r="Q35" s="256"/>
      <c r="R35" s="256"/>
      <c r="S35" s="256"/>
      <c r="T35" s="256"/>
      <c r="U35" s="256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9">D34*D35/10</f>
        <v>3.6850000000000001</v>
      </c>
      <c r="E36" s="31">
        <f t="shared" si="19"/>
        <v>3.69</v>
      </c>
      <c r="F36" s="31">
        <f t="shared" si="19"/>
        <v>0</v>
      </c>
      <c r="G36" s="31">
        <f t="shared" si="19"/>
        <v>0</v>
      </c>
      <c r="H36" s="17">
        <f t="shared" si="18"/>
        <v>0</v>
      </c>
      <c r="I36" s="31"/>
      <c r="J36" s="257"/>
      <c r="K36" s="74"/>
      <c r="L36" s="280"/>
      <c r="M36" s="280"/>
      <c r="N36" s="280"/>
      <c r="O36" s="280"/>
      <c r="P36" s="256"/>
      <c r="Q36" s="256"/>
      <c r="R36" s="256"/>
      <c r="S36" s="256"/>
      <c r="T36" s="256"/>
      <c r="U36" s="256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24</v>
      </c>
      <c r="E37" s="17">
        <v>10.57</v>
      </c>
      <c r="F37" s="17">
        <v>10.57</v>
      </c>
      <c r="G37" s="17">
        <v>10.57</v>
      </c>
      <c r="H37" s="17">
        <f t="shared" si="18"/>
        <v>100</v>
      </c>
      <c r="I37" s="31"/>
      <c r="J37" s="55"/>
      <c r="K37" s="281"/>
      <c r="L37" s="281"/>
      <c r="M37" s="10"/>
      <c r="N37" s="46"/>
      <c r="O37" s="46"/>
      <c r="P37" s="33"/>
      <c r="Q37" s="33"/>
      <c r="R37" s="33"/>
      <c r="S37" s="33"/>
      <c r="T37" s="33"/>
      <c r="U37" s="33"/>
      <c r="V37" s="33"/>
      <c r="W37" s="33"/>
      <c r="X37" s="33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8"/>
        <v>0</v>
      </c>
      <c r="I38" s="31"/>
      <c r="J38" s="55"/>
      <c r="K38" s="53"/>
      <c r="L38" s="53"/>
      <c r="M38" s="46"/>
      <c r="N38" s="46"/>
      <c r="O38" s="46"/>
      <c r="P38" s="33"/>
      <c r="Q38" s="33"/>
      <c r="R38" s="33"/>
      <c r="S38" s="33"/>
      <c r="T38" s="33"/>
      <c r="U38" s="33"/>
      <c r="V38" s="33"/>
      <c r="W38" s="33"/>
      <c r="X38" s="33"/>
      <c r="Y38" s="1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20">D37*D38/10</f>
        <v>330</v>
      </c>
      <c r="E39" s="31">
        <f t="shared" si="20"/>
        <v>147.97999999999999</v>
      </c>
      <c r="F39" s="31">
        <f t="shared" si="20"/>
        <v>0</v>
      </c>
      <c r="G39" s="31">
        <f t="shared" si="20"/>
        <v>0</v>
      </c>
      <c r="H39" s="17">
        <f t="shared" si="18"/>
        <v>0</v>
      </c>
      <c r="I39" s="31"/>
      <c r="J39" s="55"/>
      <c r="K39" s="53"/>
      <c r="L39" s="53"/>
      <c r="M39" s="46"/>
      <c r="N39" s="46"/>
      <c r="O39" s="46"/>
      <c r="P39" s="33"/>
      <c r="Q39" s="33"/>
      <c r="R39" s="33"/>
      <c r="S39" s="33"/>
      <c r="T39" s="33"/>
      <c r="U39" s="33"/>
      <c r="V39" s="33"/>
      <c r="W39" s="33"/>
      <c r="X39" s="33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31"/>
      <c r="G40" s="31"/>
      <c r="H40" s="17"/>
      <c r="I40" s="31"/>
      <c r="J40" s="55"/>
      <c r="K40" s="53"/>
      <c r="L40" s="53"/>
      <c r="M40" s="46"/>
      <c r="N40" s="46"/>
      <c r="O40" s="46"/>
      <c r="P40" s="33"/>
      <c r="Q40" s="33"/>
      <c r="R40" s="33"/>
      <c r="S40" s="33"/>
      <c r="T40" s="33"/>
      <c r="U40" s="33"/>
      <c r="V40" s="33"/>
      <c r="W40" s="33"/>
      <c r="X40" s="33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31"/>
      <c r="G41" s="31"/>
      <c r="H41" s="17">
        <f>F41/E41*100</f>
        <v>0</v>
      </c>
      <c r="I41" s="31"/>
      <c r="J41" s="55"/>
      <c r="K41" s="53"/>
      <c r="L41" s="53"/>
      <c r="M41" s="46"/>
      <c r="N41" s="46"/>
      <c r="O41" s="46"/>
      <c r="P41" s="33"/>
      <c r="Q41" s="33"/>
      <c r="R41" s="33"/>
      <c r="S41" s="33"/>
      <c r="T41" s="33"/>
      <c r="U41" s="33"/>
      <c r="V41" s="33"/>
      <c r="W41" s="33"/>
      <c r="X41" s="33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21">E40*E41/10</f>
        <v>0</v>
      </c>
      <c r="F42" s="31">
        <f t="shared" si="21"/>
        <v>0</v>
      </c>
      <c r="G42" s="31">
        <f t="shared" si="21"/>
        <v>0</v>
      </c>
      <c r="H42" s="17"/>
      <c r="I42" s="31"/>
      <c r="J42" s="55"/>
      <c r="K42" s="53"/>
      <c r="L42" s="53"/>
      <c r="M42" s="46"/>
      <c r="N42" s="46"/>
      <c r="O42" s="46"/>
      <c r="P42" s="33"/>
      <c r="Q42" s="33"/>
      <c r="R42" s="33"/>
      <c r="S42" s="33"/>
      <c r="T42" s="33"/>
      <c r="U42" s="33"/>
      <c r="V42" s="33"/>
      <c r="W42" s="33"/>
      <c r="X42" s="33"/>
      <c r="Y42" s="1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ref="H43:H50" si="22">F43/E43*100</f>
        <v>54</v>
      </c>
      <c r="I43" s="17"/>
      <c r="J43" s="137"/>
      <c r="K43" s="53"/>
      <c r="L43" s="53"/>
      <c r="M43" s="53"/>
      <c r="N43" s="53"/>
      <c r="O43" s="5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22"/>
        <v>0</v>
      </c>
      <c r="I44" s="31"/>
      <c r="J44" s="137"/>
      <c r="K44" s="53"/>
      <c r="L44" s="282"/>
      <c r="M44" s="282"/>
      <c r="N44" s="282"/>
      <c r="O44" s="28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9" t="s">
        <v>27</v>
      </c>
      <c r="C45" s="50" t="s">
        <v>21</v>
      </c>
      <c r="D45" s="31">
        <f t="shared" ref="D45:G45" si="23">D43*D44/10</f>
        <v>5</v>
      </c>
      <c r="E45" s="31">
        <f t="shared" si="23"/>
        <v>4.9249999999999998</v>
      </c>
      <c r="F45" s="31">
        <f t="shared" si="23"/>
        <v>0</v>
      </c>
      <c r="G45" s="31">
        <f t="shared" si="23"/>
        <v>0</v>
      </c>
      <c r="H45" s="17">
        <f t="shared" si="22"/>
        <v>0</v>
      </c>
      <c r="I45" s="31"/>
      <c r="J45" s="137"/>
      <c r="K45" s="238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4">D47+D55+D64</f>
        <v>31.87</v>
      </c>
      <c r="E46" s="17">
        <f t="shared" si="24"/>
        <v>42.67</v>
      </c>
      <c r="F46" s="17">
        <f t="shared" si="24"/>
        <v>32.270000000000003</v>
      </c>
      <c r="G46" s="17">
        <f t="shared" si="24"/>
        <v>32.17</v>
      </c>
      <c r="H46" s="17">
        <f t="shared" si="22"/>
        <v>75.626904148113425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5">D48+D49</f>
        <v>27.37</v>
      </c>
      <c r="E47" s="17">
        <f t="shared" si="25"/>
        <v>37.370000000000005</v>
      </c>
      <c r="F47" s="17">
        <f t="shared" si="25"/>
        <v>27.470000000000002</v>
      </c>
      <c r="G47" s="17">
        <f t="shared" si="25"/>
        <v>27.37</v>
      </c>
      <c r="H47" s="17">
        <f t="shared" si="22"/>
        <v>73.508161626973504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9" t="s">
        <v>32</v>
      </c>
      <c r="B48" s="60" t="s">
        <v>45</v>
      </c>
      <c r="C48" s="61" t="s">
        <v>18</v>
      </c>
      <c r="D48" s="31">
        <v>11.25</v>
      </c>
      <c r="E48" s="31">
        <f>D48+D49</f>
        <v>27.37</v>
      </c>
      <c r="F48" s="31">
        <v>27.37</v>
      </c>
      <c r="G48" s="31">
        <v>27.37</v>
      </c>
      <c r="H48" s="31">
        <f t="shared" si="22"/>
        <v>100</v>
      </c>
      <c r="I48" s="31"/>
      <c r="J48" s="55"/>
      <c r="K48" s="55"/>
      <c r="L48" s="55"/>
      <c r="M48" s="55"/>
      <c r="N48" s="55"/>
      <c r="O48" s="3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6">D50+D51</f>
        <v>16.12</v>
      </c>
      <c r="E49" s="17">
        <f t="shared" si="26"/>
        <v>10</v>
      </c>
      <c r="F49" s="17">
        <f t="shared" si="26"/>
        <v>0.1</v>
      </c>
      <c r="G49" s="17">
        <f t="shared" si="26"/>
        <v>0</v>
      </c>
      <c r="H49" s="17">
        <f t="shared" si="22"/>
        <v>1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61" t="s">
        <v>47</v>
      </c>
      <c r="B50" s="66" t="s">
        <v>269</v>
      </c>
      <c r="C50" s="61" t="s">
        <v>18</v>
      </c>
      <c r="D50" s="31">
        <v>16.12</v>
      </c>
      <c r="E50" s="31">
        <v>10</v>
      </c>
      <c r="F50" s="31">
        <v>0.1</v>
      </c>
      <c r="G50" s="31">
        <v>0</v>
      </c>
      <c r="H50" s="17">
        <f t="shared" si="22"/>
        <v>1</v>
      </c>
      <c r="I50" s="31"/>
      <c r="J50" s="35"/>
      <c r="K50" s="125"/>
      <c r="L50" s="125"/>
      <c r="M50" s="125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61" t="s">
        <v>47</v>
      </c>
      <c r="B51" s="66" t="s">
        <v>49</v>
      </c>
      <c r="C51" s="30" t="s">
        <v>18</v>
      </c>
      <c r="D51" s="31"/>
      <c r="E51" s="31"/>
      <c r="F51" s="31"/>
      <c r="G51" s="31"/>
      <c r="H51" s="17"/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7">D53+D54</f>
        <v>9.3099999999999987</v>
      </c>
      <c r="E52" s="17">
        <f t="shared" si="27"/>
        <v>9.5625</v>
      </c>
      <c r="F52" s="17">
        <f t="shared" si="27"/>
        <v>9.56</v>
      </c>
      <c r="G52" s="17">
        <f t="shared" si="27"/>
        <v>9.56</v>
      </c>
      <c r="H52" s="17">
        <f t="shared" ref="H52:H53" si="28">F52/E52*100</f>
        <v>99.973856209150341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71" t="s">
        <v>47</v>
      </c>
      <c r="B53" s="66" t="s">
        <v>51</v>
      </c>
      <c r="C53" s="30" t="s">
        <v>18</v>
      </c>
      <c r="D53" s="31">
        <f>7.31-1</f>
        <v>6.31</v>
      </c>
      <c r="E53" s="31">
        <f>D48*85%</f>
        <v>9.5625</v>
      </c>
      <c r="F53" s="31">
        <v>9.56</v>
      </c>
      <c r="G53" s="31">
        <v>9.56</v>
      </c>
      <c r="H53" s="31">
        <f t="shared" si="28"/>
        <v>99.973856209150341</v>
      </c>
      <c r="I53" s="31"/>
      <c r="J53" s="137"/>
      <c r="K53" s="137"/>
      <c r="L53" s="137"/>
      <c r="M53" s="238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6" t="s">
        <v>52</v>
      </c>
      <c r="C54" s="30" t="s">
        <v>18</v>
      </c>
      <c r="D54" s="31">
        <v>3</v>
      </c>
      <c r="E54" s="31"/>
      <c r="F54" s="31"/>
      <c r="G54" s="31"/>
      <c r="H54" s="17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9">D56+D57</f>
        <v>4.5</v>
      </c>
      <c r="E55" s="17">
        <f t="shared" si="29"/>
        <v>5.3</v>
      </c>
      <c r="F55" s="17">
        <f t="shared" si="29"/>
        <v>4.8</v>
      </c>
      <c r="G55" s="17">
        <f t="shared" si="29"/>
        <v>4.8</v>
      </c>
      <c r="H55" s="17">
        <f t="shared" ref="H55:H63" si="30">F55/E55*100</f>
        <v>90.566037735849065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60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31">
        <f t="shared" si="30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31">D58+D61</f>
        <v>0</v>
      </c>
      <c r="E57" s="31">
        <f t="shared" si="31"/>
        <v>0.5</v>
      </c>
      <c r="F57" s="31">
        <f t="shared" si="31"/>
        <v>0</v>
      </c>
      <c r="G57" s="31">
        <f t="shared" si="31"/>
        <v>0</v>
      </c>
      <c r="H57" s="17">
        <f t="shared" si="30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32">D59+D60</f>
        <v>0</v>
      </c>
      <c r="E58" s="76">
        <f t="shared" si="32"/>
        <v>0.30000000000000004</v>
      </c>
      <c r="F58" s="76">
        <f t="shared" si="32"/>
        <v>0</v>
      </c>
      <c r="G58" s="76">
        <f t="shared" si="32"/>
        <v>0</v>
      </c>
      <c r="H58" s="17">
        <f t="shared" si="30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1.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30"/>
        <v>0</v>
      </c>
      <c r="I59" s="31"/>
      <c r="J59" s="35"/>
      <c r="K59" s="240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7">
        <f t="shared" si="30"/>
        <v>0</v>
      </c>
      <c r="I60" s="31"/>
      <c r="J60" s="35"/>
      <c r="K60" s="240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3">D62+D63</f>
        <v>0</v>
      </c>
      <c r="E61" s="76">
        <f t="shared" si="33"/>
        <v>0.2</v>
      </c>
      <c r="F61" s="76">
        <f t="shared" si="33"/>
        <v>0</v>
      </c>
      <c r="G61" s="76">
        <f t="shared" si="33"/>
        <v>0</v>
      </c>
      <c r="H61" s="17">
        <f t="shared" si="30"/>
        <v>0</v>
      </c>
      <c r="I61" s="76"/>
      <c r="J61" s="35"/>
      <c r="K61" s="106"/>
      <c r="L61" s="241"/>
      <c r="M61" s="241"/>
      <c r="N61" s="24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1.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0.1</v>
      </c>
      <c r="F62" s="31">
        <v>0</v>
      </c>
      <c r="G62" s="31">
        <v>0</v>
      </c>
      <c r="H62" s="17">
        <f t="shared" si="30"/>
        <v>0</v>
      </c>
      <c r="I62" s="31"/>
      <c r="J62" s="35"/>
      <c r="K62" s="240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30"/>
        <v>0</v>
      </c>
      <c r="I63" s="31"/>
      <c r="J63" s="35"/>
      <c r="K63" s="240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4">D65+D66</f>
        <v>0</v>
      </c>
      <c r="E64" s="17">
        <f t="shared" si="34"/>
        <v>0</v>
      </c>
      <c r="F64" s="17">
        <f t="shared" si="34"/>
        <v>0</v>
      </c>
      <c r="G64" s="17">
        <f t="shared" si="34"/>
        <v>0</v>
      </c>
      <c r="H64" s="17"/>
      <c r="I64" s="17"/>
      <c r="J64" s="35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17"/>
      <c r="I65" s="31"/>
      <c r="J65" s="137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37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5">D68+D71</f>
        <v>14.360000000000001</v>
      </c>
      <c r="E67" s="17">
        <f t="shared" si="35"/>
        <v>14.48</v>
      </c>
      <c r="F67" s="17">
        <f t="shared" si="35"/>
        <v>14.360000000000001</v>
      </c>
      <c r="G67" s="17">
        <f t="shared" si="35"/>
        <v>14.360000000000001</v>
      </c>
      <c r="H67" s="17">
        <f t="shared" ref="H67:H69" si="36">F67/E67*100</f>
        <v>99.171270718232051</v>
      </c>
      <c r="I67" s="17"/>
      <c r="J67" s="137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7">D69+D70</f>
        <v>0.55000000000000004</v>
      </c>
      <c r="E68" s="17">
        <f t="shared" si="37"/>
        <v>0.55000000000000004</v>
      </c>
      <c r="F68" s="17">
        <f t="shared" si="37"/>
        <v>0.55000000000000004</v>
      </c>
      <c r="G68" s="17">
        <f t="shared" si="37"/>
        <v>0.55000000000000004</v>
      </c>
      <c r="H68" s="17">
        <f t="shared" si="36"/>
        <v>100</v>
      </c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60" t="s">
        <v>69</v>
      </c>
      <c r="C69" s="30" t="s">
        <v>18</v>
      </c>
      <c r="D69" s="31">
        <v>0.5</v>
      </c>
      <c r="E69" s="31">
        <f>D69+D70</f>
        <v>0.55000000000000004</v>
      </c>
      <c r="F69" s="31">
        <v>0.55000000000000004</v>
      </c>
      <c r="G69" s="31">
        <v>0.55000000000000004</v>
      </c>
      <c r="H69" s="31">
        <f t="shared" si="36"/>
        <v>100</v>
      </c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60" t="s">
        <v>70</v>
      </c>
      <c r="C70" s="30" t="s">
        <v>18</v>
      </c>
      <c r="D70" s="31">
        <v>0.05</v>
      </c>
      <c r="E70" s="31">
        <v>0</v>
      </c>
      <c r="F70" s="31"/>
      <c r="G70" s="31"/>
      <c r="H70" s="17"/>
      <c r="I70" s="31"/>
      <c r="J70" s="137"/>
      <c r="K70" s="55"/>
      <c r="L70" s="55"/>
      <c r="M70" s="55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8">D72+D73</f>
        <v>13.81</v>
      </c>
      <c r="E71" s="17">
        <f t="shared" si="38"/>
        <v>13.93</v>
      </c>
      <c r="F71" s="17">
        <f t="shared" si="38"/>
        <v>13.81</v>
      </c>
      <c r="G71" s="17">
        <f t="shared" si="38"/>
        <v>13.81</v>
      </c>
      <c r="H71" s="17">
        <f t="shared" ref="H71:H75" si="39">F71/E71*100</f>
        <v>99.138549892318736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40">D75+D82</f>
        <v>12.31</v>
      </c>
      <c r="E72" s="91">
        <f t="shared" si="40"/>
        <v>13.81</v>
      </c>
      <c r="F72" s="91">
        <f t="shared" si="40"/>
        <v>13.81</v>
      </c>
      <c r="G72" s="91">
        <f t="shared" si="40"/>
        <v>13.81</v>
      </c>
      <c r="H72" s="17">
        <f t="shared" si="39"/>
        <v>100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41">D76+D83</f>
        <v>1.5</v>
      </c>
      <c r="E73" s="17">
        <f t="shared" si="41"/>
        <v>0.12</v>
      </c>
      <c r="F73" s="17">
        <f t="shared" si="41"/>
        <v>0</v>
      </c>
      <c r="G73" s="17">
        <f t="shared" si="41"/>
        <v>0</v>
      </c>
      <c r="H73" s="17">
        <f t="shared" si="39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42">D75+D76</f>
        <v>11.34</v>
      </c>
      <c r="E74" s="96">
        <f t="shared" si="42"/>
        <v>11.34</v>
      </c>
      <c r="F74" s="96">
        <f t="shared" si="42"/>
        <v>11.34</v>
      </c>
      <c r="G74" s="96">
        <f t="shared" si="42"/>
        <v>11.34</v>
      </c>
      <c r="H74" s="17">
        <f t="shared" si="39"/>
        <v>100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9" t="s">
        <v>32</v>
      </c>
      <c r="B75" s="98" t="s">
        <v>45</v>
      </c>
      <c r="C75" s="30" t="s">
        <v>18</v>
      </c>
      <c r="D75" s="62">
        <f>6.84+3</f>
        <v>9.84</v>
      </c>
      <c r="E75" s="62">
        <f>D75+D76</f>
        <v>11.34</v>
      </c>
      <c r="F75" s="62">
        <v>11.34</v>
      </c>
      <c r="G75" s="62">
        <v>11.34</v>
      </c>
      <c r="H75" s="31">
        <f t="shared" si="39"/>
        <v>100</v>
      </c>
      <c r="I75" s="31"/>
      <c r="J75" s="137"/>
      <c r="K75" s="137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F76" si="43">SUM(D77:D80)</f>
        <v>1.5</v>
      </c>
      <c r="E76" s="244">
        <f t="shared" si="43"/>
        <v>0</v>
      </c>
      <c r="F76" s="244">
        <f t="shared" si="43"/>
        <v>0</v>
      </c>
      <c r="G76" s="244"/>
      <c r="H76" s="31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8" t="s">
        <v>47</v>
      </c>
      <c r="B77" s="101" t="s">
        <v>80</v>
      </c>
      <c r="C77" s="48" t="s">
        <v>18</v>
      </c>
      <c r="D77" s="31"/>
      <c r="E77" s="31">
        <v>0</v>
      </c>
      <c r="F77" s="31"/>
      <c r="G77" s="31"/>
      <c r="H77" s="31"/>
      <c r="I77" s="31"/>
      <c r="J77" s="241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76"/>
      <c r="H78" s="76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76"/>
      <c r="H79" s="76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8" t="s">
        <v>47</v>
      </c>
      <c r="B80" s="247" t="s">
        <v>83</v>
      </c>
      <c r="C80" s="48" t="s">
        <v>18</v>
      </c>
      <c r="D80" s="31">
        <v>1.5</v>
      </c>
      <c r="E80" s="31"/>
      <c r="F80" s="31"/>
      <c r="G80" s="76"/>
      <c r="H80" s="76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4">D82+D83</f>
        <v>2.4700000000000002</v>
      </c>
      <c r="E81" s="96">
        <f t="shared" si="44"/>
        <v>2.5900000000000003</v>
      </c>
      <c r="F81" s="96">
        <f t="shared" si="44"/>
        <v>2.4700000000000002</v>
      </c>
      <c r="G81" s="96">
        <f t="shared" si="44"/>
        <v>2.4700000000000002</v>
      </c>
      <c r="H81" s="104">
        <f t="shared" ref="H81:H83" si="45">F81/E81*100</f>
        <v>95.366795366795358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1.5" customHeight="1" x14ac:dyDescent="0.25">
      <c r="A82" s="117" t="s">
        <v>47</v>
      </c>
      <c r="B82" s="101" t="s">
        <v>85</v>
      </c>
      <c r="C82" s="48" t="s">
        <v>18</v>
      </c>
      <c r="D82" s="76">
        <v>2.4700000000000002</v>
      </c>
      <c r="E82" s="76">
        <f>D82+D83</f>
        <v>2.4700000000000002</v>
      </c>
      <c r="F82" s="76">
        <v>2.4700000000000002</v>
      </c>
      <c r="G82" s="76">
        <v>2.4700000000000002</v>
      </c>
      <c r="H82" s="76">
        <f t="shared" si="45"/>
        <v>100</v>
      </c>
      <c r="I82" s="76"/>
      <c r="J82" s="241"/>
      <c r="K82" s="241"/>
      <c r="L82" s="10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1.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6">SUM(D84:D87)</f>
        <v>0</v>
      </c>
      <c r="E83" s="62">
        <f t="shared" si="46"/>
        <v>0.12</v>
      </c>
      <c r="F83" s="62">
        <f t="shared" si="46"/>
        <v>0</v>
      </c>
      <c r="G83" s="62">
        <f t="shared" si="46"/>
        <v>0</v>
      </c>
      <c r="H83" s="17">
        <f t="shared" si="45"/>
        <v>0</v>
      </c>
      <c r="I83" s="62"/>
      <c r="J83" s="241"/>
      <c r="K83" s="241"/>
      <c r="L83" s="106"/>
      <c r="M83" s="106"/>
      <c r="N83" s="106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31"/>
      <c r="I84" s="31"/>
      <c r="J84" s="106"/>
      <c r="K84" s="106"/>
      <c r="L84" s="106"/>
      <c r="M84" s="106"/>
      <c r="N84" s="106"/>
      <c r="O84" s="2"/>
      <c r="P84" s="2"/>
      <c r="Q84" s="2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31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31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17" t="s">
        <v>47</v>
      </c>
      <c r="B87" s="101" t="s">
        <v>89</v>
      </c>
      <c r="C87" s="48" t="s">
        <v>18</v>
      </c>
      <c r="D87" s="31"/>
      <c r="E87" s="31">
        <v>0.12</v>
      </c>
      <c r="F87" s="31">
        <v>0</v>
      </c>
      <c r="G87" s="31">
        <v>0</v>
      </c>
      <c r="H87" s="17">
        <f t="shared" ref="H87:H91" si="47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38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8">SUM(D89:D93)</f>
        <v>309</v>
      </c>
      <c r="E88" s="17">
        <f t="shared" si="48"/>
        <v>283</v>
      </c>
      <c r="F88" s="17">
        <f t="shared" si="48"/>
        <v>266</v>
      </c>
      <c r="G88" s="17">
        <f t="shared" si="48"/>
        <v>266</v>
      </c>
      <c r="H88" s="17">
        <f t="shared" si="47"/>
        <v>93.992932862190813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f>26+5</f>
        <v>31</v>
      </c>
      <c r="E89" s="31">
        <f>26+14</f>
        <v>40</v>
      </c>
      <c r="F89" s="31">
        <v>39</v>
      </c>
      <c r="G89" s="31">
        <f t="shared" ref="G89:G91" si="49">F89</f>
        <v>39</v>
      </c>
      <c r="H89" s="31">
        <f t="shared" si="47"/>
        <v>97.5</v>
      </c>
      <c r="I89" s="31"/>
      <c r="J89" s="57"/>
      <c r="K89" s="84"/>
      <c r="L89" s="274"/>
      <c r="M89" s="275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f>43+5</f>
        <v>48</v>
      </c>
      <c r="E90" s="31">
        <f>42+7</f>
        <v>49</v>
      </c>
      <c r="F90" s="31">
        <v>46</v>
      </c>
      <c r="G90" s="31">
        <f t="shared" si="49"/>
        <v>46</v>
      </c>
      <c r="H90" s="31">
        <f t="shared" si="47"/>
        <v>93.877551020408163</v>
      </c>
      <c r="I90" s="31"/>
      <c r="J90" s="57"/>
      <c r="K90" s="84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f>35-5</f>
        <v>30</v>
      </c>
      <c r="E91" s="31">
        <f>25+8</f>
        <v>33</v>
      </c>
      <c r="F91" s="31">
        <v>30</v>
      </c>
      <c r="G91" s="31">
        <f t="shared" si="49"/>
        <v>30</v>
      </c>
      <c r="H91" s="31">
        <f t="shared" si="47"/>
        <v>90.909090909090907</v>
      </c>
      <c r="I91" s="31"/>
      <c r="J91" s="57"/>
      <c r="K91" s="84"/>
      <c r="L91" s="274"/>
      <c r="M91" s="275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1.5" customHeight="1" x14ac:dyDescent="0.25">
      <c r="A92" s="30">
        <v>4</v>
      </c>
      <c r="B92" s="27" t="s">
        <v>99</v>
      </c>
      <c r="C92" s="30" t="s">
        <v>93</v>
      </c>
      <c r="D92" s="31">
        <v>3</v>
      </c>
      <c r="E92" s="31"/>
      <c r="F92" s="31"/>
      <c r="G92" s="31"/>
      <c r="H92" s="17"/>
      <c r="I92" s="31"/>
      <c r="J92" s="28"/>
      <c r="K92" s="28"/>
      <c r="L92" s="277"/>
      <c r="M92" s="275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100</v>
      </c>
      <c r="C93" s="30" t="s">
        <v>93</v>
      </c>
      <c r="D93" s="31">
        <f>188+9</f>
        <v>197</v>
      </c>
      <c r="E93" s="31">
        <f>178-17</f>
        <v>161</v>
      </c>
      <c r="F93" s="31">
        <v>151</v>
      </c>
      <c r="G93" s="31">
        <f>F93</f>
        <v>151</v>
      </c>
      <c r="H93" s="31">
        <f>F93/E93*100</f>
        <v>93.788819875776397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1.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50">D95</f>
        <v>0</v>
      </c>
      <c r="E94" s="17">
        <f t="shared" si="50"/>
        <v>0</v>
      </c>
      <c r="F94" s="17">
        <f t="shared" si="50"/>
        <v>0</v>
      </c>
      <c r="G94" s="17">
        <f t="shared" si="50"/>
        <v>0</v>
      </c>
      <c r="H94" s="17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8" t="s">
        <v>47</v>
      </c>
      <c r="B95" s="81" t="s">
        <v>103</v>
      </c>
      <c r="C95" s="48" t="s">
        <v>18</v>
      </c>
      <c r="D95" s="31"/>
      <c r="E95" s="31"/>
      <c r="F95" s="31"/>
      <c r="G95" s="31"/>
      <c r="H95" s="17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51">D97+D98</f>
        <v>2.8</v>
      </c>
      <c r="E96" s="17">
        <f t="shared" si="51"/>
        <v>0.65</v>
      </c>
      <c r="F96" s="17">
        <f t="shared" si="51"/>
        <v>0</v>
      </c>
      <c r="G96" s="17">
        <f t="shared" si="51"/>
        <v>0</v>
      </c>
      <c r="H96" s="17">
        <f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8" t="s">
        <v>270</v>
      </c>
      <c r="C97" s="48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33" t="s">
        <v>47</v>
      </c>
      <c r="B98" s="98" t="s">
        <v>110</v>
      </c>
      <c r="C98" s="48" t="s">
        <v>18</v>
      </c>
      <c r="D98" s="31">
        <v>2.8</v>
      </c>
      <c r="E98" s="31">
        <v>0.65</v>
      </c>
      <c r="F98" s="31"/>
      <c r="G98" s="31"/>
      <c r="H98" s="17">
        <f>F98/E98*100</f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39370078740157483" right="0.35433070866141736" top="0.51181102362204722" bottom="0.55118110236220474" header="0" footer="0"/>
  <pageSetup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5546875" customWidth="1"/>
    <col min="2" max="2" width="29" customWidth="1"/>
    <col min="3" max="3" width="9.44140625" customWidth="1"/>
    <col min="4" max="5" width="18.109375" customWidth="1"/>
    <col min="6" max="8" width="12.6640625" customWidth="1"/>
    <col min="9" max="9" width="11.77734375" customWidth="1"/>
    <col min="10" max="10" width="8.88671875" customWidth="1"/>
    <col min="11" max="11" width="19.21875" customWidth="1"/>
    <col min="12" max="14" width="8.88671875" customWidth="1"/>
    <col min="15" max="21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0"/>
      <c r="I1" s="3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24"/>
      <c r="B2" s="311"/>
      <c r="C2" s="311"/>
      <c r="D2" s="311"/>
      <c r="E2" s="311"/>
      <c r="F2" s="311"/>
      <c r="G2" s="311"/>
      <c r="H2" s="311"/>
      <c r="I2" s="311"/>
      <c r="J2" s="137"/>
      <c r="K2" s="137"/>
      <c r="L2" s="137"/>
      <c r="M2" s="137"/>
      <c r="N2" s="1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25" t="s">
        <v>265</v>
      </c>
      <c r="B3" s="311"/>
      <c r="C3" s="311"/>
      <c r="D3" s="311"/>
      <c r="E3" s="311"/>
      <c r="F3" s="311"/>
      <c r="G3" s="311"/>
      <c r="H3" s="311"/>
      <c r="I3" s="311"/>
      <c r="J3" s="137"/>
      <c r="K3" s="137"/>
      <c r="L3" s="137"/>
      <c r="M3" s="137"/>
      <c r="N3" s="1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25" t="s">
        <v>279</v>
      </c>
      <c r="B4" s="311"/>
      <c r="C4" s="311"/>
      <c r="D4" s="311"/>
      <c r="E4" s="311"/>
      <c r="F4" s="311"/>
      <c r="G4" s="311"/>
      <c r="H4" s="311"/>
      <c r="I4" s="311"/>
      <c r="J4" s="137"/>
      <c r="K4" s="137"/>
      <c r="L4" s="137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26" t="str">
        <f>'ĐĂK KA(6)'!A5</f>
        <v>(Kèm theo Báo cáo số        /BC-UBND, Ngày      tháng 7 năm 2026 của UBND xã Tu Mơ Rông)</v>
      </c>
      <c r="B5" s="311"/>
      <c r="C5" s="311"/>
      <c r="D5" s="311"/>
      <c r="E5" s="311"/>
      <c r="F5" s="311"/>
      <c r="G5" s="311"/>
      <c r="H5" s="311"/>
      <c r="I5" s="311"/>
      <c r="J5" s="137"/>
      <c r="K5" s="137"/>
      <c r="L5" s="137"/>
      <c r="M5" s="137"/>
      <c r="N5" s="1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231"/>
      <c r="B6" s="231"/>
      <c r="C6" s="231"/>
      <c r="D6" s="232"/>
      <c r="E6" s="232"/>
      <c r="F6" s="232"/>
      <c r="G6" s="232"/>
      <c r="H6" s="232"/>
      <c r="I6" s="232"/>
      <c r="J6" s="137"/>
      <c r="K6" s="137"/>
      <c r="L6" s="137"/>
      <c r="M6" s="137"/>
      <c r="N6" s="1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05" t="s">
        <v>3</v>
      </c>
      <c r="B7" s="305" t="s">
        <v>4</v>
      </c>
      <c r="C7" s="305" t="s">
        <v>5</v>
      </c>
      <c r="D7" s="305" t="s">
        <v>6</v>
      </c>
      <c r="E7" s="307" t="s">
        <v>8</v>
      </c>
      <c r="F7" s="308"/>
      <c r="G7" s="308"/>
      <c r="H7" s="309"/>
      <c r="I7" s="305" t="s">
        <v>272</v>
      </c>
      <c r="J7" s="137"/>
      <c r="K7" s="11" t="s">
        <v>10</v>
      </c>
      <c r="L7" s="263">
        <v>36</v>
      </c>
      <c r="M7" s="137"/>
      <c r="N7" s="13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06"/>
      <c r="B8" s="306"/>
      <c r="C8" s="306"/>
      <c r="D8" s="306"/>
      <c r="E8" s="14" t="s">
        <v>11</v>
      </c>
      <c r="F8" s="14" t="s">
        <v>267</v>
      </c>
      <c r="G8" s="14" t="s">
        <v>268</v>
      </c>
      <c r="H8" s="14" t="s">
        <v>14</v>
      </c>
      <c r="I8" s="306"/>
      <c r="J8" s="137"/>
      <c r="K8" s="11" t="s">
        <v>15</v>
      </c>
      <c r="L8" s="263">
        <v>173</v>
      </c>
      <c r="M8" s="137"/>
      <c r="N8" s="13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54.019999999999996</v>
      </c>
      <c r="E9" s="17">
        <f t="shared" si="0"/>
        <v>70.949999999999989</v>
      </c>
      <c r="F9" s="17">
        <f t="shared" si="0"/>
        <v>54.11</v>
      </c>
      <c r="G9" s="17">
        <f t="shared" si="0"/>
        <v>54.11</v>
      </c>
      <c r="H9" s="17">
        <f t="shared" ref="H9:H24" si="1">F9/E9*100</f>
        <v>76.264975334742786</v>
      </c>
      <c r="I9" s="17"/>
      <c r="J9" s="236"/>
      <c r="K9" s="236"/>
      <c r="L9" s="236"/>
      <c r="M9" s="236"/>
      <c r="N9" s="236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8.3000000000000007</v>
      </c>
      <c r="F10" s="17">
        <f t="shared" si="2"/>
        <v>2.2999999999999998</v>
      </c>
      <c r="G10" s="17">
        <f t="shared" si="2"/>
        <v>2.2999999999999998</v>
      </c>
      <c r="H10" s="17">
        <f t="shared" si="1"/>
        <v>27.710843373493972</v>
      </c>
      <c r="I10" s="17"/>
      <c r="J10" s="236"/>
      <c r="K10" s="236"/>
      <c r="L10" s="236"/>
      <c r="M10" s="236"/>
      <c r="N10" s="23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25.688550000000003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236"/>
      <c r="K11" s="236"/>
      <c r="L11" s="283"/>
      <c r="M11" s="283"/>
      <c r="N11" s="283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21.998550000000002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236"/>
      <c r="K12" s="236"/>
      <c r="L12" s="283"/>
      <c r="M12" s="283"/>
      <c r="N12" s="283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7.3</v>
      </c>
      <c r="F13" s="17">
        <f t="shared" si="5"/>
        <v>1.3</v>
      </c>
      <c r="G13" s="17">
        <f t="shared" si="5"/>
        <v>1.3</v>
      </c>
      <c r="H13" s="17">
        <f t="shared" si="1"/>
        <v>17.808219178082194</v>
      </c>
      <c r="I13" s="17"/>
      <c r="J13" s="137"/>
      <c r="K13" s="259"/>
      <c r="L13" s="259"/>
      <c r="M13" s="259"/>
      <c r="N13" s="1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37"/>
      <c r="K14" s="137"/>
      <c r="L14" s="285"/>
      <c r="M14" s="285"/>
      <c r="N14" s="285"/>
      <c r="O14" s="286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21.998550000000002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37"/>
      <c r="K15" s="137"/>
      <c r="L15" s="285"/>
      <c r="M15" s="285"/>
      <c r="N15" s="285"/>
      <c r="O15" s="286"/>
      <c r="P15" s="286"/>
      <c r="Q15" s="286"/>
      <c r="R15" s="286"/>
      <c r="S15" s="286"/>
      <c r="T15" s="286"/>
      <c r="U15" s="286"/>
      <c r="V15" s="286"/>
      <c r="W15" s="286"/>
      <c r="X15" s="286"/>
      <c r="Y15" s="286"/>
      <c r="Z15" s="286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1.3</v>
      </c>
      <c r="F16" s="17">
        <v>1.3</v>
      </c>
      <c r="G16" s="17">
        <v>1.3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287"/>
      <c r="M17" s="287"/>
      <c r="N17" s="287"/>
      <c r="O17" s="288"/>
      <c r="P17" s="288"/>
      <c r="Q17" s="288"/>
      <c r="R17" s="288"/>
      <c r="S17" s="286"/>
      <c r="T17" s="286"/>
      <c r="U17" s="286"/>
      <c r="V17" s="286"/>
      <c r="W17" s="286"/>
      <c r="X17" s="286"/>
      <c r="Y17" s="286"/>
      <c r="Z17" s="286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4.3550000000000004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287"/>
      <c r="M18" s="287"/>
      <c r="N18" s="287"/>
      <c r="O18" s="288"/>
      <c r="P18" s="288"/>
      <c r="Q18" s="288"/>
      <c r="R18" s="288"/>
      <c r="S18" s="286"/>
      <c r="T18" s="286"/>
      <c r="U18" s="286"/>
      <c r="V18" s="286"/>
      <c r="W18" s="286"/>
      <c r="X18" s="286"/>
      <c r="Y18" s="286"/>
      <c r="Z18" s="286"/>
    </row>
    <row r="19" spans="1:26" ht="31.5" customHeight="1" x14ac:dyDescent="0.25">
      <c r="A19" s="40" t="s">
        <v>30</v>
      </c>
      <c r="B19" s="42" t="s">
        <v>31</v>
      </c>
      <c r="C19" s="40" t="s">
        <v>18</v>
      </c>
      <c r="D19" s="17">
        <f t="shared" ref="D19:G19" si="9">D22+D25</f>
        <v>0</v>
      </c>
      <c r="E19" s="17">
        <f t="shared" si="9"/>
        <v>6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6"/>
      <c r="O19" s="90"/>
      <c r="P19" s="90"/>
      <c r="Q19" s="90"/>
      <c r="R19" s="90"/>
      <c r="S19" s="90"/>
      <c r="T19" s="90"/>
      <c r="U19" s="87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26.770000000000003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78"/>
      <c r="M20" s="278"/>
      <c r="N20" s="289"/>
      <c r="O20" s="290"/>
      <c r="P20" s="290"/>
      <c r="Q20" s="290"/>
      <c r="R20" s="290"/>
      <c r="S20" s="290"/>
      <c r="T20" s="290"/>
      <c r="U20" s="291"/>
      <c r="V20" s="286"/>
      <c r="W20" s="286"/>
      <c r="X20" s="286"/>
      <c r="Y20" s="286"/>
      <c r="Z20" s="286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16.062000000000001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78"/>
      <c r="M21" s="278"/>
      <c r="N21" s="289"/>
      <c r="O21" s="290"/>
      <c r="P21" s="290"/>
      <c r="Q21" s="290"/>
      <c r="R21" s="290"/>
      <c r="S21" s="290"/>
      <c r="T21" s="290"/>
      <c r="U21" s="291"/>
      <c r="V21" s="286"/>
      <c r="W21" s="286"/>
      <c r="X21" s="286"/>
      <c r="Y21" s="286"/>
      <c r="Z21" s="286"/>
    </row>
    <row r="22" spans="1:26" ht="31.5" customHeight="1" x14ac:dyDescent="0.25">
      <c r="A22" s="40" t="s">
        <v>32</v>
      </c>
      <c r="B22" s="42" t="s">
        <v>33</v>
      </c>
      <c r="C22" s="40" t="s">
        <v>18</v>
      </c>
      <c r="D22" s="17"/>
      <c r="E22" s="17">
        <v>6</v>
      </c>
      <c r="F22" s="31">
        <v>0</v>
      </c>
      <c r="G22" s="17">
        <v>0</v>
      </c>
      <c r="H22" s="17">
        <f t="shared" si="1"/>
        <v>0</v>
      </c>
      <c r="I22" s="31"/>
      <c r="J22" s="55"/>
      <c r="K22" s="55"/>
      <c r="L22" s="55"/>
      <c r="M22" s="55"/>
      <c r="N22" s="63"/>
      <c r="O22" s="255"/>
      <c r="P22" s="255"/>
      <c r="Q22" s="255"/>
      <c r="R22" s="255"/>
      <c r="S22" s="255"/>
      <c r="T22" s="255"/>
      <c r="U22" s="87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5"/>
      <c r="K23" s="55"/>
      <c r="L23" s="292"/>
      <c r="M23" s="292"/>
      <c r="N23" s="293"/>
      <c r="O23" s="294"/>
      <c r="P23" s="294"/>
      <c r="Q23" s="294"/>
      <c r="R23" s="294"/>
      <c r="S23" s="294"/>
      <c r="T23" s="294"/>
      <c r="U23" s="291"/>
      <c r="V23" s="286"/>
      <c r="W23" s="286"/>
      <c r="X23" s="286"/>
      <c r="Y23" s="286"/>
      <c r="Z23" s="286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2">D22*D23/10</f>
        <v>0</v>
      </c>
      <c r="E24" s="31">
        <f t="shared" si="12"/>
        <v>23.004000000000001</v>
      </c>
      <c r="F24" s="31">
        <f t="shared" si="12"/>
        <v>0</v>
      </c>
      <c r="G24" s="31">
        <f t="shared" si="12"/>
        <v>0</v>
      </c>
      <c r="H24" s="17">
        <f t="shared" si="1"/>
        <v>0</v>
      </c>
      <c r="I24" s="31"/>
      <c r="J24" s="55"/>
      <c r="K24" s="55"/>
      <c r="L24" s="292"/>
      <c r="M24" s="292"/>
      <c r="N24" s="293"/>
      <c r="O24" s="294"/>
      <c r="P24" s="294"/>
      <c r="Q24" s="294"/>
      <c r="R24" s="294"/>
      <c r="S24" s="294"/>
      <c r="T24" s="294"/>
      <c r="U24" s="291"/>
      <c r="V24" s="286"/>
      <c r="W24" s="286"/>
      <c r="X24" s="286"/>
      <c r="Y24" s="286"/>
      <c r="Z24" s="286"/>
    </row>
    <row r="25" spans="1:26" ht="31.5" customHeight="1" x14ac:dyDescent="0.25">
      <c r="A25" s="40" t="s">
        <v>32</v>
      </c>
      <c r="B25" s="42" t="s">
        <v>34</v>
      </c>
      <c r="C25" s="40" t="s">
        <v>18</v>
      </c>
      <c r="D25" s="17"/>
      <c r="E25" s="17"/>
      <c r="F25" s="31">
        <v>0</v>
      </c>
      <c r="G25" s="31">
        <v>0</v>
      </c>
      <c r="H25" s="17"/>
      <c r="I25" s="31"/>
      <c r="J25" s="55"/>
      <c r="K25" s="55"/>
      <c r="L25" s="55"/>
      <c r="M25" s="55"/>
      <c r="N25" s="55"/>
      <c r="O25" s="33"/>
      <c r="P25" s="33"/>
      <c r="Q25" s="256"/>
      <c r="R25" s="256"/>
      <c r="S25" s="256"/>
      <c r="T25" s="256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>F26/E26*100</f>
        <v>0</v>
      </c>
      <c r="I26" s="31"/>
      <c r="J26" s="55"/>
      <c r="K26" s="55"/>
      <c r="L26" s="55"/>
      <c r="M26" s="55"/>
      <c r="N26" s="55"/>
      <c r="O26" s="33"/>
      <c r="P26" s="33"/>
      <c r="Q26" s="256"/>
      <c r="R26" s="256"/>
      <c r="S26" s="256"/>
      <c r="T26" s="256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17"/>
      <c r="E27" s="17"/>
      <c r="F27" s="31"/>
      <c r="G27" s="31"/>
      <c r="H27" s="17"/>
      <c r="I27" s="31"/>
      <c r="J27" s="55"/>
      <c r="K27" s="55"/>
      <c r="L27" s="55"/>
      <c r="M27" s="55"/>
      <c r="N27" s="55"/>
      <c r="O27" s="33"/>
      <c r="P27" s="33"/>
      <c r="Q27" s="256"/>
      <c r="R27" s="256"/>
      <c r="S27" s="256"/>
      <c r="T27" s="256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17">
        <f t="shared" ref="H28:H30" si="14">F28/E28*100</f>
        <v>100</v>
      </c>
      <c r="I28" s="17"/>
      <c r="J28" s="257"/>
      <c r="K28" s="257"/>
      <c r="L28" s="257"/>
      <c r="M28" s="257"/>
      <c r="N28" s="257"/>
      <c r="O28" s="256"/>
      <c r="P28" s="256"/>
      <c r="Q28" s="256"/>
      <c r="R28" s="256"/>
      <c r="S28" s="256"/>
      <c r="T28" s="256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v>36.85</v>
      </c>
      <c r="E29" s="31">
        <f t="shared" ref="E29:G29" si="15">E35</f>
        <v>36.9</v>
      </c>
      <c r="F29" s="31">
        <f t="shared" si="15"/>
        <v>0</v>
      </c>
      <c r="G29" s="31">
        <f t="shared" si="15"/>
        <v>0</v>
      </c>
      <c r="H29" s="17">
        <f t="shared" si="14"/>
        <v>0</v>
      </c>
      <c r="I29" s="31"/>
      <c r="J29" s="257"/>
      <c r="K29" s="257"/>
      <c r="L29" s="295"/>
      <c r="M29" s="295"/>
      <c r="N29" s="295"/>
      <c r="O29" s="296"/>
      <c r="P29" s="296"/>
      <c r="Q29" s="296"/>
      <c r="R29" s="296"/>
      <c r="S29" s="296"/>
      <c r="T29" s="296"/>
      <c r="U29" s="286"/>
      <c r="V29" s="286"/>
      <c r="W29" s="286"/>
      <c r="X29" s="286"/>
      <c r="Y29" s="286"/>
      <c r="Z29" s="286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6">D28*D29/10</f>
        <v>3.6850000000000001</v>
      </c>
      <c r="E30" s="31">
        <f t="shared" si="16"/>
        <v>3.69</v>
      </c>
      <c r="F30" s="31">
        <f t="shared" si="16"/>
        <v>0</v>
      </c>
      <c r="G30" s="31">
        <f t="shared" si="16"/>
        <v>0</v>
      </c>
      <c r="H30" s="17">
        <f t="shared" si="14"/>
        <v>0</v>
      </c>
      <c r="I30" s="31"/>
      <c r="J30" s="257"/>
      <c r="K30" s="257"/>
      <c r="L30" s="295"/>
      <c r="M30" s="295"/>
      <c r="N30" s="295"/>
      <c r="O30" s="296"/>
      <c r="P30" s="296"/>
      <c r="Q30" s="296"/>
      <c r="R30" s="296"/>
      <c r="S30" s="296"/>
      <c r="T30" s="296"/>
      <c r="U30" s="286"/>
      <c r="V30" s="286"/>
      <c r="W30" s="286"/>
      <c r="X30" s="286"/>
      <c r="Y30" s="286"/>
      <c r="Z30" s="286"/>
    </row>
    <row r="31" spans="1:26" ht="31.5" customHeight="1" x14ac:dyDescent="0.25">
      <c r="A31" s="40" t="s">
        <v>28</v>
      </c>
      <c r="B31" s="45" t="s">
        <v>37</v>
      </c>
      <c r="C31" s="40" t="s">
        <v>18</v>
      </c>
      <c r="D31" s="17"/>
      <c r="E31" s="17"/>
      <c r="F31" s="17"/>
      <c r="G31" s="17"/>
      <c r="H31" s="17"/>
      <c r="I31" s="17"/>
      <c r="J31" s="257"/>
      <c r="K31" s="257"/>
      <c r="L31" s="257"/>
      <c r="M31" s="257"/>
      <c r="N31" s="257"/>
      <c r="O31" s="256"/>
      <c r="P31" s="256"/>
      <c r="Q31" s="256"/>
      <c r="R31" s="256"/>
      <c r="S31" s="256"/>
      <c r="T31" s="256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257"/>
      <c r="K32" s="257"/>
      <c r="L32" s="257"/>
      <c r="M32" s="257"/>
      <c r="N32" s="257"/>
      <c r="O32" s="256"/>
      <c r="P32" s="256"/>
      <c r="Q32" s="256"/>
      <c r="R32" s="256"/>
      <c r="S32" s="256"/>
      <c r="T32" s="256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257"/>
      <c r="K33" s="257"/>
      <c r="L33" s="257"/>
      <c r="M33" s="257"/>
      <c r="N33" s="257"/>
      <c r="O33" s="256"/>
      <c r="P33" s="256"/>
      <c r="Q33" s="256"/>
      <c r="R33" s="256"/>
      <c r="S33" s="256"/>
      <c r="T33" s="256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2" t="s">
        <v>38</v>
      </c>
      <c r="C34" s="40" t="s">
        <v>18</v>
      </c>
      <c r="D34" s="104">
        <v>1</v>
      </c>
      <c r="E34" s="104">
        <v>1</v>
      </c>
      <c r="F34" s="104">
        <v>1</v>
      </c>
      <c r="G34" s="104">
        <v>1</v>
      </c>
      <c r="H34" s="17">
        <f t="shared" ref="H34:H39" si="17">F34/E34*100</f>
        <v>100</v>
      </c>
      <c r="I34" s="31"/>
      <c r="J34" s="137"/>
      <c r="K34" s="137"/>
      <c r="L34" s="137"/>
      <c r="M34" s="137"/>
      <c r="N34" s="137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137"/>
      <c r="K35" s="137"/>
      <c r="L35" s="137"/>
      <c r="M35" s="137"/>
      <c r="N35" s="137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3.6850000000000001</v>
      </c>
      <c r="E36" s="31">
        <f t="shared" si="18"/>
        <v>3.69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137"/>
      <c r="K36" s="137"/>
      <c r="L36" s="137"/>
      <c r="M36" s="137"/>
      <c r="N36" s="13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/>
      <c r="E37" s="17">
        <v>1.06</v>
      </c>
      <c r="F37" s="17">
        <v>1.06</v>
      </c>
      <c r="G37" s="17">
        <v>1.06</v>
      </c>
      <c r="H37" s="17">
        <f t="shared" si="17"/>
        <v>100</v>
      </c>
      <c r="I37" s="17"/>
      <c r="J37" s="137"/>
      <c r="K37" s="53"/>
      <c r="L37" s="46"/>
      <c r="M37" s="46"/>
      <c r="N37" s="46"/>
      <c r="O37" s="46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7"/>
        <v>0</v>
      </c>
      <c r="I38" s="31"/>
      <c r="J38" s="137"/>
      <c r="K38" s="46"/>
      <c r="L38" s="289"/>
      <c r="M38" s="289"/>
      <c r="N38" s="289"/>
      <c r="O38" s="289"/>
      <c r="P38" s="286"/>
      <c r="Q38" s="286"/>
      <c r="R38" s="286"/>
      <c r="S38" s="286"/>
      <c r="T38" s="286"/>
      <c r="U38" s="286"/>
      <c r="V38" s="286"/>
      <c r="W38" s="286"/>
      <c r="X38" s="286"/>
      <c r="Y38" s="286"/>
      <c r="Z38" s="286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19">D37*D38/10</f>
        <v>0</v>
      </c>
      <c r="E39" s="31">
        <f t="shared" si="19"/>
        <v>14.84</v>
      </c>
      <c r="F39" s="31">
        <f t="shared" si="19"/>
        <v>0</v>
      </c>
      <c r="G39" s="31">
        <f t="shared" si="19"/>
        <v>0</v>
      </c>
      <c r="H39" s="17">
        <f t="shared" si="17"/>
        <v>0</v>
      </c>
      <c r="I39" s="31"/>
      <c r="J39" s="137"/>
      <c r="K39" s="46"/>
      <c r="L39" s="289"/>
      <c r="M39" s="289"/>
      <c r="N39" s="289"/>
      <c r="O39" s="289"/>
      <c r="P39" s="286"/>
      <c r="Q39" s="286"/>
      <c r="R39" s="286"/>
      <c r="S39" s="286"/>
      <c r="T39" s="286"/>
      <c r="U39" s="286"/>
      <c r="V39" s="286"/>
      <c r="W39" s="286"/>
      <c r="X39" s="286"/>
      <c r="Y39" s="286"/>
      <c r="Z39" s="286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31"/>
      <c r="G40" s="31"/>
      <c r="H40" s="17"/>
      <c r="I40" s="31"/>
      <c r="J40" s="137"/>
      <c r="K40" s="46"/>
      <c r="L40" s="289"/>
      <c r="M40" s="289"/>
      <c r="N40" s="289"/>
      <c r="O40" s="289"/>
      <c r="P40" s="286"/>
      <c r="Q40" s="286"/>
      <c r="R40" s="286"/>
      <c r="S40" s="286"/>
      <c r="T40" s="286"/>
      <c r="U40" s="286"/>
      <c r="V40" s="286"/>
      <c r="W40" s="286"/>
      <c r="X40" s="286"/>
      <c r="Y40" s="286"/>
      <c r="Z40" s="286"/>
    </row>
    <row r="41" spans="1:26" ht="31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31"/>
      <c r="G41" s="31"/>
      <c r="H41" s="17">
        <f>F41/E41*100</f>
        <v>0</v>
      </c>
      <c r="I41" s="31"/>
      <c r="J41" s="137"/>
      <c r="K41" s="46"/>
      <c r="L41" s="289"/>
      <c r="M41" s="289"/>
      <c r="N41" s="289"/>
      <c r="O41" s="289"/>
      <c r="P41" s="286"/>
      <c r="Q41" s="286"/>
      <c r="R41" s="286"/>
      <c r="S41" s="286"/>
      <c r="T41" s="286"/>
      <c r="U41" s="286"/>
      <c r="V41" s="286"/>
      <c r="W41" s="286"/>
      <c r="X41" s="286"/>
      <c r="Y41" s="286"/>
      <c r="Z41" s="286"/>
    </row>
    <row r="42" spans="1:26" ht="31.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20">E40*E41/10</f>
        <v>0</v>
      </c>
      <c r="F42" s="31">
        <f t="shared" si="20"/>
        <v>0</v>
      </c>
      <c r="G42" s="31">
        <f t="shared" si="20"/>
        <v>0</v>
      </c>
      <c r="H42" s="17"/>
      <c r="I42" s="31"/>
      <c r="J42" s="137"/>
      <c r="K42" s="46"/>
      <c r="L42" s="289"/>
      <c r="M42" s="289"/>
      <c r="N42" s="289"/>
      <c r="O42" s="289"/>
      <c r="P42" s="286"/>
      <c r="Q42" s="286"/>
      <c r="R42" s="286"/>
      <c r="S42" s="286"/>
      <c r="T42" s="286"/>
      <c r="U42" s="286"/>
      <c r="V42" s="286"/>
      <c r="W42" s="286"/>
      <c r="X42" s="286"/>
      <c r="Y42" s="286"/>
      <c r="Z42" s="286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ref="H43:H50" si="21">F43/E43*100</f>
        <v>54</v>
      </c>
      <c r="I43" s="17"/>
      <c r="J43" s="137"/>
      <c r="K43" s="137"/>
      <c r="L43" s="137"/>
      <c r="M43" s="137"/>
      <c r="N43" s="137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21"/>
        <v>0</v>
      </c>
      <c r="I44" s="31"/>
      <c r="J44" s="137"/>
      <c r="K44" s="137"/>
      <c r="L44" s="137"/>
      <c r="M44" s="137"/>
      <c r="N44" s="13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9" t="s">
        <v>27</v>
      </c>
      <c r="C45" s="50" t="s">
        <v>21</v>
      </c>
      <c r="D45" s="31">
        <f t="shared" ref="D45:G45" si="22">D43*D44/10</f>
        <v>5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17">
        <f t="shared" si="21"/>
        <v>0</v>
      </c>
      <c r="I45" s="31"/>
      <c r="J45" s="137"/>
      <c r="K45" s="137"/>
      <c r="L45" s="137"/>
      <c r="M45" s="137"/>
      <c r="N45" s="13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39.15</v>
      </c>
      <c r="E46" s="17">
        <f t="shared" si="23"/>
        <v>49.949999999999996</v>
      </c>
      <c r="F46" s="17">
        <f t="shared" si="23"/>
        <v>39.449999999999996</v>
      </c>
      <c r="G46" s="17">
        <f t="shared" si="23"/>
        <v>39.449999999999996</v>
      </c>
      <c r="H46" s="17">
        <f t="shared" si="21"/>
        <v>78.978978978978972</v>
      </c>
      <c r="I46" s="17"/>
      <c r="J46" s="137"/>
      <c r="K46" s="137"/>
      <c r="L46" s="137"/>
      <c r="M46" s="137"/>
      <c r="N46" s="13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6" t="s">
        <v>43</v>
      </c>
      <c r="B47" s="16" t="s">
        <v>44</v>
      </c>
      <c r="C47" s="15" t="s">
        <v>18</v>
      </c>
      <c r="D47" s="17">
        <f t="shared" ref="D47:G47" si="24">D48+D49</f>
        <v>34.65</v>
      </c>
      <c r="E47" s="17">
        <f t="shared" si="24"/>
        <v>44.65</v>
      </c>
      <c r="F47" s="17">
        <f t="shared" si="24"/>
        <v>34.65</v>
      </c>
      <c r="G47" s="17">
        <f t="shared" si="24"/>
        <v>34.65</v>
      </c>
      <c r="H47" s="17">
        <f t="shared" si="21"/>
        <v>77.603583426651738</v>
      </c>
      <c r="I47" s="17"/>
      <c r="J47" s="137"/>
      <c r="K47" s="137"/>
      <c r="L47" s="137"/>
      <c r="M47" s="137"/>
      <c r="N47" s="13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9" t="s">
        <v>32</v>
      </c>
      <c r="B48" s="60" t="s">
        <v>45</v>
      </c>
      <c r="C48" s="61" t="s">
        <v>18</v>
      </c>
      <c r="D48" s="31">
        <v>24</v>
      </c>
      <c r="E48" s="31">
        <f>D48+D49</f>
        <v>34.65</v>
      </c>
      <c r="F48" s="31">
        <v>34.65</v>
      </c>
      <c r="G48" s="31">
        <v>34.65</v>
      </c>
      <c r="H48" s="31">
        <f t="shared" si="21"/>
        <v>100</v>
      </c>
      <c r="I48" s="31"/>
      <c r="J48" s="55"/>
      <c r="K48" s="55"/>
      <c r="L48" s="55"/>
      <c r="M48" s="55"/>
      <c r="N48" s="55"/>
      <c r="O48" s="33"/>
      <c r="P48" s="33"/>
      <c r="Q48" s="33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4" t="s">
        <v>18</v>
      </c>
      <c r="D49" s="17">
        <f t="shared" ref="D49:G49" si="25">D50+D51</f>
        <v>10.65</v>
      </c>
      <c r="E49" s="17">
        <f t="shared" si="25"/>
        <v>10</v>
      </c>
      <c r="F49" s="17">
        <f t="shared" si="25"/>
        <v>0</v>
      </c>
      <c r="G49" s="17">
        <f t="shared" si="25"/>
        <v>0</v>
      </c>
      <c r="H49" s="17">
        <f t="shared" si="21"/>
        <v>0</v>
      </c>
      <c r="I49" s="17"/>
      <c r="J49" s="236"/>
      <c r="K49" s="236"/>
      <c r="L49" s="236"/>
      <c r="M49" s="236"/>
      <c r="N49" s="236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61" t="s">
        <v>47</v>
      </c>
      <c r="B50" s="66" t="s">
        <v>269</v>
      </c>
      <c r="C50" s="61" t="s">
        <v>18</v>
      </c>
      <c r="D50" s="31">
        <f>8.65-1</f>
        <v>7.65</v>
      </c>
      <c r="E50" s="31">
        <v>10</v>
      </c>
      <c r="F50" s="31">
        <v>0</v>
      </c>
      <c r="G50" s="31">
        <v>0</v>
      </c>
      <c r="H50" s="17">
        <f t="shared" si="21"/>
        <v>0</v>
      </c>
      <c r="I50" s="31"/>
      <c r="J50" s="137"/>
      <c r="K50" s="55"/>
      <c r="L50" s="55"/>
      <c r="M50" s="137"/>
      <c r="N50" s="13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61" t="s">
        <v>47</v>
      </c>
      <c r="B51" s="66" t="s">
        <v>49</v>
      </c>
      <c r="C51" s="30" t="s">
        <v>18</v>
      </c>
      <c r="D51" s="31">
        <v>3</v>
      </c>
      <c r="E51" s="31"/>
      <c r="F51" s="31"/>
      <c r="G51" s="31"/>
      <c r="H51" s="17"/>
      <c r="I51" s="31"/>
      <c r="J51" s="137"/>
      <c r="K51" s="137"/>
      <c r="L51" s="137"/>
      <c r="M51" s="137"/>
      <c r="N51" s="13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15.6</v>
      </c>
      <c r="E52" s="17">
        <f t="shared" si="26"/>
        <v>20.399999999999999</v>
      </c>
      <c r="F52" s="17">
        <f t="shared" si="26"/>
        <v>20.399999999999999</v>
      </c>
      <c r="G52" s="17">
        <f t="shared" si="26"/>
        <v>20.399999999999999</v>
      </c>
      <c r="H52" s="17">
        <f t="shared" ref="H52:H53" si="27">F52/E52*100</f>
        <v>100</v>
      </c>
      <c r="I52" s="17"/>
      <c r="J52" s="236"/>
      <c r="K52" s="236"/>
      <c r="L52" s="236"/>
      <c r="M52" s="236"/>
      <c r="N52" s="236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71" t="s">
        <v>47</v>
      </c>
      <c r="B53" s="66" t="s">
        <v>51</v>
      </c>
      <c r="C53" s="30" t="s">
        <v>18</v>
      </c>
      <c r="D53" s="31">
        <v>15.6</v>
      </c>
      <c r="E53" s="31">
        <f>D48*85%</f>
        <v>20.399999999999999</v>
      </c>
      <c r="F53" s="31">
        <v>20.399999999999999</v>
      </c>
      <c r="G53" s="31">
        <v>20.399999999999999</v>
      </c>
      <c r="H53" s="17">
        <f t="shared" si="27"/>
        <v>100</v>
      </c>
      <c r="I53" s="31"/>
      <c r="J53" s="137"/>
      <c r="K53" s="137"/>
      <c r="L53" s="137"/>
      <c r="M53" s="238"/>
      <c r="N53" s="1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6" t="s">
        <v>52</v>
      </c>
      <c r="C54" s="30" t="s">
        <v>18</v>
      </c>
      <c r="D54" s="31"/>
      <c r="E54" s="31"/>
      <c r="F54" s="31"/>
      <c r="G54" s="31"/>
      <c r="H54" s="17"/>
      <c r="I54" s="31"/>
      <c r="J54" s="137"/>
      <c r="K54" s="137"/>
      <c r="L54" s="137"/>
      <c r="M54" s="137"/>
      <c r="N54" s="13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8">D56+D57</f>
        <v>4.5</v>
      </c>
      <c r="E55" s="17">
        <f t="shared" si="28"/>
        <v>5.3</v>
      </c>
      <c r="F55" s="17">
        <f t="shared" si="28"/>
        <v>4.8</v>
      </c>
      <c r="G55" s="17">
        <f t="shared" si="28"/>
        <v>4.8</v>
      </c>
      <c r="H55" s="17">
        <f t="shared" ref="H55:H63" si="29">F55/E55*100</f>
        <v>90.566037735849065</v>
      </c>
      <c r="I55" s="17"/>
      <c r="J55" s="137"/>
      <c r="K55" s="137"/>
      <c r="L55" s="137"/>
      <c r="M55" s="137"/>
      <c r="N55" s="13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60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17">
        <f t="shared" si="29"/>
        <v>100</v>
      </c>
      <c r="I56" s="31"/>
      <c r="J56" s="137"/>
      <c r="K56" s="137"/>
      <c r="L56" s="137"/>
      <c r="M56" s="137"/>
      <c r="N56" s="13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30">D58+D61</f>
        <v>0</v>
      </c>
      <c r="E57" s="31">
        <f t="shared" si="30"/>
        <v>0.5</v>
      </c>
      <c r="F57" s="31">
        <f t="shared" si="30"/>
        <v>0</v>
      </c>
      <c r="G57" s="31">
        <f t="shared" si="30"/>
        <v>0</v>
      </c>
      <c r="H57" s="17">
        <f t="shared" si="29"/>
        <v>0</v>
      </c>
      <c r="I57" s="31"/>
      <c r="J57" s="137"/>
      <c r="K57" s="137"/>
      <c r="L57" s="137"/>
      <c r="M57" s="137"/>
      <c r="N57" s="13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8" t="s">
        <v>28</v>
      </c>
      <c r="B58" s="75" t="s">
        <v>57</v>
      </c>
      <c r="C58" s="30" t="s">
        <v>18</v>
      </c>
      <c r="D58" s="76">
        <f t="shared" ref="D58:G58" si="31">D59+D60</f>
        <v>0</v>
      </c>
      <c r="E58" s="76">
        <f t="shared" si="31"/>
        <v>0.30000000000000004</v>
      </c>
      <c r="F58" s="76">
        <f t="shared" si="31"/>
        <v>0</v>
      </c>
      <c r="G58" s="76">
        <f t="shared" si="31"/>
        <v>0</v>
      </c>
      <c r="H58" s="17">
        <f t="shared" si="29"/>
        <v>0</v>
      </c>
      <c r="I58" s="76"/>
      <c r="J58" s="241"/>
      <c r="K58" s="106"/>
      <c r="L58" s="106"/>
      <c r="M58" s="106"/>
      <c r="N58" s="106"/>
      <c r="O58" s="106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31.5" customHeight="1" x14ac:dyDescent="0.25">
      <c r="A59" s="30" t="s">
        <v>47</v>
      </c>
      <c r="B59" s="60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29"/>
        <v>0</v>
      </c>
      <c r="I59" s="31"/>
      <c r="J59" s="35"/>
      <c r="K59" s="240"/>
      <c r="L59" s="240"/>
      <c r="M59" s="240"/>
      <c r="N59" s="240"/>
      <c r="O59" s="24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60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7">
        <f t="shared" si="29"/>
        <v>0</v>
      </c>
      <c r="I60" s="31"/>
      <c r="J60" s="35"/>
      <c r="K60" s="240"/>
      <c r="L60" s="240"/>
      <c r="M60" s="240"/>
      <c r="N60" s="240"/>
      <c r="O60" s="24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8" t="s">
        <v>30</v>
      </c>
      <c r="B61" s="81" t="s">
        <v>60</v>
      </c>
      <c r="C61" s="30" t="s">
        <v>18</v>
      </c>
      <c r="D61" s="76">
        <f t="shared" ref="D61:G61" si="32">D62+D63</f>
        <v>0</v>
      </c>
      <c r="E61" s="76">
        <f t="shared" si="32"/>
        <v>0.2</v>
      </c>
      <c r="F61" s="76">
        <f t="shared" si="32"/>
        <v>0</v>
      </c>
      <c r="G61" s="76">
        <f t="shared" si="32"/>
        <v>0</v>
      </c>
      <c r="H61" s="17">
        <f t="shared" si="29"/>
        <v>0</v>
      </c>
      <c r="I61" s="76"/>
      <c r="J61" s="35"/>
      <c r="K61" s="106"/>
      <c r="L61" s="241"/>
      <c r="M61" s="241"/>
      <c r="N61" s="24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31.5" customHeight="1" x14ac:dyDescent="0.25">
      <c r="A62" s="30" t="s">
        <v>47</v>
      </c>
      <c r="B62" s="60" t="s">
        <v>61</v>
      </c>
      <c r="C62" s="30" t="s">
        <v>18</v>
      </c>
      <c r="D62" s="31"/>
      <c r="E62" s="31">
        <v>0.1</v>
      </c>
      <c r="F62" s="31">
        <v>0</v>
      </c>
      <c r="G62" s="31">
        <v>0</v>
      </c>
      <c r="H62" s="17">
        <f t="shared" si="29"/>
        <v>0</v>
      </c>
      <c r="I62" s="31"/>
      <c r="J62" s="35"/>
      <c r="K62" s="240"/>
      <c r="L62" s="240"/>
      <c r="M62" s="240"/>
      <c r="N62" s="240"/>
      <c r="O62" s="24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60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9"/>
        <v>0</v>
      </c>
      <c r="I63" s="31"/>
      <c r="J63" s="35"/>
      <c r="K63" s="240"/>
      <c r="L63" s="240"/>
      <c r="M63" s="240"/>
      <c r="N63" s="240"/>
      <c r="O63" s="24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3">D65+D66</f>
        <v>0</v>
      </c>
      <c r="E64" s="17">
        <f t="shared" si="33"/>
        <v>0</v>
      </c>
      <c r="F64" s="17">
        <f t="shared" si="33"/>
        <v>0</v>
      </c>
      <c r="G64" s="17">
        <f t="shared" si="33"/>
        <v>0</v>
      </c>
      <c r="H64" s="31"/>
      <c r="I64" s="17"/>
      <c r="J64" s="28"/>
      <c r="K64" s="137"/>
      <c r="L64" s="137"/>
      <c r="M64" s="137"/>
      <c r="N64" s="1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60" t="s">
        <v>45</v>
      </c>
      <c r="C65" s="30" t="s">
        <v>18</v>
      </c>
      <c r="D65" s="31"/>
      <c r="E65" s="31"/>
      <c r="F65" s="31"/>
      <c r="G65" s="31"/>
      <c r="H65" s="31"/>
      <c r="I65" s="31"/>
      <c r="J65" s="28"/>
      <c r="K65" s="137"/>
      <c r="L65" s="137"/>
      <c r="M65" s="137"/>
      <c r="N65" s="1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31"/>
      <c r="I66" s="31"/>
      <c r="J66" s="28"/>
      <c r="K66" s="137"/>
      <c r="L66" s="137"/>
      <c r="M66" s="137"/>
      <c r="N66" s="1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4">D68+D71</f>
        <v>13.370000000000001</v>
      </c>
      <c r="E67" s="17">
        <f t="shared" si="34"/>
        <v>11.14</v>
      </c>
      <c r="F67" s="17">
        <f t="shared" si="34"/>
        <v>11.03</v>
      </c>
      <c r="G67" s="17">
        <f t="shared" si="34"/>
        <v>11.03</v>
      </c>
      <c r="H67" s="17">
        <f>F67/E67*100</f>
        <v>99.0125673249551</v>
      </c>
      <c r="I67" s="17"/>
      <c r="J67" s="28"/>
      <c r="K67" s="137"/>
      <c r="L67" s="137"/>
      <c r="M67" s="137"/>
      <c r="N67" s="1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5">D69+D70</f>
        <v>0</v>
      </c>
      <c r="E68" s="17">
        <f t="shared" si="35"/>
        <v>0</v>
      </c>
      <c r="F68" s="17">
        <f t="shared" si="35"/>
        <v>0</v>
      </c>
      <c r="G68" s="17">
        <f t="shared" si="35"/>
        <v>0</v>
      </c>
      <c r="H68" s="31"/>
      <c r="I68" s="17"/>
      <c r="J68" s="137"/>
      <c r="K68" s="137"/>
      <c r="L68" s="137"/>
      <c r="M68" s="137"/>
      <c r="N68" s="1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60" t="s">
        <v>69</v>
      </c>
      <c r="C69" s="30" t="s">
        <v>18</v>
      </c>
      <c r="D69" s="31"/>
      <c r="E69" s="31"/>
      <c r="F69" s="31"/>
      <c r="G69" s="31"/>
      <c r="H69" s="31"/>
      <c r="I69" s="31"/>
      <c r="J69" s="137"/>
      <c r="K69" s="137"/>
      <c r="L69" s="137"/>
      <c r="M69" s="137"/>
      <c r="N69" s="1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60" t="s">
        <v>70</v>
      </c>
      <c r="C70" s="30" t="s">
        <v>18</v>
      </c>
      <c r="D70" s="31"/>
      <c r="E70" s="31"/>
      <c r="F70" s="31"/>
      <c r="G70" s="31"/>
      <c r="H70" s="31"/>
      <c r="I70" s="31"/>
      <c r="J70" s="137"/>
      <c r="K70" s="137"/>
      <c r="L70" s="137"/>
      <c r="M70" s="137"/>
      <c r="N70" s="1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6">D72+D73</f>
        <v>13.370000000000001</v>
      </c>
      <c r="E71" s="17">
        <f t="shared" si="36"/>
        <v>11.14</v>
      </c>
      <c r="F71" s="17">
        <f t="shared" si="36"/>
        <v>11.03</v>
      </c>
      <c r="G71" s="17">
        <f t="shared" si="36"/>
        <v>11.03</v>
      </c>
      <c r="H71" s="17">
        <f t="shared" ref="H71:H75" si="37">F71/E71*100</f>
        <v>99.0125673249551</v>
      </c>
      <c r="I71" s="17"/>
      <c r="J71" s="137"/>
      <c r="K71" s="137"/>
      <c r="L71" s="137"/>
      <c r="M71" s="137"/>
      <c r="N71" s="1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6" t="s">
        <v>32</v>
      </c>
      <c r="B72" s="24" t="s">
        <v>74</v>
      </c>
      <c r="C72" s="15" t="s">
        <v>18</v>
      </c>
      <c r="D72" s="91">
        <f t="shared" ref="D72:G72" si="38">D75+D82</f>
        <v>12.370000000000001</v>
      </c>
      <c r="E72" s="91">
        <f t="shared" si="38"/>
        <v>11.030000000000001</v>
      </c>
      <c r="F72" s="91">
        <f t="shared" si="38"/>
        <v>11.03</v>
      </c>
      <c r="G72" s="91">
        <f t="shared" si="38"/>
        <v>11.03</v>
      </c>
      <c r="H72" s="17">
        <f t="shared" si="37"/>
        <v>99.999999999999986</v>
      </c>
      <c r="I72" s="91"/>
      <c r="J72" s="137"/>
      <c r="K72" s="137"/>
      <c r="L72" s="137"/>
      <c r="M72" s="137"/>
      <c r="N72" s="1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6" t="s">
        <v>32</v>
      </c>
      <c r="B73" s="24" t="s">
        <v>76</v>
      </c>
      <c r="C73" s="15" t="s">
        <v>18</v>
      </c>
      <c r="D73" s="17">
        <f t="shared" ref="D73:G73" si="39">D76+D83</f>
        <v>1</v>
      </c>
      <c r="E73" s="17">
        <f t="shared" si="39"/>
        <v>0.11</v>
      </c>
      <c r="F73" s="17">
        <f t="shared" si="39"/>
        <v>0</v>
      </c>
      <c r="G73" s="17">
        <f t="shared" si="39"/>
        <v>0</v>
      </c>
      <c r="H73" s="17">
        <f t="shared" si="37"/>
        <v>0</v>
      </c>
      <c r="I73" s="17"/>
      <c r="J73" s="236"/>
      <c r="K73" s="236"/>
      <c r="L73" s="236"/>
      <c r="M73" s="236"/>
      <c r="N73" s="23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5" t="s">
        <v>28</v>
      </c>
      <c r="B74" s="45" t="s">
        <v>77</v>
      </c>
      <c r="C74" s="40" t="s">
        <v>18</v>
      </c>
      <c r="D74" s="96">
        <f t="shared" ref="D74:G74" si="40">D75+D76</f>
        <v>10.030000000000001</v>
      </c>
      <c r="E74" s="96">
        <f t="shared" si="40"/>
        <v>10.030000000000001</v>
      </c>
      <c r="F74" s="96">
        <f t="shared" si="40"/>
        <v>10.029999999999999</v>
      </c>
      <c r="G74" s="96">
        <f t="shared" si="40"/>
        <v>10.029999999999999</v>
      </c>
      <c r="H74" s="104">
        <f t="shared" si="37"/>
        <v>99.999999999999972</v>
      </c>
      <c r="I74" s="96"/>
      <c r="J74" s="243"/>
      <c r="K74" s="243"/>
      <c r="L74" s="108"/>
      <c r="M74" s="108"/>
      <c r="N74" s="108"/>
      <c r="O74" s="108"/>
      <c r="P74" s="108"/>
      <c r="Q74" s="10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9" t="s">
        <v>32</v>
      </c>
      <c r="B75" s="98" t="s">
        <v>45</v>
      </c>
      <c r="C75" s="30" t="s">
        <v>18</v>
      </c>
      <c r="D75" s="62">
        <f>6.48+3.55</f>
        <v>10.030000000000001</v>
      </c>
      <c r="E75" s="62">
        <f>D75+D76</f>
        <v>10.030000000000001</v>
      </c>
      <c r="F75" s="31">
        <v>10.029999999999999</v>
      </c>
      <c r="G75" s="31">
        <v>10.029999999999999</v>
      </c>
      <c r="H75" s="31">
        <f t="shared" si="37"/>
        <v>99.999999999999972</v>
      </c>
      <c r="I75" s="31"/>
      <c r="J75" s="137"/>
      <c r="K75" s="137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17" t="s">
        <v>78</v>
      </c>
      <c r="B76" s="81" t="s">
        <v>79</v>
      </c>
      <c r="C76" s="48" t="s">
        <v>18</v>
      </c>
      <c r="D76" s="244">
        <f t="shared" ref="D76:G76" si="41">SUM(D77:D80)</f>
        <v>0</v>
      </c>
      <c r="E76" s="244">
        <f t="shared" si="41"/>
        <v>0</v>
      </c>
      <c r="F76" s="244">
        <f t="shared" si="41"/>
        <v>0</v>
      </c>
      <c r="G76" s="244">
        <f t="shared" si="41"/>
        <v>0</v>
      </c>
      <c r="H76" s="31"/>
      <c r="I76" s="244"/>
      <c r="J76" s="241"/>
      <c r="K76" s="241"/>
      <c r="L76" s="106"/>
      <c r="M76" s="106"/>
      <c r="N76" s="106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8" t="s">
        <v>47</v>
      </c>
      <c r="B77" s="101" t="s">
        <v>80</v>
      </c>
      <c r="C77" s="48" t="s">
        <v>18</v>
      </c>
      <c r="D77" s="31"/>
      <c r="E77" s="31">
        <v>0</v>
      </c>
      <c r="F77" s="31"/>
      <c r="G77" s="31"/>
      <c r="H77" s="31"/>
      <c r="I77" s="31"/>
      <c r="J77" s="241"/>
      <c r="K77" s="241"/>
      <c r="L77" s="106"/>
      <c r="M77" s="246"/>
      <c r="N77" s="246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8" t="s">
        <v>47</v>
      </c>
      <c r="B78" s="101" t="s">
        <v>81</v>
      </c>
      <c r="C78" s="48" t="s">
        <v>18</v>
      </c>
      <c r="D78" s="31"/>
      <c r="E78" s="31">
        <v>0</v>
      </c>
      <c r="F78" s="31"/>
      <c r="G78" s="31"/>
      <c r="H78" s="31"/>
      <c r="I78" s="31"/>
      <c r="J78" s="241"/>
      <c r="K78" s="241"/>
      <c r="L78" s="106"/>
      <c r="M78" s="106"/>
      <c r="N78" s="106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8" t="s">
        <v>47</v>
      </c>
      <c r="B79" s="101" t="s">
        <v>82</v>
      </c>
      <c r="C79" s="48" t="s">
        <v>18</v>
      </c>
      <c r="D79" s="31"/>
      <c r="E79" s="31"/>
      <c r="F79" s="31"/>
      <c r="G79" s="31"/>
      <c r="H79" s="31"/>
      <c r="I79" s="31"/>
      <c r="J79" s="241"/>
      <c r="K79" s="241"/>
      <c r="L79" s="106"/>
      <c r="M79" s="106"/>
      <c r="N79" s="106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8" t="s">
        <v>47</v>
      </c>
      <c r="B80" s="247" t="s">
        <v>83</v>
      </c>
      <c r="C80" s="48" t="s">
        <v>18</v>
      </c>
      <c r="D80" s="31"/>
      <c r="E80" s="31"/>
      <c r="F80" s="31"/>
      <c r="G80" s="31"/>
      <c r="H80" s="31"/>
      <c r="I80" s="31"/>
      <c r="J80" s="241"/>
      <c r="K80" s="241"/>
      <c r="L80" s="106"/>
      <c r="M80" s="106"/>
      <c r="N80" s="106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5" t="s">
        <v>30</v>
      </c>
      <c r="B81" s="45" t="s">
        <v>84</v>
      </c>
      <c r="C81" s="40" t="s">
        <v>18</v>
      </c>
      <c r="D81" s="96">
        <f t="shared" ref="D81:G81" si="42">D82+D83</f>
        <v>3.34</v>
      </c>
      <c r="E81" s="96">
        <f t="shared" si="42"/>
        <v>1.1100000000000001</v>
      </c>
      <c r="F81" s="96">
        <f t="shared" si="42"/>
        <v>1</v>
      </c>
      <c r="G81" s="96">
        <f t="shared" si="42"/>
        <v>1</v>
      </c>
      <c r="H81" s="104">
        <f t="shared" ref="H81:H83" si="43">F81/E81*100</f>
        <v>90.090090090090087</v>
      </c>
      <c r="I81" s="96"/>
      <c r="J81" s="243"/>
      <c r="K81" s="243"/>
      <c r="L81" s="108"/>
      <c r="M81" s="108"/>
      <c r="N81" s="108"/>
      <c r="O81" s="108"/>
      <c r="P81" s="108"/>
      <c r="Q81" s="108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1.5" customHeight="1" x14ac:dyDescent="0.25">
      <c r="A82" s="117" t="s">
        <v>47</v>
      </c>
      <c r="B82" s="101" t="s">
        <v>85</v>
      </c>
      <c r="C82" s="48" t="s">
        <v>18</v>
      </c>
      <c r="D82" s="76">
        <v>2.34</v>
      </c>
      <c r="E82" s="76">
        <v>1</v>
      </c>
      <c r="F82" s="76">
        <v>1</v>
      </c>
      <c r="G82" s="76">
        <v>1</v>
      </c>
      <c r="H82" s="76">
        <f t="shared" si="43"/>
        <v>100</v>
      </c>
      <c r="I82" s="76"/>
      <c r="J82" s="241"/>
      <c r="K82" s="245"/>
      <c r="L82" s="106"/>
      <c r="M82" s="106"/>
      <c r="N82" s="106"/>
      <c r="O82" s="79"/>
      <c r="P82" s="79"/>
      <c r="Q82" s="79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31.5" customHeight="1" x14ac:dyDescent="0.25">
      <c r="A83" s="117" t="s">
        <v>78</v>
      </c>
      <c r="B83" s="81" t="s">
        <v>79</v>
      </c>
      <c r="C83" s="30" t="s">
        <v>18</v>
      </c>
      <c r="D83" s="62">
        <f t="shared" ref="D83:G83" si="44">SUM(D84:D87)</f>
        <v>1</v>
      </c>
      <c r="E83" s="62">
        <f t="shared" si="44"/>
        <v>0.11</v>
      </c>
      <c r="F83" s="62">
        <f t="shared" si="44"/>
        <v>0</v>
      </c>
      <c r="G83" s="62">
        <f t="shared" si="44"/>
        <v>0</v>
      </c>
      <c r="H83" s="17">
        <f t="shared" si="43"/>
        <v>0</v>
      </c>
      <c r="I83" s="62"/>
      <c r="J83" s="241"/>
      <c r="K83" s="241"/>
      <c r="L83" s="241"/>
      <c r="M83" s="241"/>
      <c r="N83" s="24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17" t="s">
        <v>47</v>
      </c>
      <c r="B84" s="81" t="s">
        <v>86</v>
      </c>
      <c r="C84" s="48" t="s">
        <v>18</v>
      </c>
      <c r="D84" s="31"/>
      <c r="E84" s="31"/>
      <c r="F84" s="31"/>
      <c r="G84" s="31"/>
      <c r="H84" s="17"/>
      <c r="I84" s="31"/>
      <c r="J84" s="106"/>
      <c r="K84" s="106"/>
      <c r="L84" s="106"/>
      <c r="M84" s="106"/>
      <c r="N84" s="10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17" t="s">
        <v>47</v>
      </c>
      <c r="B85" s="81" t="s">
        <v>87</v>
      </c>
      <c r="C85" s="48" t="s">
        <v>18</v>
      </c>
      <c r="D85" s="31"/>
      <c r="E85" s="31"/>
      <c r="F85" s="31"/>
      <c r="G85" s="31"/>
      <c r="H85" s="17"/>
      <c r="I85" s="31"/>
      <c r="J85" s="106"/>
      <c r="K85" s="106"/>
      <c r="L85" s="106"/>
      <c r="M85" s="106"/>
      <c r="N85" s="10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17" t="s">
        <v>47</v>
      </c>
      <c r="B86" s="81" t="s">
        <v>88</v>
      </c>
      <c r="C86" s="48"/>
      <c r="D86" s="31"/>
      <c r="E86" s="31"/>
      <c r="F86" s="31"/>
      <c r="G86" s="31"/>
      <c r="H86" s="17"/>
      <c r="I86" s="31"/>
      <c r="J86" s="106"/>
      <c r="K86" s="106"/>
      <c r="L86" s="106"/>
      <c r="M86" s="106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17" t="s">
        <v>47</v>
      </c>
      <c r="B87" s="101" t="s">
        <v>89</v>
      </c>
      <c r="C87" s="48" t="s">
        <v>18</v>
      </c>
      <c r="D87" s="31">
        <v>1</v>
      </c>
      <c r="E87" s="31">
        <v>0.11</v>
      </c>
      <c r="F87" s="31">
        <v>0</v>
      </c>
      <c r="G87" s="31">
        <v>0</v>
      </c>
      <c r="H87" s="17">
        <f t="shared" ref="H87:H91" si="45">F87/E87*100</f>
        <v>0</v>
      </c>
      <c r="I87" s="31"/>
      <c r="J87" s="106"/>
      <c r="K87" s="106"/>
      <c r="L87" s="106"/>
      <c r="M87" s="246"/>
      <c r="N87" s="246"/>
      <c r="O87" s="38"/>
      <c r="P87" s="38"/>
      <c r="Q87" s="38"/>
      <c r="R87" s="47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266</v>
      </c>
      <c r="E88" s="17">
        <f t="shared" si="46"/>
        <v>208</v>
      </c>
      <c r="F88" s="17">
        <f t="shared" si="46"/>
        <v>172</v>
      </c>
      <c r="G88" s="17">
        <f t="shared" si="46"/>
        <v>172</v>
      </c>
      <c r="H88" s="17">
        <f t="shared" si="45"/>
        <v>82.692307692307693</v>
      </c>
      <c r="I88" s="17"/>
      <c r="J88" s="28"/>
      <c r="K88" s="28"/>
      <c r="L88" s="237"/>
      <c r="M88" s="237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24</v>
      </c>
      <c r="E89" s="31">
        <f>9+5</f>
        <v>14</v>
      </c>
      <c r="F89" s="31">
        <v>12</v>
      </c>
      <c r="G89" s="31">
        <f t="shared" ref="G89:G91" si="47">F89</f>
        <v>12</v>
      </c>
      <c r="H89" s="31">
        <f t="shared" si="45"/>
        <v>85.714285714285708</v>
      </c>
      <c r="I89" s="31"/>
      <c r="J89" s="57"/>
      <c r="K89" s="276"/>
      <c r="L89" s="274"/>
      <c r="M89" s="275"/>
      <c r="N89" s="57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41</v>
      </c>
      <c r="E90" s="31">
        <f>11+2</f>
        <v>13</v>
      </c>
      <c r="F90" s="31">
        <v>12</v>
      </c>
      <c r="G90" s="31">
        <f t="shared" si="47"/>
        <v>12</v>
      </c>
      <c r="H90" s="31">
        <f t="shared" si="45"/>
        <v>92.307692307692307</v>
      </c>
      <c r="I90" s="31"/>
      <c r="J90" s="57"/>
      <c r="K90" s="276"/>
      <c r="L90" s="274"/>
      <c r="M90" s="275"/>
      <c r="N90" s="57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23</v>
      </c>
      <c r="E91" s="31">
        <f>23+7</f>
        <v>30</v>
      </c>
      <c r="F91" s="31">
        <v>26</v>
      </c>
      <c r="G91" s="31">
        <f t="shared" si="47"/>
        <v>26</v>
      </c>
      <c r="H91" s="31">
        <f t="shared" si="45"/>
        <v>86.666666666666671</v>
      </c>
      <c r="I91" s="31"/>
      <c r="J91" s="57"/>
      <c r="K91" s="84"/>
      <c r="L91" s="274"/>
      <c r="M91" s="275"/>
      <c r="N91" s="57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31.5" customHeight="1" x14ac:dyDescent="0.25">
      <c r="A92" s="30">
        <v>4</v>
      </c>
      <c r="B92" s="27" t="s">
        <v>99</v>
      </c>
      <c r="C92" s="30" t="s">
        <v>93</v>
      </c>
      <c r="D92" s="31"/>
      <c r="E92" s="31"/>
      <c r="F92" s="31"/>
      <c r="G92" s="31"/>
      <c r="H92" s="17"/>
      <c r="I92" s="31"/>
      <c r="J92" s="28"/>
      <c r="K92" s="28"/>
      <c r="L92" s="277"/>
      <c r="M92" s="275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100</v>
      </c>
      <c r="C93" s="30" t="s">
        <v>93</v>
      </c>
      <c r="D93" s="31">
        <v>178</v>
      </c>
      <c r="E93" s="31">
        <f>168-17</f>
        <v>151</v>
      </c>
      <c r="F93" s="31">
        <v>122</v>
      </c>
      <c r="G93" s="31">
        <f>F93</f>
        <v>122</v>
      </c>
      <c r="H93" s="31">
        <f>F93/E93*100</f>
        <v>80.794701986754973</v>
      </c>
      <c r="I93" s="31"/>
      <c r="J93" s="84"/>
      <c r="K93" s="84"/>
      <c r="L93" s="277"/>
      <c r="M93" s="275"/>
      <c r="N93" s="57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31.5" customHeight="1" x14ac:dyDescent="0.25">
      <c r="A94" s="15" t="s">
        <v>101</v>
      </c>
      <c r="B94" s="16" t="s">
        <v>102</v>
      </c>
      <c r="C94" s="15" t="s">
        <v>18</v>
      </c>
      <c r="D94" s="17">
        <f t="shared" ref="D94:G94" si="48">D95</f>
        <v>0</v>
      </c>
      <c r="E94" s="17">
        <f t="shared" si="48"/>
        <v>0</v>
      </c>
      <c r="F94" s="17">
        <f t="shared" si="48"/>
        <v>0</v>
      </c>
      <c r="G94" s="17">
        <f t="shared" si="48"/>
        <v>0</v>
      </c>
      <c r="H94" s="17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8" t="s">
        <v>47</v>
      </c>
      <c r="B95" s="81" t="s">
        <v>103</v>
      </c>
      <c r="C95" s="48" t="s">
        <v>18</v>
      </c>
      <c r="D95" s="31"/>
      <c r="E95" s="31"/>
      <c r="F95" s="31"/>
      <c r="G95" s="31"/>
      <c r="H95" s="17"/>
      <c r="I95" s="31"/>
      <c r="J95" s="35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105</v>
      </c>
      <c r="B96" s="16" t="s">
        <v>106</v>
      </c>
      <c r="C96" s="15" t="s">
        <v>18</v>
      </c>
      <c r="D96" s="17">
        <f t="shared" ref="D96:G96" si="49">D97+D98</f>
        <v>2.8</v>
      </c>
      <c r="E96" s="17">
        <f t="shared" si="49"/>
        <v>0.64999999999999991</v>
      </c>
      <c r="F96" s="17">
        <f t="shared" si="49"/>
        <v>0</v>
      </c>
      <c r="G96" s="17">
        <f t="shared" si="49"/>
        <v>0</v>
      </c>
      <c r="H96" s="17">
        <f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8" t="s">
        <v>270</v>
      </c>
      <c r="C97" s="48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33" t="s">
        <v>47</v>
      </c>
      <c r="B98" s="98" t="s">
        <v>110</v>
      </c>
      <c r="C98" s="48" t="s">
        <v>18</v>
      </c>
      <c r="D98" s="31">
        <v>2.8</v>
      </c>
      <c r="E98" s="31">
        <f>1.9-1.25</f>
        <v>0.64999999999999991</v>
      </c>
      <c r="F98" s="31"/>
      <c r="G98" s="31"/>
      <c r="H98" s="17">
        <f>F98/E98*100</f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7"/>
      <c r="B99" s="137"/>
      <c r="C99" s="137"/>
      <c r="D99" s="138"/>
      <c r="E99" s="138"/>
      <c r="F99" s="138"/>
      <c r="G99" s="138"/>
      <c r="H99" s="138"/>
      <c r="I99" s="138"/>
      <c r="J99" s="137"/>
      <c r="K99" s="137"/>
      <c r="L99" s="137"/>
      <c r="M99" s="137"/>
      <c r="N99" s="1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7"/>
      <c r="B100" s="137"/>
      <c r="C100" s="137"/>
      <c r="D100" s="138"/>
      <c r="E100" s="138"/>
      <c r="F100" s="138"/>
      <c r="G100" s="138"/>
      <c r="H100" s="138"/>
      <c r="I100" s="138"/>
      <c r="J100" s="137"/>
      <c r="K100" s="137"/>
      <c r="L100" s="137"/>
      <c r="M100" s="137"/>
      <c r="N100" s="1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7"/>
      <c r="B101" s="137"/>
      <c r="C101" s="137"/>
      <c r="D101" s="138"/>
      <c r="E101" s="138"/>
      <c r="F101" s="138"/>
      <c r="G101" s="138"/>
      <c r="H101" s="138"/>
      <c r="I101" s="138"/>
      <c r="J101" s="137"/>
      <c r="K101" s="137"/>
      <c r="L101" s="137"/>
      <c r="M101" s="137"/>
      <c r="N101" s="1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7"/>
      <c r="B102" s="137"/>
      <c r="C102" s="137"/>
      <c r="D102" s="251"/>
      <c r="E102" s="251"/>
      <c r="F102" s="251"/>
      <c r="G102" s="251"/>
      <c r="H102" s="251"/>
      <c r="I102" s="251"/>
      <c r="J102" s="137"/>
      <c r="K102" s="137"/>
      <c r="L102" s="137"/>
      <c r="M102" s="137"/>
      <c r="N102" s="1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7"/>
      <c r="B103" s="137"/>
      <c r="C103" s="137"/>
      <c r="D103" s="138"/>
      <c r="E103" s="138"/>
      <c r="F103" s="138"/>
      <c r="G103" s="138"/>
      <c r="H103" s="138"/>
      <c r="I103" s="138"/>
      <c r="J103" s="137"/>
      <c r="K103" s="137"/>
      <c r="L103" s="137"/>
      <c r="M103" s="137"/>
      <c r="N103" s="1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7"/>
      <c r="B104" s="137"/>
      <c r="C104" s="137"/>
      <c r="D104" s="138"/>
      <c r="E104" s="138"/>
      <c r="F104" s="138"/>
      <c r="G104" s="138"/>
      <c r="H104" s="138"/>
      <c r="I104" s="138"/>
      <c r="J104" s="137"/>
      <c r="K104" s="137"/>
      <c r="L104" s="137"/>
      <c r="M104" s="137"/>
      <c r="N104" s="1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7"/>
      <c r="B105" s="243"/>
      <c r="C105" s="137"/>
      <c r="D105" s="138"/>
      <c r="E105" s="138"/>
      <c r="F105" s="138"/>
      <c r="G105" s="138"/>
      <c r="H105" s="138"/>
      <c r="I105" s="138"/>
      <c r="J105" s="137"/>
      <c r="K105" s="137"/>
      <c r="L105" s="137"/>
      <c r="M105" s="137"/>
      <c r="N105" s="1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7"/>
      <c r="B106" s="137"/>
      <c r="C106" s="137"/>
      <c r="D106" s="138"/>
      <c r="E106" s="138"/>
      <c r="F106" s="138"/>
      <c r="G106" s="138"/>
      <c r="H106" s="138"/>
      <c r="I106" s="138"/>
      <c r="J106" s="137"/>
      <c r="K106" s="137"/>
      <c r="L106" s="137"/>
      <c r="M106" s="137"/>
      <c r="N106" s="1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7"/>
      <c r="B107" s="137"/>
      <c r="C107" s="137"/>
      <c r="D107" s="138"/>
      <c r="E107" s="138"/>
      <c r="F107" s="138"/>
      <c r="G107" s="138"/>
      <c r="H107" s="138"/>
      <c r="I107" s="138"/>
      <c r="J107" s="137"/>
      <c r="K107" s="137"/>
      <c r="L107" s="137"/>
      <c r="M107" s="137"/>
      <c r="N107" s="1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7"/>
      <c r="B108" s="137"/>
      <c r="C108" s="137"/>
      <c r="D108" s="138"/>
      <c r="E108" s="138"/>
      <c r="F108" s="138"/>
      <c r="G108" s="138"/>
      <c r="H108" s="138"/>
      <c r="I108" s="138"/>
      <c r="J108" s="137"/>
      <c r="K108" s="137"/>
      <c r="L108" s="137"/>
      <c r="M108" s="137"/>
      <c r="N108" s="1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7"/>
      <c r="B109" s="137"/>
      <c r="C109" s="137"/>
      <c r="D109" s="138"/>
      <c r="E109" s="138"/>
      <c r="F109" s="138"/>
      <c r="G109" s="138"/>
      <c r="H109" s="138"/>
      <c r="I109" s="138"/>
      <c r="J109" s="137"/>
      <c r="K109" s="137"/>
      <c r="L109" s="137"/>
      <c r="M109" s="137"/>
      <c r="N109" s="1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7"/>
      <c r="B110" s="137"/>
      <c r="C110" s="137"/>
      <c r="D110" s="138"/>
      <c r="E110" s="138"/>
      <c r="F110" s="138"/>
      <c r="G110" s="138"/>
      <c r="H110" s="138"/>
      <c r="I110" s="138"/>
      <c r="J110" s="137"/>
      <c r="K110" s="137"/>
      <c r="L110" s="137"/>
      <c r="M110" s="137"/>
      <c r="N110" s="1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7"/>
      <c r="B111" s="137"/>
      <c r="C111" s="137"/>
      <c r="D111" s="138"/>
      <c r="E111" s="138"/>
      <c r="F111" s="138"/>
      <c r="G111" s="138"/>
      <c r="H111" s="138"/>
      <c r="I111" s="138"/>
      <c r="J111" s="137"/>
      <c r="K111" s="137"/>
      <c r="L111" s="137"/>
      <c r="M111" s="137"/>
      <c r="N111" s="1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7"/>
      <c r="B112" s="137"/>
      <c r="C112" s="137"/>
      <c r="D112" s="138"/>
      <c r="E112" s="138"/>
      <c r="F112" s="138"/>
      <c r="G112" s="138"/>
      <c r="H112" s="138"/>
      <c r="I112" s="138"/>
      <c r="J112" s="137"/>
      <c r="K112" s="137"/>
      <c r="L112" s="137"/>
      <c r="M112" s="137"/>
      <c r="N112" s="1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7"/>
      <c r="B113" s="137"/>
      <c r="C113" s="137"/>
      <c r="D113" s="138"/>
      <c r="E113" s="138"/>
      <c r="F113" s="138"/>
      <c r="G113" s="138"/>
      <c r="H113" s="138"/>
      <c r="I113" s="138"/>
      <c r="J113" s="137"/>
      <c r="K113" s="137"/>
      <c r="L113" s="137"/>
      <c r="M113" s="137"/>
      <c r="N113" s="1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7"/>
      <c r="B114" s="137"/>
      <c r="C114" s="137"/>
      <c r="D114" s="138"/>
      <c r="E114" s="138"/>
      <c r="F114" s="138"/>
      <c r="G114" s="138"/>
      <c r="H114" s="138"/>
      <c r="I114" s="138"/>
      <c r="J114" s="137"/>
      <c r="K114" s="137"/>
      <c r="L114" s="137"/>
      <c r="M114" s="137"/>
      <c r="N114" s="1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7"/>
      <c r="B115" s="137"/>
      <c r="C115" s="137"/>
      <c r="D115" s="138"/>
      <c r="E115" s="138"/>
      <c r="F115" s="138"/>
      <c r="G115" s="138"/>
      <c r="H115" s="138"/>
      <c r="I115" s="138"/>
      <c r="J115" s="137"/>
      <c r="K115" s="137"/>
      <c r="L115" s="137"/>
      <c r="M115" s="137"/>
      <c r="N115" s="1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7"/>
      <c r="B116" s="137"/>
      <c r="C116" s="137"/>
      <c r="D116" s="138"/>
      <c r="E116" s="138"/>
      <c r="F116" s="138"/>
      <c r="G116" s="138"/>
      <c r="H116" s="138"/>
      <c r="I116" s="138"/>
      <c r="J116" s="137"/>
      <c r="K116" s="137"/>
      <c r="L116" s="137"/>
      <c r="M116" s="137"/>
      <c r="N116" s="1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7"/>
      <c r="B117" s="137"/>
      <c r="C117" s="137"/>
      <c r="D117" s="138"/>
      <c r="E117" s="138"/>
      <c r="F117" s="138"/>
      <c r="G117" s="138"/>
      <c r="H117" s="138"/>
      <c r="I117" s="138"/>
      <c r="J117" s="137"/>
      <c r="K117" s="137"/>
      <c r="L117" s="137"/>
      <c r="M117" s="137"/>
      <c r="N117" s="1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7"/>
      <c r="B118" s="137"/>
      <c r="C118" s="137"/>
      <c r="D118" s="138"/>
      <c r="E118" s="138"/>
      <c r="F118" s="138"/>
      <c r="G118" s="138"/>
      <c r="H118" s="138"/>
      <c r="I118" s="138"/>
      <c r="J118" s="137"/>
      <c r="K118" s="137"/>
      <c r="L118" s="137"/>
      <c r="M118" s="137"/>
      <c r="N118" s="1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7"/>
      <c r="B119" s="137"/>
      <c r="C119" s="137"/>
      <c r="D119" s="138"/>
      <c r="E119" s="138"/>
      <c r="F119" s="138"/>
      <c r="G119" s="138"/>
      <c r="H119" s="138"/>
      <c r="I119" s="138"/>
      <c r="J119" s="137"/>
      <c r="K119" s="137"/>
      <c r="L119" s="137"/>
      <c r="M119" s="137"/>
      <c r="N119" s="1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7"/>
      <c r="B120" s="137"/>
      <c r="C120" s="137"/>
      <c r="D120" s="138"/>
      <c r="E120" s="138"/>
      <c r="F120" s="138"/>
      <c r="G120" s="138"/>
      <c r="H120" s="138"/>
      <c r="I120" s="138"/>
      <c r="J120" s="137"/>
      <c r="K120" s="137"/>
      <c r="L120" s="137"/>
      <c r="M120" s="137"/>
      <c r="N120" s="1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7"/>
      <c r="B121" s="137"/>
      <c r="C121" s="137"/>
      <c r="D121" s="138"/>
      <c r="E121" s="138"/>
      <c r="F121" s="138"/>
      <c r="G121" s="138"/>
      <c r="H121" s="138"/>
      <c r="I121" s="138"/>
      <c r="J121" s="137"/>
      <c r="K121" s="137"/>
      <c r="L121" s="137"/>
      <c r="M121" s="137"/>
      <c r="N121" s="1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7"/>
      <c r="B122" s="137"/>
      <c r="C122" s="137"/>
      <c r="D122" s="138"/>
      <c r="E122" s="138"/>
      <c r="F122" s="138"/>
      <c r="G122" s="138"/>
      <c r="H122" s="138"/>
      <c r="I122" s="138"/>
      <c r="J122" s="137"/>
      <c r="K122" s="137"/>
      <c r="L122" s="137"/>
      <c r="M122" s="137"/>
      <c r="N122" s="1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7"/>
      <c r="B123" s="137"/>
      <c r="C123" s="137"/>
      <c r="D123" s="138"/>
      <c r="E123" s="138"/>
      <c r="F123" s="138"/>
      <c r="G123" s="138"/>
      <c r="H123" s="138"/>
      <c r="I123" s="138"/>
      <c r="J123" s="137"/>
      <c r="K123" s="137"/>
      <c r="L123" s="137"/>
      <c r="M123" s="137"/>
      <c r="N123" s="1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7"/>
      <c r="B124" s="137"/>
      <c r="C124" s="137"/>
      <c r="D124" s="138"/>
      <c r="E124" s="138"/>
      <c r="F124" s="138"/>
      <c r="G124" s="138"/>
      <c r="H124" s="138"/>
      <c r="I124" s="138"/>
      <c r="J124" s="137"/>
      <c r="K124" s="137"/>
      <c r="L124" s="137"/>
      <c r="M124" s="137"/>
      <c r="N124" s="1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7"/>
      <c r="B125" s="137"/>
      <c r="C125" s="137"/>
      <c r="D125" s="138"/>
      <c r="E125" s="138"/>
      <c r="F125" s="138"/>
      <c r="G125" s="138"/>
      <c r="H125" s="138"/>
      <c r="I125" s="138"/>
      <c r="J125" s="137"/>
      <c r="K125" s="137"/>
      <c r="L125" s="137"/>
      <c r="M125" s="137"/>
      <c r="N125" s="1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7"/>
      <c r="B126" s="137"/>
      <c r="C126" s="137"/>
      <c r="D126" s="138"/>
      <c r="E126" s="138"/>
      <c r="F126" s="138"/>
      <c r="G126" s="138"/>
      <c r="H126" s="138"/>
      <c r="I126" s="138"/>
      <c r="J126" s="137"/>
      <c r="K126" s="137"/>
      <c r="L126" s="137"/>
      <c r="M126" s="137"/>
      <c r="N126" s="1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7"/>
      <c r="B127" s="137"/>
      <c r="C127" s="137"/>
      <c r="D127" s="138"/>
      <c r="E127" s="138"/>
      <c r="F127" s="138"/>
      <c r="G127" s="138"/>
      <c r="H127" s="138"/>
      <c r="I127" s="138"/>
      <c r="J127" s="137"/>
      <c r="K127" s="137"/>
      <c r="L127" s="137"/>
      <c r="M127" s="137"/>
      <c r="N127" s="1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7"/>
      <c r="B128" s="137"/>
      <c r="C128" s="137"/>
      <c r="D128" s="138"/>
      <c r="E128" s="138"/>
      <c r="F128" s="138"/>
      <c r="G128" s="138"/>
      <c r="H128" s="138"/>
      <c r="I128" s="138"/>
      <c r="J128" s="137"/>
      <c r="K128" s="137"/>
      <c r="L128" s="137"/>
      <c r="M128" s="137"/>
      <c r="N128" s="1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7"/>
      <c r="B129" s="137"/>
      <c r="C129" s="137"/>
      <c r="D129" s="138"/>
      <c r="E129" s="138"/>
      <c r="F129" s="138"/>
      <c r="G129" s="138"/>
      <c r="H129" s="138"/>
      <c r="I129" s="138"/>
      <c r="J129" s="137"/>
      <c r="K129" s="137"/>
      <c r="L129" s="137"/>
      <c r="M129" s="137"/>
      <c r="N129" s="1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7"/>
      <c r="B130" s="137"/>
      <c r="C130" s="137"/>
      <c r="D130" s="138"/>
      <c r="E130" s="138"/>
      <c r="F130" s="138"/>
      <c r="G130" s="138"/>
      <c r="H130" s="138"/>
      <c r="I130" s="138"/>
      <c r="J130" s="137"/>
      <c r="K130" s="137"/>
      <c r="L130" s="137"/>
      <c r="M130" s="137"/>
      <c r="N130" s="1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7"/>
      <c r="B131" s="137"/>
      <c r="C131" s="137"/>
      <c r="D131" s="138"/>
      <c r="E131" s="138"/>
      <c r="F131" s="138"/>
      <c r="G131" s="138"/>
      <c r="H131" s="138"/>
      <c r="I131" s="138"/>
      <c r="J131" s="137"/>
      <c r="K131" s="137"/>
      <c r="L131" s="137"/>
      <c r="M131" s="137"/>
      <c r="N131" s="1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7"/>
      <c r="B132" s="137"/>
      <c r="C132" s="137"/>
      <c r="D132" s="138"/>
      <c r="E132" s="138"/>
      <c r="F132" s="138"/>
      <c r="G132" s="138"/>
      <c r="H132" s="138"/>
      <c r="I132" s="138"/>
      <c r="J132" s="137"/>
      <c r="K132" s="137"/>
      <c r="L132" s="137"/>
      <c r="M132" s="137"/>
      <c r="N132" s="1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7"/>
      <c r="B133" s="137"/>
      <c r="C133" s="137"/>
      <c r="D133" s="138"/>
      <c r="E133" s="138"/>
      <c r="F133" s="138"/>
      <c r="G133" s="138"/>
      <c r="H133" s="138"/>
      <c r="I133" s="138"/>
      <c r="J133" s="137"/>
      <c r="K133" s="137"/>
      <c r="L133" s="137"/>
      <c r="M133" s="137"/>
      <c r="N133" s="1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7"/>
      <c r="B134" s="137"/>
      <c r="C134" s="137"/>
      <c r="D134" s="138"/>
      <c r="E134" s="138"/>
      <c r="F134" s="138"/>
      <c r="G134" s="138"/>
      <c r="H134" s="138"/>
      <c r="I134" s="138"/>
      <c r="J134" s="137"/>
      <c r="K134" s="137"/>
      <c r="L134" s="137"/>
      <c r="M134" s="137"/>
      <c r="N134" s="1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7"/>
      <c r="B135" s="137"/>
      <c r="C135" s="137"/>
      <c r="D135" s="138"/>
      <c r="E135" s="138"/>
      <c r="F135" s="138"/>
      <c r="G135" s="138"/>
      <c r="H135" s="138"/>
      <c r="I135" s="138"/>
      <c r="J135" s="137"/>
      <c r="K135" s="137"/>
      <c r="L135" s="137"/>
      <c r="M135" s="137"/>
      <c r="N135" s="1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7"/>
      <c r="B136" s="137"/>
      <c r="C136" s="137"/>
      <c r="D136" s="138"/>
      <c r="E136" s="138"/>
      <c r="F136" s="138"/>
      <c r="G136" s="138"/>
      <c r="H136" s="138"/>
      <c r="I136" s="138"/>
      <c r="J136" s="137"/>
      <c r="K136" s="137"/>
      <c r="L136" s="137"/>
      <c r="M136" s="137"/>
      <c r="N136" s="1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7"/>
      <c r="B137" s="137"/>
      <c r="C137" s="137"/>
      <c r="D137" s="138"/>
      <c r="E137" s="138"/>
      <c r="F137" s="138"/>
      <c r="G137" s="138"/>
      <c r="H137" s="138"/>
      <c r="I137" s="138"/>
      <c r="J137" s="137"/>
      <c r="K137" s="137"/>
      <c r="L137" s="137"/>
      <c r="M137" s="137"/>
      <c r="N137" s="1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7"/>
      <c r="B138" s="137"/>
      <c r="C138" s="137"/>
      <c r="D138" s="138"/>
      <c r="E138" s="138"/>
      <c r="F138" s="138"/>
      <c r="G138" s="138"/>
      <c r="H138" s="138"/>
      <c r="I138" s="138"/>
      <c r="J138" s="137"/>
      <c r="K138" s="137"/>
      <c r="L138" s="137"/>
      <c r="M138" s="137"/>
      <c r="N138" s="1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7"/>
      <c r="B139" s="137"/>
      <c r="C139" s="137"/>
      <c r="D139" s="138"/>
      <c r="E139" s="138"/>
      <c r="F139" s="138"/>
      <c r="G139" s="138"/>
      <c r="H139" s="138"/>
      <c r="I139" s="138"/>
      <c r="J139" s="137"/>
      <c r="K139" s="137"/>
      <c r="L139" s="137"/>
      <c r="M139" s="137"/>
      <c r="N139" s="1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7"/>
      <c r="B140" s="137"/>
      <c r="C140" s="137"/>
      <c r="D140" s="138"/>
      <c r="E140" s="138"/>
      <c r="F140" s="138"/>
      <c r="G140" s="138"/>
      <c r="H140" s="138"/>
      <c r="I140" s="138"/>
      <c r="J140" s="137"/>
      <c r="K140" s="137"/>
      <c r="L140" s="137"/>
      <c r="M140" s="137"/>
      <c r="N140" s="1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7"/>
      <c r="B141" s="137"/>
      <c r="C141" s="137"/>
      <c r="D141" s="138"/>
      <c r="E141" s="138"/>
      <c r="F141" s="138"/>
      <c r="G141" s="138"/>
      <c r="H141" s="138"/>
      <c r="I141" s="138"/>
      <c r="J141" s="137"/>
      <c r="K141" s="137"/>
      <c r="L141" s="137"/>
      <c r="M141" s="137"/>
      <c r="N141" s="1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7"/>
      <c r="B142" s="137"/>
      <c r="C142" s="137"/>
      <c r="D142" s="138"/>
      <c r="E142" s="138"/>
      <c r="F142" s="138"/>
      <c r="G142" s="138"/>
      <c r="H142" s="138"/>
      <c r="I142" s="138"/>
      <c r="J142" s="137"/>
      <c r="K142" s="137"/>
      <c r="L142" s="137"/>
      <c r="M142" s="137"/>
      <c r="N142" s="1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7"/>
      <c r="B143" s="137"/>
      <c r="C143" s="137"/>
      <c r="D143" s="138"/>
      <c r="E143" s="138"/>
      <c r="F143" s="138"/>
      <c r="G143" s="138"/>
      <c r="H143" s="138"/>
      <c r="I143" s="138"/>
      <c r="J143" s="137"/>
      <c r="K143" s="137"/>
      <c r="L143" s="137"/>
      <c r="M143" s="137"/>
      <c r="N143" s="1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7"/>
      <c r="B144" s="137"/>
      <c r="C144" s="137"/>
      <c r="D144" s="138"/>
      <c r="E144" s="138"/>
      <c r="F144" s="138"/>
      <c r="G144" s="138"/>
      <c r="H144" s="138"/>
      <c r="I144" s="138"/>
      <c r="J144" s="137"/>
      <c r="K144" s="137"/>
      <c r="L144" s="137"/>
      <c r="M144" s="137"/>
      <c r="N144" s="1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7"/>
      <c r="B145" s="137"/>
      <c r="C145" s="137"/>
      <c r="D145" s="138"/>
      <c r="E145" s="138"/>
      <c r="F145" s="138"/>
      <c r="G145" s="138"/>
      <c r="H145" s="138"/>
      <c r="I145" s="138"/>
      <c r="J145" s="137"/>
      <c r="K145" s="137"/>
      <c r="L145" s="137"/>
      <c r="M145" s="137"/>
      <c r="N145" s="1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7"/>
      <c r="B146" s="137"/>
      <c r="C146" s="137"/>
      <c r="D146" s="138"/>
      <c r="E146" s="138"/>
      <c r="F146" s="138"/>
      <c r="G146" s="138"/>
      <c r="H146" s="138"/>
      <c r="I146" s="138"/>
      <c r="J146" s="137"/>
      <c r="K146" s="137"/>
      <c r="L146" s="137"/>
      <c r="M146" s="137"/>
      <c r="N146" s="1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7"/>
      <c r="B147" s="137"/>
      <c r="C147" s="137"/>
      <c r="D147" s="138"/>
      <c r="E147" s="138"/>
      <c r="F147" s="138"/>
      <c r="G147" s="138"/>
      <c r="H147" s="138"/>
      <c r="I147" s="138"/>
      <c r="J147" s="137"/>
      <c r="K147" s="137"/>
      <c r="L147" s="137"/>
      <c r="M147" s="137"/>
      <c r="N147" s="1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7"/>
      <c r="B148" s="137"/>
      <c r="C148" s="137"/>
      <c r="D148" s="138"/>
      <c r="E148" s="138"/>
      <c r="F148" s="138"/>
      <c r="G148" s="138"/>
      <c r="H148" s="138"/>
      <c r="I148" s="138"/>
      <c r="J148" s="137"/>
      <c r="K148" s="137"/>
      <c r="L148" s="137"/>
      <c r="M148" s="137"/>
      <c r="N148" s="1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7"/>
      <c r="B149" s="137"/>
      <c r="C149" s="137"/>
      <c r="D149" s="138"/>
      <c r="E149" s="138"/>
      <c r="F149" s="138"/>
      <c r="G149" s="138"/>
      <c r="H149" s="138"/>
      <c r="I149" s="138"/>
      <c r="J149" s="137"/>
      <c r="K149" s="137"/>
      <c r="L149" s="137"/>
      <c r="M149" s="137"/>
      <c r="N149" s="1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7"/>
      <c r="B150" s="137"/>
      <c r="C150" s="137"/>
      <c r="D150" s="138"/>
      <c r="E150" s="138"/>
      <c r="F150" s="138"/>
      <c r="G150" s="138"/>
      <c r="H150" s="138"/>
      <c r="I150" s="138"/>
      <c r="J150" s="137"/>
      <c r="K150" s="137"/>
      <c r="L150" s="137"/>
      <c r="M150" s="137"/>
      <c r="N150" s="1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7"/>
      <c r="B151" s="137"/>
      <c r="C151" s="137"/>
      <c r="D151" s="138"/>
      <c r="E151" s="138"/>
      <c r="F151" s="138"/>
      <c r="G151" s="138"/>
      <c r="H151" s="138"/>
      <c r="I151" s="138"/>
      <c r="J151" s="137"/>
      <c r="K151" s="137"/>
      <c r="L151" s="137"/>
      <c r="M151" s="137"/>
      <c r="N151" s="1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7"/>
      <c r="B152" s="137"/>
      <c r="C152" s="137"/>
      <c r="D152" s="138"/>
      <c r="E152" s="138"/>
      <c r="F152" s="138"/>
      <c r="G152" s="138"/>
      <c r="H152" s="138"/>
      <c r="I152" s="138"/>
      <c r="J152" s="137"/>
      <c r="K152" s="137"/>
      <c r="L152" s="137"/>
      <c r="M152" s="137"/>
      <c r="N152" s="13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7"/>
      <c r="B153" s="137"/>
      <c r="C153" s="137"/>
      <c r="D153" s="138"/>
      <c r="E153" s="138"/>
      <c r="F153" s="138"/>
      <c r="G153" s="138"/>
      <c r="H153" s="138"/>
      <c r="I153" s="138"/>
      <c r="J153" s="137"/>
      <c r="K153" s="137"/>
      <c r="L153" s="137"/>
      <c r="M153" s="137"/>
      <c r="N153" s="13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7"/>
      <c r="B154" s="137"/>
      <c r="C154" s="137"/>
      <c r="D154" s="138"/>
      <c r="E154" s="138"/>
      <c r="F154" s="138"/>
      <c r="G154" s="138"/>
      <c r="H154" s="138"/>
      <c r="I154" s="138"/>
      <c r="J154" s="137"/>
      <c r="K154" s="137"/>
      <c r="L154" s="137"/>
      <c r="M154" s="137"/>
      <c r="N154" s="13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7"/>
      <c r="B155" s="137"/>
      <c r="C155" s="137"/>
      <c r="D155" s="138"/>
      <c r="E155" s="138"/>
      <c r="F155" s="138"/>
      <c r="G155" s="138"/>
      <c r="H155" s="138"/>
      <c r="I155" s="138"/>
      <c r="J155" s="137"/>
      <c r="K155" s="137"/>
      <c r="L155" s="137"/>
      <c r="M155" s="137"/>
      <c r="N155" s="13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7"/>
      <c r="B156" s="137"/>
      <c r="C156" s="137"/>
      <c r="D156" s="138"/>
      <c r="E156" s="138"/>
      <c r="F156" s="138"/>
      <c r="G156" s="138"/>
      <c r="H156" s="138"/>
      <c r="I156" s="138"/>
      <c r="J156" s="137"/>
      <c r="K156" s="137"/>
      <c r="L156" s="137"/>
      <c r="M156" s="137"/>
      <c r="N156" s="13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7"/>
      <c r="B157" s="137"/>
      <c r="C157" s="137"/>
      <c r="D157" s="138"/>
      <c r="E157" s="138"/>
      <c r="F157" s="138"/>
      <c r="G157" s="138"/>
      <c r="H157" s="138"/>
      <c r="I157" s="138"/>
      <c r="J157" s="137"/>
      <c r="K157" s="137"/>
      <c r="L157" s="137"/>
      <c r="M157" s="137"/>
      <c r="N157" s="13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7"/>
      <c r="B158" s="137"/>
      <c r="C158" s="137"/>
      <c r="D158" s="138"/>
      <c r="E158" s="138"/>
      <c r="F158" s="138"/>
      <c r="G158" s="138"/>
      <c r="H158" s="138"/>
      <c r="I158" s="138"/>
      <c r="J158" s="137"/>
      <c r="K158" s="137"/>
      <c r="L158" s="137"/>
      <c r="M158" s="137"/>
      <c r="N158" s="13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7"/>
      <c r="B159" s="137"/>
      <c r="C159" s="137"/>
      <c r="D159" s="138"/>
      <c r="E159" s="138"/>
      <c r="F159" s="138"/>
      <c r="G159" s="138"/>
      <c r="H159" s="138"/>
      <c r="I159" s="138"/>
      <c r="J159" s="137"/>
      <c r="K159" s="137"/>
      <c r="L159" s="137"/>
      <c r="M159" s="137"/>
      <c r="N159" s="13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7"/>
      <c r="B160" s="137"/>
      <c r="C160" s="137"/>
      <c r="D160" s="138"/>
      <c r="E160" s="138"/>
      <c r="F160" s="138"/>
      <c r="G160" s="138"/>
      <c r="H160" s="138"/>
      <c r="I160" s="138"/>
      <c r="J160" s="137"/>
      <c r="K160" s="137"/>
      <c r="L160" s="137"/>
      <c r="M160" s="137"/>
      <c r="N160" s="13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7"/>
      <c r="B161" s="137"/>
      <c r="C161" s="137"/>
      <c r="D161" s="138"/>
      <c r="E161" s="138"/>
      <c r="F161" s="138"/>
      <c r="G161" s="138"/>
      <c r="H161" s="138"/>
      <c r="I161" s="138"/>
      <c r="J161" s="137"/>
      <c r="K161" s="137"/>
      <c r="L161" s="137"/>
      <c r="M161" s="137"/>
      <c r="N161" s="13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7"/>
      <c r="B162" s="137"/>
      <c r="C162" s="137"/>
      <c r="D162" s="138"/>
      <c r="E162" s="138"/>
      <c r="F162" s="138"/>
      <c r="G162" s="138"/>
      <c r="H162" s="138"/>
      <c r="I162" s="138"/>
      <c r="J162" s="137"/>
      <c r="K162" s="137"/>
      <c r="L162" s="137"/>
      <c r="M162" s="137"/>
      <c r="N162" s="13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7"/>
      <c r="B163" s="137"/>
      <c r="C163" s="137"/>
      <c r="D163" s="138"/>
      <c r="E163" s="138"/>
      <c r="F163" s="138"/>
      <c r="G163" s="138"/>
      <c r="H163" s="138"/>
      <c r="I163" s="138"/>
      <c r="J163" s="137"/>
      <c r="K163" s="137"/>
      <c r="L163" s="137"/>
      <c r="M163" s="137"/>
      <c r="N163" s="13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7"/>
      <c r="B164" s="137"/>
      <c r="C164" s="137"/>
      <c r="D164" s="138"/>
      <c r="E164" s="138"/>
      <c r="F164" s="138"/>
      <c r="G164" s="138"/>
      <c r="H164" s="138"/>
      <c r="I164" s="138"/>
      <c r="J164" s="137"/>
      <c r="K164" s="137"/>
      <c r="L164" s="137"/>
      <c r="M164" s="137"/>
      <c r="N164" s="13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7"/>
      <c r="B165" s="137"/>
      <c r="C165" s="137"/>
      <c r="D165" s="138"/>
      <c r="E165" s="138"/>
      <c r="F165" s="138"/>
      <c r="G165" s="138"/>
      <c r="H165" s="138"/>
      <c r="I165" s="138"/>
      <c r="J165" s="137"/>
      <c r="K165" s="137"/>
      <c r="L165" s="137"/>
      <c r="M165" s="137"/>
      <c r="N165" s="13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7"/>
      <c r="B166" s="137"/>
      <c r="C166" s="137"/>
      <c r="D166" s="138"/>
      <c r="E166" s="138"/>
      <c r="F166" s="138"/>
      <c r="G166" s="138"/>
      <c r="H166" s="138"/>
      <c r="I166" s="138"/>
      <c r="J166" s="137"/>
      <c r="K166" s="137"/>
      <c r="L166" s="137"/>
      <c r="M166" s="137"/>
      <c r="N166" s="13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7"/>
      <c r="B167" s="137"/>
      <c r="C167" s="137"/>
      <c r="D167" s="138"/>
      <c r="E167" s="138"/>
      <c r="F167" s="138"/>
      <c r="G167" s="138"/>
      <c r="H167" s="138"/>
      <c r="I167" s="138"/>
      <c r="J167" s="137"/>
      <c r="K167" s="137"/>
      <c r="L167" s="137"/>
      <c r="M167" s="137"/>
      <c r="N167" s="13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7"/>
      <c r="B168" s="137"/>
      <c r="C168" s="137"/>
      <c r="D168" s="138"/>
      <c r="E168" s="138"/>
      <c r="F168" s="138"/>
      <c r="G168" s="138"/>
      <c r="H168" s="138"/>
      <c r="I168" s="138"/>
      <c r="J168" s="137"/>
      <c r="K168" s="137"/>
      <c r="L168" s="137"/>
      <c r="M168" s="137"/>
      <c r="N168" s="13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7"/>
      <c r="B169" s="137"/>
      <c r="C169" s="137"/>
      <c r="D169" s="138"/>
      <c r="E169" s="138"/>
      <c r="F169" s="138"/>
      <c r="G169" s="138"/>
      <c r="H169" s="138"/>
      <c r="I169" s="138"/>
      <c r="J169" s="137"/>
      <c r="K169" s="137"/>
      <c r="L169" s="137"/>
      <c r="M169" s="137"/>
      <c r="N169" s="13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7"/>
      <c r="B170" s="137"/>
      <c r="C170" s="137"/>
      <c r="D170" s="138"/>
      <c r="E170" s="138"/>
      <c r="F170" s="138"/>
      <c r="G170" s="138"/>
      <c r="H170" s="138"/>
      <c r="I170" s="138"/>
      <c r="J170" s="137"/>
      <c r="K170" s="137"/>
      <c r="L170" s="137"/>
      <c r="M170" s="137"/>
      <c r="N170" s="13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7"/>
      <c r="B171" s="137"/>
      <c r="C171" s="137"/>
      <c r="D171" s="138"/>
      <c r="E171" s="138"/>
      <c r="F171" s="138"/>
      <c r="G171" s="138"/>
      <c r="H171" s="138"/>
      <c r="I171" s="138"/>
      <c r="J171" s="137"/>
      <c r="K171" s="137"/>
      <c r="L171" s="137"/>
      <c r="M171" s="137"/>
      <c r="N171" s="13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7"/>
      <c r="B172" s="137"/>
      <c r="C172" s="137"/>
      <c r="D172" s="138"/>
      <c r="E172" s="138"/>
      <c r="F172" s="138"/>
      <c r="G172" s="138"/>
      <c r="H172" s="138"/>
      <c r="I172" s="138"/>
      <c r="J172" s="137"/>
      <c r="K172" s="137"/>
      <c r="L172" s="137"/>
      <c r="M172" s="137"/>
      <c r="N172" s="13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7"/>
      <c r="B173" s="137"/>
      <c r="C173" s="137"/>
      <c r="D173" s="138"/>
      <c r="E173" s="138"/>
      <c r="F173" s="138"/>
      <c r="G173" s="138"/>
      <c r="H173" s="138"/>
      <c r="I173" s="138"/>
      <c r="J173" s="137"/>
      <c r="K173" s="137"/>
      <c r="L173" s="137"/>
      <c r="M173" s="137"/>
      <c r="N173" s="13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7"/>
      <c r="B174" s="137"/>
      <c r="C174" s="137"/>
      <c r="D174" s="138"/>
      <c r="E174" s="138"/>
      <c r="F174" s="138"/>
      <c r="G174" s="138"/>
      <c r="H174" s="138"/>
      <c r="I174" s="138"/>
      <c r="J174" s="137"/>
      <c r="K174" s="137"/>
      <c r="L174" s="137"/>
      <c r="M174" s="137"/>
      <c r="N174" s="13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7"/>
      <c r="B175" s="137"/>
      <c r="C175" s="137"/>
      <c r="D175" s="138"/>
      <c r="E175" s="138"/>
      <c r="F175" s="138"/>
      <c r="G175" s="138"/>
      <c r="H175" s="138"/>
      <c r="I175" s="138"/>
      <c r="J175" s="137"/>
      <c r="K175" s="137"/>
      <c r="L175" s="137"/>
      <c r="M175" s="137"/>
      <c r="N175" s="13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7"/>
      <c r="B176" s="137"/>
      <c r="C176" s="137"/>
      <c r="D176" s="138"/>
      <c r="E176" s="138"/>
      <c r="F176" s="138"/>
      <c r="G176" s="138"/>
      <c r="H176" s="138"/>
      <c r="I176" s="138"/>
      <c r="J176" s="137"/>
      <c r="K176" s="137"/>
      <c r="L176" s="137"/>
      <c r="M176" s="137"/>
      <c r="N176" s="13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7"/>
      <c r="B177" s="137"/>
      <c r="C177" s="137"/>
      <c r="D177" s="138"/>
      <c r="E177" s="138"/>
      <c r="F177" s="138"/>
      <c r="G177" s="138"/>
      <c r="H177" s="138"/>
      <c r="I177" s="138"/>
      <c r="J177" s="137"/>
      <c r="K177" s="137"/>
      <c r="L177" s="137"/>
      <c r="M177" s="137"/>
      <c r="N177" s="13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7"/>
      <c r="B178" s="137"/>
      <c r="C178" s="137"/>
      <c r="D178" s="138"/>
      <c r="E178" s="138"/>
      <c r="F178" s="138"/>
      <c r="G178" s="138"/>
      <c r="H178" s="138"/>
      <c r="I178" s="138"/>
      <c r="J178" s="137"/>
      <c r="K178" s="137"/>
      <c r="L178" s="137"/>
      <c r="M178" s="137"/>
      <c r="N178" s="13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7"/>
      <c r="B179" s="137"/>
      <c r="C179" s="137"/>
      <c r="D179" s="138"/>
      <c r="E179" s="138"/>
      <c r="F179" s="138"/>
      <c r="G179" s="138"/>
      <c r="H179" s="138"/>
      <c r="I179" s="138"/>
      <c r="J179" s="137"/>
      <c r="K179" s="137"/>
      <c r="L179" s="137"/>
      <c r="M179" s="137"/>
      <c r="N179" s="13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7"/>
      <c r="B180" s="137"/>
      <c r="C180" s="137"/>
      <c r="D180" s="138"/>
      <c r="E180" s="138"/>
      <c r="F180" s="138"/>
      <c r="G180" s="138"/>
      <c r="H180" s="138"/>
      <c r="I180" s="138"/>
      <c r="J180" s="137"/>
      <c r="K180" s="137"/>
      <c r="L180" s="137"/>
      <c r="M180" s="137"/>
      <c r="N180" s="13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7"/>
      <c r="B181" s="137"/>
      <c r="C181" s="137"/>
      <c r="D181" s="138"/>
      <c r="E181" s="138"/>
      <c r="F181" s="138"/>
      <c r="G181" s="138"/>
      <c r="H181" s="138"/>
      <c r="I181" s="138"/>
      <c r="J181" s="137"/>
      <c r="K181" s="137"/>
      <c r="L181" s="137"/>
      <c r="M181" s="137"/>
      <c r="N181" s="13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7"/>
      <c r="B182" s="137"/>
      <c r="C182" s="137"/>
      <c r="D182" s="138"/>
      <c r="E182" s="138"/>
      <c r="F182" s="138"/>
      <c r="G182" s="138"/>
      <c r="H182" s="138"/>
      <c r="I182" s="138"/>
      <c r="J182" s="137"/>
      <c r="K182" s="137"/>
      <c r="L182" s="137"/>
      <c r="M182" s="137"/>
      <c r="N182" s="13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7"/>
      <c r="B183" s="137"/>
      <c r="C183" s="137"/>
      <c r="D183" s="138"/>
      <c r="E183" s="138"/>
      <c r="F183" s="138"/>
      <c r="G183" s="138"/>
      <c r="H183" s="138"/>
      <c r="I183" s="138"/>
      <c r="J183" s="137"/>
      <c r="K183" s="137"/>
      <c r="L183" s="137"/>
      <c r="M183" s="137"/>
      <c r="N183" s="13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7"/>
      <c r="B184" s="137"/>
      <c r="C184" s="137"/>
      <c r="D184" s="138"/>
      <c r="E184" s="138"/>
      <c r="F184" s="138"/>
      <c r="G184" s="138"/>
      <c r="H184" s="138"/>
      <c r="I184" s="138"/>
      <c r="J184" s="137"/>
      <c r="K184" s="137"/>
      <c r="L184" s="137"/>
      <c r="M184" s="137"/>
      <c r="N184" s="13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7"/>
      <c r="B185" s="137"/>
      <c r="C185" s="137"/>
      <c r="D185" s="138"/>
      <c r="E185" s="138"/>
      <c r="F185" s="138"/>
      <c r="G185" s="138"/>
      <c r="H185" s="138"/>
      <c r="I185" s="138"/>
      <c r="J185" s="137"/>
      <c r="K185" s="137"/>
      <c r="L185" s="137"/>
      <c r="M185" s="137"/>
      <c r="N185" s="13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7"/>
      <c r="B186" s="137"/>
      <c r="C186" s="137"/>
      <c r="D186" s="138"/>
      <c r="E186" s="138"/>
      <c r="F186" s="138"/>
      <c r="G186" s="138"/>
      <c r="H186" s="138"/>
      <c r="I186" s="138"/>
      <c r="J186" s="137"/>
      <c r="K186" s="137"/>
      <c r="L186" s="137"/>
      <c r="M186" s="137"/>
      <c r="N186" s="13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7"/>
      <c r="B187" s="137"/>
      <c r="C187" s="137"/>
      <c r="D187" s="138"/>
      <c r="E187" s="138"/>
      <c r="F187" s="138"/>
      <c r="G187" s="138"/>
      <c r="H187" s="138"/>
      <c r="I187" s="138"/>
      <c r="J187" s="137"/>
      <c r="K187" s="137"/>
      <c r="L187" s="137"/>
      <c r="M187" s="137"/>
      <c r="N187" s="13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7"/>
      <c r="B188" s="137"/>
      <c r="C188" s="137"/>
      <c r="D188" s="138"/>
      <c r="E188" s="138"/>
      <c r="F188" s="138"/>
      <c r="G188" s="138"/>
      <c r="H188" s="138"/>
      <c r="I188" s="138"/>
      <c r="J188" s="137"/>
      <c r="K188" s="137"/>
      <c r="L188" s="137"/>
      <c r="M188" s="137"/>
      <c r="N188" s="13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7"/>
      <c r="B189" s="137"/>
      <c r="C189" s="137"/>
      <c r="D189" s="138"/>
      <c r="E189" s="138"/>
      <c r="F189" s="138"/>
      <c r="G189" s="138"/>
      <c r="H189" s="138"/>
      <c r="I189" s="138"/>
      <c r="J189" s="137"/>
      <c r="K189" s="137"/>
      <c r="L189" s="137"/>
      <c r="M189" s="137"/>
      <c r="N189" s="13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7"/>
      <c r="B190" s="137"/>
      <c r="C190" s="137"/>
      <c r="D190" s="138"/>
      <c r="E190" s="138"/>
      <c r="F190" s="138"/>
      <c r="G190" s="138"/>
      <c r="H190" s="138"/>
      <c r="I190" s="138"/>
      <c r="J190" s="137"/>
      <c r="K190" s="137"/>
      <c r="L190" s="137"/>
      <c r="M190" s="137"/>
      <c r="N190" s="13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7"/>
      <c r="B191" s="137"/>
      <c r="C191" s="137"/>
      <c r="D191" s="138"/>
      <c r="E191" s="138"/>
      <c r="F191" s="138"/>
      <c r="G191" s="138"/>
      <c r="H191" s="138"/>
      <c r="I191" s="138"/>
      <c r="J191" s="137"/>
      <c r="K191" s="137"/>
      <c r="L191" s="137"/>
      <c r="M191" s="137"/>
      <c r="N191" s="13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7"/>
      <c r="B192" s="137"/>
      <c r="C192" s="137"/>
      <c r="D192" s="138"/>
      <c r="E192" s="138"/>
      <c r="F192" s="138"/>
      <c r="G192" s="138"/>
      <c r="H192" s="138"/>
      <c r="I192" s="138"/>
      <c r="J192" s="137"/>
      <c r="K192" s="137"/>
      <c r="L192" s="137"/>
      <c r="M192" s="137"/>
      <c r="N192" s="13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7"/>
      <c r="B193" s="137"/>
      <c r="C193" s="137"/>
      <c r="D193" s="138"/>
      <c r="E193" s="138"/>
      <c r="F193" s="138"/>
      <c r="G193" s="138"/>
      <c r="H193" s="138"/>
      <c r="I193" s="138"/>
      <c r="J193" s="137"/>
      <c r="K193" s="137"/>
      <c r="L193" s="137"/>
      <c r="M193" s="137"/>
      <c r="N193" s="13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7"/>
      <c r="B194" s="137"/>
      <c r="C194" s="137"/>
      <c r="D194" s="138"/>
      <c r="E194" s="138"/>
      <c r="F194" s="138"/>
      <c r="G194" s="138"/>
      <c r="H194" s="138"/>
      <c r="I194" s="138"/>
      <c r="J194" s="137"/>
      <c r="K194" s="137"/>
      <c r="L194" s="137"/>
      <c r="M194" s="137"/>
      <c r="N194" s="13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7"/>
      <c r="B195" s="137"/>
      <c r="C195" s="137"/>
      <c r="D195" s="138"/>
      <c r="E195" s="138"/>
      <c r="F195" s="138"/>
      <c r="G195" s="138"/>
      <c r="H195" s="138"/>
      <c r="I195" s="138"/>
      <c r="J195" s="137"/>
      <c r="K195" s="137"/>
      <c r="L195" s="137"/>
      <c r="M195" s="137"/>
      <c r="N195" s="13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7"/>
      <c r="B196" s="137"/>
      <c r="C196" s="137"/>
      <c r="D196" s="138"/>
      <c r="E196" s="138"/>
      <c r="F196" s="138"/>
      <c r="G196" s="138"/>
      <c r="H196" s="138"/>
      <c r="I196" s="138"/>
      <c r="J196" s="137"/>
      <c r="K196" s="137"/>
      <c r="L196" s="137"/>
      <c r="M196" s="137"/>
      <c r="N196" s="13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7"/>
      <c r="B197" s="137"/>
      <c r="C197" s="137"/>
      <c r="D197" s="138"/>
      <c r="E197" s="138"/>
      <c r="F197" s="138"/>
      <c r="G197" s="138"/>
      <c r="H197" s="138"/>
      <c r="I197" s="138"/>
      <c r="J197" s="137"/>
      <c r="K197" s="137"/>
      <c r="L197" s="137"/>
      <c r="M197" s="137"/>
      <c r="N197" s="13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7"/>
      <c r="B198" s="137"/>
      <c r="C198" s="137"/>
      <c r="D198" s="138"/>
      <c r="E198" s="138"/>
      <c r="F198" s="138"/>
      <c r="G198" s="138"/>
      <c r="H198" s="138"/>
      <c r="I198" s="138"/>
      <c r="J198" s="137"/>
      <c r="K198" s="137"/>
      <c r="L198" s="137"/>
      <c r="M198" s="137"/>
      <c r="N198" s="13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7"/>
      <c r="B199" s="137"/>
      <c r="C199" s="137"/>
      <c r="D199" s="138"/>
      <c r="E199" s="138"/>
      <c r="F199" s="138"/>
      <c r="G199" s="138"/>
      <c r="H199" s="138"/>
      <c r="I199" s="138"/>
      <c r="J199" s="137"/>
      <c r="K199" s="137"/>
      <c r="L199" s="137"/>
      <c r="M199" s="137"/>
      <c r="N199" s="13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7"/>
      <c r="B200" s="137"/>
      <c r="C200" s="137"/>
      <c r="D200" s="138"/>
      <c r="E200" s="138"/>
      <c r="F200" s="138"/>
      <c r="G200" s="138"/>
      <c r="H200" s="138"/>
      <c r="I200" s="138"/>
      <c r="J200" s="137"/>
      <c r="K200" s="137"/>
      <c r="L200" s="137"/>
      <c r="M200" s="137"/>
      <c r="N200" s="13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7"/>
      <c r="B201" s="137"/>
      <c r="C201" s="137"/>
      <c r="D201" s="138"/>
      <c r="E201" s="138"/>
      <c r="F201" s="138"/>
      <c r="G201" s="138"/>
      <c r="H201" s="138"/>
      <c r="I201" s="138"/>
      <c r="J201" s="137"/>
      <c r="K201" s="137"/>
      <c r="L201" s="137"/>
      <c r="M201" s="137"/>
      <c r="N201" s="13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7"/>
      <c r="B202" s="137"/>
      <c r="C202" s="137"/>
      <c r="D202" s="138"/>
      <c r="E202" s="138"/>
      <c r="F202" s="138"/>
      <c r="G202" s="138"/>
      <c r="H202" s="138"/>
      <c r="I202" s="138"/>
      <c r="J202" s="137"/>
      <c r="K202" s="137"/>
      <c r="L202" s="137"/>
      <c r="M202" s="137"/>
      <c r="N202" s="13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7"/>
      <c r="B203" s="137"/>
      <c r="C203" s="137"/>
      <c r="D203" s="138"/>
      <c r="E203" s="138"/>
      <c r="F203" s="138"/>
      <c r="G203" s="138"/>
      <c r="H203" s="138"/>
      <c r="I203" s="138"/>
      <c r="J203" s="137"/>
      <c r="K203" s="137"/>
      <c r="L203" s="137"/>
      <c r="M203" s="137"/>
      <c r="N203" s="13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7"/>
      <c r="B204" s="137"/>
      <c r="C204" s="137"/>
      <c r="D204" s="138"/>
      <c r="E204" s="138"/>
      <c r="F204" s="138"/>
      <c r="G204" s="138"/>
      <c r="H204" s="138"/>
      <c r="I204" s="138"/>
      <c r="J204" s="137"/>
      <c r="K204" s="137"/>
      <c r="L204" s="137"/>
      <c r="M204" s="137"/>
      <c r="N204" s="13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7"/>
      <c r="B205" s="137"/>
      <c r="C205" s="137"/>
      <c r="D205" s="138"/>
      <c r="E205" s="138"/>
      <c r="F205" s="138"/>
      <c r="G205" s="138"/>
      <c r="H205" s="138"/>
      <c r="I205" s="138"/>
      <c r="J205" s="137"/>
      <c r="K205" s="137"/>
      <c r="L205" s="137"/>
      <c r="M205" s="137"/>
      <c r="N205" s="13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7"/>
      <c r="B206" s="137"/>
      <c r="C206" s="137"/>
      <c r="D206" s="138"/>
      <c r="E206" s="138"/>
      <c r="F206" s="138"/>
      <c r="G206" s="138"/>
      <c r="H206" s="138"/>
      <c r="I206" s="138"/>
      <c r="J206" s="137"/>
      <c r="K206" s="137"/>
      <c r="L206" s="137"/>
      <c r="M206" s="137"/>
      <c r="N206" s="13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7"/>
      <c r="B207" s="137"/>
      <c r="C207" s="137"/>
      <c r="D207" s="138"/>
      <c r="E207" s="138"/>
      <c r="F207" s="138"/>
      <c r="G207" s="138"/>
      <c r="H207" s="138"/>
      <c r="I207" s="138"/>
      <c r="J207" s="137"/>
      <c r="K207" s="137"/>
      <c r="L207" s="137"/>
      <c r="M207" s="137"/>
      <c r="N207" s="13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7"/>
      <c r="B208" s="137"/>
      <c r="C208" s="137"/>
      <c r="D208" s="138"/>
      <c r="E208" s="138"/>
      <c r="F208" s="138"/>
      <c r="G208" s="138"/>
      <c r="H208" s="138"/>
      <c r="I208" s="138"/>
      <c r="J208" s="137"/>
      <c r="K208" s="137"/>
      <c r="L208" s="137"/>
      <c r="M208" s="137"/>
      <c r="N208" s="13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7"/>
      <c r="B209" s="137"/>
      <c r="C209" s="137"/>
      <c r="D209" s="138"/>
      <c r="E209" s="138"/>
      <c r="F209" s="138"/>
      <c r="G209" s="138"/>
      <c r="H209" s="138"/>
      <c r="I209" s="138"/>
      <c r="J209" s="137"/>
      <c r="K209" s="137"/>
      <c r="L209" s="137"/>
      <c r="M209" s="137"/>
      <c r="N209" s="13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7"/>
      <c r="B210" s="137"/>
      <c r="C210" s="137"/>
      <c r="D210" s="138"/>
      <c r="E210" s="138"/>
      <c r="F210" s="138"/>
      <c r="G210" s="138"/>
      <c r="H210" s="138"/>
      <c r="I210" s="138"/>
      <c r="J210" s="137"/>
      <c r="K210" s="137"/>
      <c r="L210" s="137"/>
      <c r="M210" s="137"/>
      <c r="N210" s="13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7"/>
      <c r="B211" s="137"/>
      <c r="C211" s="137"/>
      <c r="D211" s="138"/>
      <c r="E211" s="138"/>
      <c r="F211" s="138"/>
      <c r="G211" s="138"/>
      <c r="H211" s="138"/>
      <c r="I211" s="138"/>
      <c r="J211" s="137"/>
      <c r="K211" s="137"/>
      <c r="L211" s="137"/>
      <c r="M211" s="137"/>
      <c r="N211" s="13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7"/>
      <c r="B212" s="137"/>
      <c r="C212" s="137"/>
      <c r="D212" s="138"/>
      <c r="E212" s="138"/>
      <c r="F212" s="138"/>
      <c r="G212" s="138"/>
      <c r="H212" s="138"/>
      <c r="I212" s="138"/>
      <c r="J212" s="137"/>
      <c r="K212" s="137"/>
      <c r="L212" s="137"/>
      <c r="M212" s="137"/>
      <c r="N212" s="13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7"/>
      <c r="B213" s="137"/>
      <c r="C213" s="137"/>
      <c r="D213" s="138"/>
      <c r="E213" s="138"/>
      <c r="F213" s="138"/>
      <c r="G213" s="138"/>
      <c r="H213" s="138"/>
      <c r="I213" s="138"/>
      <c r="J213" s="137"/>
      <c r="K213" s="137"/>
      <c r="L213" s="137"/>
      <c r="M213" s="137"/>
      <c r="N213" s="13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7"/>
      <c r="B214" s="137"/>
      <c r="C214" s="137"/>
      <c r="D214" s="138"/>
      <c r="E214" s="138"/>
      <c r="F214" s="138"/>
      <c r="G214" s="138"/>
      <c r="H214" s="138"/>
      <c r="I214" s="138"/>
      <c r="J214" s="137"/>
      <c r="K214" s="137"/>
      <c r="L214" s="137"/>
      <c r="M214" s="137"/>
      <c r="N214" s="13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7"/>
      <c r="B215" s="137"/>
      <c r="C215" s="137"/>
      <c r="D215" s="138"/>
      <c r="E215" s="138"/>
      <c r="F215" s="138"/>
      <c r="G215" s="138"/>
      <c r="H215" s="138"/>
      <c r="I215" s="138"/>
      <c r="J215" s="137"/>
      <c r="K215" s="137"/>
      <c r="L215" s="137"/>
      <c r="M215" s="137"/>
      <c r="N215" s="13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7"/>
      <c r="B216" s="137"/>
      <c r="C216" s="137"/>
      <c r="D216" s="138"/>
      <c r="E216" s="138"/>
      <c r="F216" s="138"/>
      <c r="G216" s="138"/>
      <c r="H216" s="138"/>
      <c r="I216" s="138"/>
      <c r="J216" s="137"/>
      <c r="K216" s="137"/>
      <c r="L216" s="137"/>
      <c r="M216" s="137"/>
      <c r="N216" s="13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7"/>
      <c r="B217" s="137"/>
      <c r="C217" s="137"/>
      <c r="D217" s="138"/>
      <c r="E217" s="138"/>
      <c r="F217" s="138"/>
      <c r="G217" s="138"/>
      <c r="H217" s="138"/>
      <c r="I217" s="138"/>
      <c r="J217" s="137"/>
      <c r="K217" s="137"/>
      <c r="L217" s="137"/>
      <c r="M217" s="137"/>
      <c r="N217" s="13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7"/>
      <c r="B218" s="137"/>
      <c r="C218" s="137"/>
      <c r="D218" s="138"/>
      <c r="E218" s="138"/>
      <c r="F218" s="138"/>
      <c r="G218" s="138"/>
      <c r="H218" s="138"/>
      <c r="I218" s="138"/>
      <c r="J218" s="137"/>
      <c r="K218" s="137"/>
      <c r="L218" s="137"/>
      <c r="M218" s="137"/>
      <c r="N218" s="13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7"/>
      <c r="B219" s="137"/>
      <c r="C219" s="137"/>
      <c r="D219" s="138"/>
      <c r="E219" s="138"/>
      <c r="F219" s="138"/>
      <c r="G219" s="138"/>
      <c r="H219" s="138"/>
      <c r="I219" s="138"/>
      <c r="J219" s="137"/>
      <c r="K219" s="137"/>
      <c r="L219" s="137"/>
      <c r="M219" s="137"/>
      <c r="N219" s="13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7"/>
      <c r="B220" s="137"/>
      <c r="C220" s="137"/>
      <c r="D220" s="138"/>
      <c r="E220" s="138"/>
      <c r="F220" s="138"/>
      <c r="G220" s="138"/>
      <c r="H220" s="138"/>
      <c r="I220" s="138"/>
      <c r="J220" s="137"/>
      <c r="K220" s="137"/>
      <c r="L220" s="137"/>
      <c r="M220" s="137"/>
      <c r="N220" s="13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7"/>
      <c r="B221" s="137"/>
      <c r="C221" s="137"/>
      <c r="D221" s="138"/>
      <c r="E221" s="138"/>
      <c r="F221" s="138"/>
      <c r="G221" s="138"/>
      <c r="H221" s="138"/>
      <c r="I221" s="138"/>
      <c r="J221" s="137"/>
      <c r="K221" s="137"/>
      <c r="L221" s="137"/>
      <c r="M221" s="137"/>
      <c r="N221" s="13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7"/>
      <c r="B222" s="137"/>
      <c r="C222" s="137"/>
      <c r="D222" s="138"/>
      <c r="E222" s="138"/>
      <c r="F222" s="138"/>
      <c r="G222" s="138"/>
      <c r="H222" s="138"/>
      <c r="I222" s="138"/>
      <c r="J222" s="137"/>
      <c r="K222" s="137"/>
      <c r="L222" s="137"/>
      <c r="M222" s="137"/>
      <c r="N222" s="13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7"/>
      <c r="B223" s="137"/>
      <c r="C223" s="137"/>
      <c r="D223" s="138"/>
      <c r="E223" s="138"/>
      <c r="F223" s="138"/>
      <c r="G223" s="138"/>
      <c r="H223" s="138"/>
      <c r="I223" s="138"/>
      <c r="J223" s="137"/>
      <c r="K223" s="137"/>
      <c r="L223" s="137"/>
      <c r="M223" s="137"/>
      <c r="N223" s="13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7"/>
      <c r="B224" s="137"/>
      <c r="C224" s="137"/>
      <c r="D224" s="138"/>
      <c r="E224" s="138"/>
      <c r="F224" s="138"/>
      <c r="G224" s="138"/>
      <c r="H224" s="138"/>
      <c r="I224" s="138"/>
      <c r="J224" s="137"/>
      <c r="K224" s="137"/>
      <c r="L224" s="137"/>
      <c r="M224" s="137"/>
      <c r="N224" s="13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7"/>
      <c r="B225" s="137"/>
      <c r="C225" s="137"/>
      <c r="D225" s="138"/>
      <c r="E225" s="138"/>
      <c r="F225" s="138"/>
      <c r="G225" s="138"/>
      <c r="H225" s="138"/>
      <c r="I225" s="138"/>
      <c r="J225" s="137"/>
      <c r="K225" s="137"/>
      <c r="L225" s="137"/>
      <c r="M225" s="137"/>
      <c r="N225" s="13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7"/>
      <c r="B226" s="137"/>
      <c r="C226" s="137"/>
      <c r="D226" s="138"/>
      <c r="E226" s="138"/>
      <c r="F226" s="138"/>
      <c r="G226" s="138"/>
      <c r="H226" s="138"/>
      <c r="I226" s="138"/>
      <c r="J226" s="137"/>
      <c r="K226" s="137"/>
      <c r="L226" s="137"/>
      <c r="M226" s="137"/>
      <c r="N226" s="13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7"/>
      <c r="B227" s="137"/>
      <c r="C227" s="137"/>
      <c r="D227" s="138"/>
      <c r="E227" s="138"/>
      <c r="F227" s="138"/>
      <c r="G227" s="138"/>
      <c r="H227" s="138"/>
      <c r="I227" s="138"/>
      <c r="J227" s="137"/>
      <c r="K227" s="137"/>
      <c r="L227" s="137"/>
      <c r="M227" s="137"/>
      <c r="N227" s="13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7"/>
      <c r="B228" s="137"/>
      <c r="C228" s="137"/>
      <c r="D228" s="138"/>
      <c r="E228" s="138"/>
      <c r="F228" s="138"/>
      <c r="G228" s="138"/>
      <c r="H228" s="138"/>
      <c r="I228" s="138"/>
      <c r="J228" s="137"/>
      <c r="K228" s="137"/>
      <c r="L228" s="137"/>
      <c r="M228" s="137"/>
      <c r="N228" s="13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7"/>
      <c r="B229" s="137"/>
      <c r="C229" s="137"/>
      <c r="D229" s="138"/>
      <c r="E229" s="138"/>
      <c r="F229" s="138"/>
      <c r="G229" s="138"/>
      <c r="H229" s="138"/>
      <c r="I229" s="138"/>
      <c r="J229" s="137"/>
      <c r="K229" s="137"/>
      <c r="L229" s="137"/>
      <c r="M229" s="137"/>
      <c r="N229" s="13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7"/>
      <c r="B230" s="137"/>
      <c r="C230" s="137"/>
      <c r="D230" s="138"/>
      <c r="E230" s="138"/>
      <c r="F230" s="138"/>
      <c r="G230" s="138"/>
      <c r="H230" s="138"/>
      <c r="I230" s="138"/>
      <c r="J230" s="137"/>
      <c r="K230" s="137"/>
      <c r="L230" s="137"/>
      <c r="M230" s="137"/>
      <c r="N230" s="13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7"/>
      <c r="B231" s="137"/>
      <c r="C231" s="137"/>
      <c r="D231" s="138"/>
      <c r="E231" s="138"/>
      <c r="F231" s="138"/>
      <c r="G231" s="138"/>
      <c r="H231" s="138"/>
      <c r="I231" s="138"/>
      <c r="J231" s="137"/>
      <c r="K231" s="137"/>
      <c r="L231" s="137"/>
      <c r="M231" s="137"/>
      <c r="N231" s="13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7"/>
      <c r="B232" s="137"/>
      <c r="C232" s="137"/>
      <c r="D232" s="138"/>
      <c r="E232" s="138"/>
      <c r="F232" s="138"/>
      <c r="G232" s="138"/>
      <c r="H232" s="138"/>
      <c r="I232" s="138"/>
      <c r="J232" s="137"/>
      <c r="K232" s="137"/>
      <c r="L232" s="137"/>
      <c r="M232" s="137"/>
      <c r="N232" s="13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7"/>
      <c r="B233" s="137"/>
      <c r="C233" s="137"/>
      <c r="D233" s="138"/>
      <c r="E233" s="138"/>
      <c r="F233" s="138"/>
      <c r="G233" s="138"/>
      <c r="H233" s="138"/>
      <c r="I233" s="138"/>
      <c r="J233" s="137"/>
      <c r="K233" s="137"/>
      <c r="L233" s="137"/>
      <c r="M233" s="137"/>
      <c r="N233" s="13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7"/>
      <c r="B234" s="137"/>
      <c r="C234" s="137"/>
      <c r="D234" s="138"/>
      <c r="E234" s="138"/>
      <c r="F234" s="138"/>
      <c r="G234" s="138"/>
      <c r="H234" s="138"/>
      <c r="I234" s="138"/>
      <c r="J234" s="137"/>
      <c r="K234" s="137"/>
      <c r="L234" s="137"/>
      <c r="M234" s="137"/>
      <c r="N234" s="13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7"/>
      <c r="B235" s="137"/>
      <c r="C235" s="137"/>
      <c r="D235" s="138"/>
      <c r="E235" s="138"/>
      <c r="F235" s="138"/>
      <c r="G235" s="138"/>
      <c r="H235" s="138"/>
      <c r="I235" s="138"/>
      <c r="J235" s="137"/>
      <c r="K235" s="137"/>
      <c r="L235" s="137"/>
      <c r="M235" s="137"/>
      <c r="N235" s="13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7"/>
      <c r="B236" s="137"/>
      <c r="C236" s="137"/>
      <c r="D236" s="138"/>
      <c r="E236" s="138"/>
      <c r="F236" s="138"/>
      <c r="G236" s="138"/>
      <c r="H236" s="138"/>
      <c r="I236" s="138"/>
      <c r="J236" s="137"/>
      <c r="K236" s="137"/>
      <c r="L236" s="137"/>
      <c r="M236" s="137"/>
      <c r="N236" s="13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7"/>
      <c r="B237" s="137"/>
      <c r="C237" s="137"/>
      <c r="D237" s="138"/>
      <c r="E237" s="138"/>
      <c r="F237" s="138"/>
      <c r="G237" s="138"/>
      <c r="H237" s="138"/>
      <c r="I237" s="138"/>
      <c r="J237" s="137"/>
      <c r="K237" s="137"/>
      <c r="L237" s="137"/>
      <c r="M237" s="137"/>
      <c r="N237" s="13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7"/>
      <c r="B238" s="137"/>
      <c r="C238" s="137"/>
      <c r="D238" s="138"/>
      <c r="E238" s="138"/>
      <c r="F238" s="138"/>
      <c r="G238" s="138"/>
      <c r="H238" s="138"/>
      <c r="I238" s="138"/>
      <c r="J238" s="137"/>
      <c r="K238" s="137"/>
      <c r="L238" s="137"/>
      <c r="M238" s="137"/>
      <c r="N238" s="13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7"/>
      <c r="B239" s="137"/>
      <c r="C239" s="137"/>
      <c r="D239" s="138"/>
      <c r="E239" s="138"/>
      <c r="F239" s="138"/>
      <c r="G239" s="138"/>
      <c r="H239" s="138"/>
      <c r="I239" s="138"/>
      <c r="J239" s="137"/>
      <c r="K239" s="137"/>
      <c r="L239" s="137"/>
      <c r="M239" s="137"/>
      <c r="N239" s="13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7"/>
      <c r="B240" s="137"/>
      <c r="C240" s="137"/>
      <c r="D240" s="138"/>
      <c r="E240" s="138"/>
      <c r="F240" s="138"/>
      <c r="G240" s="138"/>
      <c r="H240" s="138"/>
      <c r="I240" s="138"/>
      <c r="J240" s="137"/>
      <c r="K240" s="137"/>
      <c r="L240" s="137"/>
      <c r="M240" s="137"/>
      <c r="N240" s="13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7"/>
      <c r="B241" s="137"/>
      <c r="C241" s="137"/>
      <c r="D241" s="138"/>
      <c r="E241" s="138"/>
      <c r="F241" s="138"/>
      <c r="G241" s="138"/>
      <c r="H241" s="138"/>
      <c r="I241" s="138"/>
      <c r="J241" s="137"/>
      <c r="K241" s="137"/>
      <c r="L241" s="137"/>
      <c r="M241" s="137"/>
      <c r="N241" s="13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7"/>
      <c r="B242" s="137"/>
      <c r="C242" s="137"/>
      <c r="D242" s="138"/>
      <c r="E242" s="138"/>
      <c r="F242" s="138"/>
      <c r="G242" s="138"/>
      <c r="H242" s="138"/>
      <c r="I242" s="138"/>
      <c r="J242" s="137"/>
      <c r="K242" s="137"/>
      <c r="L242" s="137"/>
      <c r="M242" s="137"/>
      <c r="N242" s="13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7"/>
      <c r="B243" s="137"/>
      <c r="C243" s="137"/>
      <c r="D243" s="138"/>
      <c r="E243" s="138"/>
      <c r="F243" s="138"/>
      <c r="G243" s="138"/>
      <c r="H243" s="138"/>
      <c r="I243" s="138"/>
      <c r="J243" s="137"/>
      <c r="K243" s="137"/>
      <c r="L243" s="137"/>
      <c r="M243" s="137"/>
      <c r="N243" s="13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7"/>
      <c r="B244" s="137"/>
      <c r="C244" s="137"/>
      <c r="D244" s="138"/>
      <c r="E244" s="138"/>
      <c r="F244" s="138"/>
      <c r="G244" s="138"/>
      <c r="H244" s="138"/>
      <c r="I244" s="138"/>
      <c r="J244" s="137"/>
      <c r="K244" s="137"/>
      <c r="L244" s="137"/>
      <c r="M244" s="137"/>
      <c r="N244" s="13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7"/>
      <c r="B245" s="137"/>
      <c r="C245" s="137"/>
      <c r="D245" s="138"/>
      <c r="E245" s="138"/>
      <c r="F245" s="138"/>
      <c r="G245" s="138"/>
      <c r="H245" s="138"/>
      <c r="I245" s="138"/>
      <c r="J245" s="137"/>
      <c r="K245" s="137"/>
      <c r="L245" s="137"/>
      <c r="M245" s="137"/>
      <c r="N245" s="13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7"/>
      <c r="B246" s="137"/>
      <c r="C246" s="137"/>
      <c r="D246" s="138"/>
      <c r="E246" s="138"/>
      <c r="F246" s="138"/>
      <c r="G246" s="138"/>
      <c r="H246" s="138"/>
      <c r="I246" s="138"/>
      <c r="J246" s="137"/>
      <c r="K246" s="137"/>
      <c r="L246" s="137"/>
      <c r="M246" s="137"/>
      <c r="N246" s="13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7"/>
      <c r="B247" s="137"/>
      <c r="C247" s="137"/>
      <c r="D247" s="138"/>
      <c r="E247" s="138"/>
      <c r="F247" s="138"/>
      <c r="G247" s="138"/>
      <c r="H247" s="138"/>
      <c r="I247" s="138"/>
      <c r="J247" s="137"/>
      <c r="K247" s="137"/>
      <c r="L247" s="137"/>
      <c r="M247" s="137"/>
      <c r="N247" s="13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7"/>
      <c r="B248" s="137"/>
      <c r="C248" s="137"/>
      <c r="D248" s="138"/>
      <c r="E248" s="138"/>
      <c r="F248" s="138"/>
      <c r="G248" s="138"/>
      <c r="H248" s="138"/>
      <c r="I248" s="138"/>
      <c r="J248" s="137"/>
      <c r="K248" s="137"/>
      <c r="L248" s="137"/>
      <c r="M248" s="137"/>
      <c r="N248" s="13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7"/>
      <c r="B249" s="137"/>
      <c r="C249" s="137"/>
      <c r="D249" s="138"/>
      <c r="E249" s="138"/>
      <c r="F249" s="138"/>
      <c r="G249" s="138"/>
      <c r="H249" s="138"/>
      <c r="I249" s="138"/>
      <c r="J249" s="137"/>
      <c r="K249" s="137"/>
      <c r="L249" s="137"/>
      <c r="M249" s="137"/>
      <c r="N249" s="13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7"/>
      <c r="B250" s="137"/>
      <c r="C250" s="137"/>
      <c r="D250" s="138"/>
      <c r="E250" s="138"/>
      <c r="F250" s="138"/>
      <c r="G250" s="138"/>
      <c r="H250" s="138"/>
      <c r="I250" s="138"/>
      <c r="J250" s="137"/>
      <c r="K250" s="137"/>
      <c r="L250" s="137"/>
      <c r="M250" s="137"/>
      <c r="N250" s="13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7"/>
      <c r="B251" s="137"/>
      <c r="C251" s="137"/>
      <c r="D251" s="138"/>
      <c r="E251" s="138"/>
      <c r="F251" s="138"/>
      <c r="G251" s="138"/>
      <c r="H251" s="138"/>
      <c r="I251" s="138"/>
      <c r="J251" s="137"/>
      <c r="K251" s="137"/>
      <c r="L251" s="137"/>
      <c r="M251" s="137"/>
      <c r="N251" s="13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7"/>
      <c r="B252" s="137"/>
      <c r="C252" s="137"/>
      <c r="D252" s="138"/>
      <c r="E252" s="138"/>
      <c r="F252" s="138"/>
      <c r="G252" s="138"/>
      <c r="H252" s="138"/>
      <c r="I252" s="138"/>
      <c r="J252" s="137"/>
      <c r="K252" s="137"/>
      <c r="L252" s="137"/>
      <c r="M252" s="137"/>
      <c r="N252" s="13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7"/>
      <c r="B253" s="137"/>
      <c r="C253" s="137"/>
      <c r="D253" s="138"/>
      <c r="E253" s="138"/>
      <c r="F253" s="138"/>
      <c r="G253" s="138"/>
      <c r="H253" s="138"/>
      <c r="I253" s="138"/>
      <c r="J253" s="137"/>
      <c r="K253" s="137"/>
      <c r="L253" s="137"/>
      <c r="M253" s="137"/>
      <c r="N253" s="13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7"/>
      <c r="B254" s="137"/>
      <c r="C254" s="137"/>
      <c r="D254" s="138"/>
      <c r="E254" s="138"/>
      <c r="F254" s="138"/>
      <c r="G254" s="138"/>
      <c r="H254" s="138"/>
      <c r="I254" s="138"/>
      <c r="J254" s="137"/>
      <c r="K254" s="137"/>
      <c r="L254" s="137"/>
      <c r="M254" s="137"/>
      <c r="N254" s="13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7"/>
      <c r="B255" s="137"/>
      <c r="C255" s="137"/>
      <c r="D255" s="138"/>
      <c r="E255" s="138"/>
      <c r="F255" s="138"/>
      <c r="G255" s="138"/>
      <c r="H255" s="138"/>
      <c r="I255" s="138"/>
      <c r="J255" s="137"/>
      <c r="K255" s="137"/>
      <c r="L255" s="137"/>
      <c r="M255" s="137"/>
      <c r="N255" s="13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7"/>
      <c r="B256" s="137"/>
      <c r="C256" s="137"/>
      <c r="D256" s="138"/>
      <c r="E256" s="138"/>
      <c r="F256" s="138"/>
      <c r="G256" s="138"/>
      <c r="H256" s="138"/>
      <c r="I256" s="138"/>
      <c r="J256" s="137"/>
      <c r="K256" s="137"/>
      <c r="L256" s="137"/>
      <c r="M256" s="137"/>
      <c r="N256" s="13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7"/>
      <c r="B257" s="137"/>
      <c r="C257" s="137"/>
      <c r="D257" s="138"/>
      <c r="E257" s="138"/>
      <c r="F257" s="138"/>
      <c r="G257" s="138"/>
      <c r="H257" s="138"/>
      <c r="I257" s="138"/>
      <c r="J257" s="137"/>
      <c r="K257" s="137"/>
      <c r="L257" s="137"/>
      <c r="M257" s="137"/>
      <c r="N257" s="13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7"/>
      <c r="B258" s="137"/>
      <c r="C258" s="137"/>
      <c r="D258" s="138"/>
      <c r="E258" s="138"/>
      <c r="F258" s="138"/>
      <c r="G258" s="138"/>
      <c r="H258" s="138"/>
      <c r="I258" s="138"/>
      <c r="J258" s="137"/>
      <c r="K258" s="137"/>
      <c r="L258" s="137"/>
      <c r="M258" s="137"/>
      <c r="N258" s="13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7"/>
      <c r="B259" s="137"/>
      <c r="C259" s="137"/>
      <c r="D259" s="138"/>
      <c r="E259" s="138"/>
      <c r="F259" s="138"/>
      <c r="G259" s="138"/>
      <c r="H259" s="138"/>
      <c r="I259" s="138"/>
      <c r="J259" s="137"/>
      <c r="K259" s="137"/>
      <c r="L259" s="137"/>
      <c r="M259" s="137"/>
      <c r="N259" s="13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7"/>
      <c r="B260" s="137"/>
      <c r="C260" s="137"/>
      <c r="D260" s="138"/>
      <c r="E260" s="138"/>
      <c r="F260" s="138"/>
      <c r="G260" s="138"/>
      <c r="H260" s="138"/>
      <c r="I260" s="138"/>
      <c r="J260" s="137"/>
      <c r="K260" s="137"/>
      <c r="L260" s="137"/>
      <c r="M260" s="137"/>
      <c r="N260" s="13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7"/>
      <c r="B261" s="137"/>
      <c r="C261" s="137"/>
      <c r="D261" s="138"/>
      <c r="E261" s="138"/>
      <c r="F261" s="138"/>
      <c r="G261" s="138"/>
      <c r="H261" s="138"/>
      <c r="I261" s="138"/>
      <c r="J261" s="137"/>
      <c r="K261" s="137"/>
      <c r="L261" s="137"/>
      <c r="M261" s="137"/>
      <c r="N261" s="13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7"/>
      <c r="B262" s="137"/>
      <c r="C262" s="137"/>
      <c r="D262" s="138"/>
      <c r="E262" s="138"/>
      <c r="F262" s="138"/>
      <c r="G262" s="138"/>
      <c r="H262" s="138"/>
      <c r="I262" s="138"/>
      <c r="J262" s="137"/>
      <c r="K262" s="137"/>
      <c r="L262" s="137"/>
      <c r="M262" s="137"/>
      <c r="N262" s="13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7"/>
      <c r="B263" s="137"/>
      <c r="C263" s="137"/>
      <c r="D263" s="138"/>
      <c r="E263" s="138"/>
      <c r="F263" s="138"/>
      <c r="G263" s="138"/>
      <c r="H263" s="138"/>
      <c r="I263" s="138"/>
      <c r="J263" s="137"/>
      <c r="K263" s="137"/>
      <c r="L263" s="137"/>
      <c r="M263" s="137"/>
      <c r="N263" s="13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7"/>
      <c r="B264" s="137"/>
      <c r="C264" s="137"/>
      <c r="D264" s="138"/>
      <c r="E264" s="138"/>
      <c r="F264" s="138"/>
      <c r="G264" s="138"/>
      <c r="H264" s="138"/>
      <c r="I264" s="138"/>
      <c r="J264" s="137"/>
      <c r="K264" s="137"/>
      <c r="L264" s="137"/>
      <c r="M264" s="137"/>
      <c r="N264" s="13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7"/>
      <c r="B265" s="137"/>
      <c r="C265" s="137"/>
      <c r="D265" s="138"/>
      <c r="E265" s="138"/>
      <c r="F265" s="138"/>
      <c r="G265" s="138"/>
      <c r="H265" s="138"/>
      <c r="I265" s="138"/>
      <c r="J265" s="137"/>
      <c r="K265" s="137"/>
      <c r="L265" s="137"/>
      <c r="M265" s="137"/>
      <c r="N265" s="13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7"/>
      <c r="B266" s="137"/>
      <c r="C266" s="137"/>
      <c r="D266" s="138"/>
      <c r="E266" s="138"/>
      <c r="F266" s="138"/>
      <c r="G266" s="138"/>
      <c r="H266" s="138"/>
      <c r="I266" s="138"/>
      <c r="J266" s="137"/>
      <c r="K266" s="137"/>
      <c r="L266" s="137"/>
      <c r="M266" s="137"/>
      <c r="N266" s="13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7"/>
      <c r="B267" s="137"/>
      <c r="C267" s="137"/>
      <c r="D267" s="138"/>
      <c r="E267" s="138"/>
      <c r="F267" s="138"/>
      <c r="G267" s="138"/>
      <c r="H267" s="138"/>
      <c r="I267" s="138"/>
      <c r="J267" s="137"/>
      <c r="K267" s="137"/>
      <c r="L267" s="137"/>
      <c r="M267" s="137"/>
      <c r="N267" s="13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7"/>
      <c r="B268" s="137"/>
      <c r="C268" s="137"/>
      <c r="D268" s="138"/>
      <c r="E268" s="138"/>
      <c r="F268" s="138"/>
      <c r="G268" s="138"/>
      <c r="H268" s="138"/>
      <c r="I268" s="138"/>
      <c r="J268" s="137"/>
      <c r="K268" s="137"/>
      <c r="L268" s="137"/>
      <c r="M268" s="137"/>
      <c r="N268" s="13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7"/>
      <c r="B269" s="137"/>
      <c r="C269" s="137"/>
      <c r="D269" s="138"/>
      <c r="E269" s="138"/>
      <c r="F269" s="138"/>
      <c r="G269" s="138"/>
      <c r="H269" s="138"/>
      <c r="I269" s="138"/>
      <c r="J269" s="137"/>
      <c r="K269" s="137"/>
      <c r="L269" s="137"/>
      <c r="M269" s="137"/>
      <c r="N269" s="13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7"/>
      <c r="B270" s="137"/>
      <c r="C270" s="137"/>
      <c r="D270" s="138"/>
      <c r="E270" s="138"/>
      <c r="F270" s="138"/>
      <c r="G270" s="138"/>
      <c r="H270" s="138"/>
      <c r="I270" s="138"/>
      <c r="J270" s="137"/>
      <c r="K270" s="137"/>
      <c r="L270" s="137"/>
      <c r="M270" s="137"/>
      <c r="N270" s="13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7"/>
      <c r="B271" s="137"/>
      <c r="C271" s="137"/>
      <c r="D271" s="138"/>
      <c r="E271" s="138"/>
      <c r="F271" s="138"/>
      <c r="G271" s="138"/>
      <c r="H271" s="138"/>
      <c r="I271" s="138"/>
      <c r="J271" s="137"/>
      <c r="K271" s="137"/>
      <c r="L271" s="137"/>
      <c r="M271" s="137"/>
      <c r="N271" s="13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7"/>
      <c r="B272" s="137"/>
      <c r="C272" s="137"/>
      <c r="D272" s="138"/>
      <c r="E272" s="138"/>
      <c r="F272" s="138"/>
      <c r="G272" s="138"/>
      <c r="H272" s="138"/>
      <c r="I272" s="138"/>
      <c r="J272" s="137"/>
      <c r="K272" s="137"/>
      <c r="L272" s="137"/>
      <c r="M272" s="137"/>
      <c r="N272" s="13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7"/>
      <c r="B273" s="137"/>
      <c r="C273" s="137"/>
      <c r="D273" s="138"/>
      <c r="E273" s="138"/>
      <c r="F273" s="138"/>
      <c r="G273" s="138"/>
      <c r="H273" s="138"/>
      <c r="I273" s="138"/>
      <c r="J273" s="137"/>
      <c r="K273" s="137"/>
      <c r="L273" s="137"/>
      <c r="M273" s="137"/>
      <c r="N273" s="13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7"/>
      <c r="B274" s="137"/>
      <c r="C274" s="137"/>
      <c r="D274" s="138"/>
      <c r="E274" s="138"/>
      <c r="F274" s="138"/>
      <c r="G274" s="138"/>
      <c r="H274" s="138"/>
      <c r="I274" s="138"/>
      <c r="J274" s="137"/>
      <c r="K274" s="137"/>
      <c r="L274" s="137"/>
      <c r="M274" s="137"/>
      <c r="N274" s="13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7"/>
      <c r="B275" s="137"/>
      <c r="C275" s="137"/>
      <c r="D275" s="138"/>
      <c r="E275" s="138"/>
      <c r="F275" s="138"/>
      <c r="G275" s="138"/>
      <c r="H275" s="138"/>
      <c r="I275" s="138"/>
      <c r="J275" s="137"/>
      <c r="K275" s="137"/>
      <c r="L275" s="137"/>
      <c r="M275" s="137"/>
      <c r="N275" s="13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7"/>
      <c r="B276" s="137"/>
      <c r="C276" s="137"/>
      <c r="D276" s="138"/>
      <c r="E276" s="138"/>
      <c r="F276" s="138"/>
      <c r="G276" s="138"/>
      <c r="H276" s="138"/>
      <c r="I276" s="138"/>
      <c r="J276" s="137"/>
      <c r="K276" s="137"/>
      <c r="L276" s="137"/>
      <c r="M276" s="137"/>
      <c r="N276" s="13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7"/>
      <c r="B277" s="137"/>
      <c r="C277" s="137"/>
      <c r="D277" s="138"/>
      <c r="E277" s="138"/>
      <c r="F277" s="138"/>
      <c r="G277" s="138"/>
      <c r="H277" s="138"/>
      <c r="I277" s="138"/>
      <c r="J277" s="137"/>
      <c r="K277" s="137"/>
      <c r="L277" s="137"/>
      <c r="M277" s="137"/>
      <c r="N277" s="13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7"/>
      <c r="B278" s="137"/>
      <c r="C278" s="137"/>
      <c r="D278" s="138"/>
      <c r="E278" s="138"/>
      <c r="F278" s="138"/>
      <c r="G278" s="138"/>
      <c r="H278" s="138"/>
      <c r="I278" s="138"/>
      <c r="J278" s="137"/>
      <c r="K278" s="137"/>
      <c r="L278" s="137"/>
      <c r="M278" s="137"/>
      <c r="N278" s="13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7"/>
      <c r="B279" s="137"/>
      <c r="C279" s="137"/>
      <c r="D279" s="138"/>
      <c r="E279" s="138"/>
      <c r="F279" s="138"/>
      <c r="G279" s="138"/>
      <c r="H279" s="138"/>
      <c r="I279" s="138"/>
      <c r="J279" s="137"/>
      <c r="K279" s="137"/>
      <c r="L279" s="137"/>
      <c r="M279" s="137"/>
      <c r="N279" s="13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7"/>
      <c r="B280" s="137"/>
      <c r="C280" s="137"/>
      <c r="D280" s="138"/>
      <c r="E280" s="138"/>
      <c r="F280" s="138"/>
      <c r="G280" s="138"/>
      <c r="H280" s="138"/>
      <c r="I280" s="138"/>
      <c r="J280" s="137"/>
      <c r="K280" s="137"/>
      <c r="L280" s="137"/>
      <c r="M280" s="137"/>
      <c r="N280" s="13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7"/>
      <c r="B281" s="137"/>
      <c r="C281" s="137"/>
      <c r="D281" s="138"/>
      <c r="E281" s="138"/>
      <c r="F281" s="138"/>
      <c r="G281" s="138"/>
      <c r="H281" s="138"/>
      <c r="I281" s="138"/>
      <c r="J281" s="137"/>
      <c r="K281" s="137"/>
      <c r="L281" s="137"/>
      <c r="M281" s="137"/>
      <c r="N281" s="13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7"/>
      <c r="B282" s="137"/>
      <c r="C282" s="137"/>
      <c r="D282" s="138"/>
      <c r="E282" s="138"/>
      <c r="F282" s="138"/>
      <c r="G282" s="138"/>
      <c r="H282" s="138"/>
      <c r="I282" s="138"/>
      <c r="J282" s="137"/>
      <c r="K282" s="137"/>
      <c r="L282" s="137"/>
      <c r="M282" s="137"/>
      <c r="N282" s="13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7"/>
      <c r="B283" s="137"/>
      <c r="C283" s="137"/>
      <c r="D283" s="138"/>
      <c r="E283" s="138"/>
      <c r="F283" s="138"/>
      <c r="G283" s="138"/>
      <c r="H283" s="138"/>
      <c r="I283" s="138"/>
      <c r="J283" s="137"/>
      <c r="K283" s="137"/>
      <c r="L283" s="137"/>
      <c r="M283" s="137"/>
      <c r="N283" s="13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7"/>
      <c r="B284" s="137"/>
      <c r="C284" s="137"/>
      <c r="D284" s="138"/>
      <c r="E284" s="138"/>
      <c r="F284" s="138"/>
      <c r="G284" s="138"/>
      <c r="H284" s="138"/>
      <c r="I284" s="138"/>
      <c r="J284" s="137"/>
      <c r="K284" s="137"/>
      <c r="L284" s="137"/>
      <c r="M284" s="137"/>
      <c r="N284" s="13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7"/>
      <c r="B285" s="137"/>
      <c r="C285" s="137"/>
      <c r="D285" s="138"/>
      <c r="E285" s="138"/>
      <c r="F285" s="138"/>
      <c r="G285" s="138"/>
      <c r="H285" s="138"/>
      <c r="I285" s="138"/>
      <c r="J285" s="137"/>
      <c r="K285" s="137"/>
      <c r="L285" s="137"/>
      <c r="M285" s="137"/>
      <c r="N285" s="13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7"/>
      <c r="B286" s="137"/>
      <c r="C286" s="137"/>
      <c r="D286" s="138"/>
      <c r="E286" s="138"/>
      <c r="F286" s="138"/>
      <c r="G286" s="138"/>
      <c r="H286" s="138"/>
      <c r="I286" s="138"/>
      <c r="J286" s="137"/>
      <c r="K286" s="137"/>
      <c r="L286" s="137"/>
      <c r="M286" s="137"/>
      <c r="N286" s="13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7"/>
      <c r="B287" s="137"/>
      <c r="C287" s="137"/>
      <c r="D287" s="138"/>
      <c r="E287" s="138"/>
      <c r="F287" s="138"/>
      <c r="G287" s="138"/>
      <c r="H287" s="138"/>
      <c r="I287" s="138"/>
      <c r="J287" s="137"/>
      <c r="K287" s="137"/>
      <c r="L287" s="137"/>
      <c r="M287" s="137"/>
      <c r="N287" s="13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7"/>
      <c r="B288" s="137"/>
      <c r="C288" s="137"/>
      <c r="D288" s="138"/>
      <c r="E288" s="138"/>
      <c r="F288" s="138"/>
      <c r="G288" s="138"/>
      <c r="H288" s="138"/>
      <c r="I288" s="138"/>
      <c r="J288" s="137"/>
      <c r="K288" s="137"/>
      <c r="L288" s="137"/>
      <c r="M288" s="137"/>
      <c r="N288" s="13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7"/>
      <c r="B289" s="137"/>
      <c r="C289" s="137"/>
      <c r="D289" s="138"/>
      <c r="E289" s="138"/>
      <c r="F289" s="138"/>
      <c r="G289" s="138"/>
      <c r="H289" s="138"/>
      <c r="I289" s="138"/>
      <c r="J289" s="137"/>
      <c r="K289" s="137"/>
      <c r="L289" s="137"/>
      <c r="M289" s="137"/>
      <c r="N289" s="13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7"/>
      <c r="B290" s="137"/>
      <c r="C290" s="137"/>
      <c r="D290" s="138"/>
      <c r="E290" s="138"/>
      <c r="F290" s="138"/>
      <c r="G290" s="138"/>
      <c r="H290" s="138"/>
      <c r="I290" s="138"/>
      <c r="J290" s="137"/>
      <c r="K290" s="137"/>
      <c r="L290" s="137"/>
      <c r="M290" s="137"/>
      <c r="N290" s="13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7"/>
      <c r="B291" s="137"/>
      <c r="C291" s="137"/>
      <c r="D291" s="138"/>
      <c r="E291" s="138"/>
      <c r="F291" s="138"/>
      <c r="G291" s="138"/>
      <c r="H291" s="138"/>
      <c r="I291" s="138"/>
      <c r="J291" s="137"/>
      <c r="K291" s="137"/>
      <c r="L291" s="137"/>
      <c r="M291" s="137"/>
      <c r="N291" s="13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7"/>
      <c r="B292" s="137"/>
      <c r="C292" s="137"/>
      <c r="D292" s="138"/>
      <c r="E292" s="138"/>
      <c r="F292" s="138"/>
      <c r="G292" s="138"/>
      <c r="H292" s="138"/>
      <c r="I292" s="138"/>
      <c r="J292" s="137"/>
      <c r="K292" s="137"/>
      <c r="L292" s="137"/>
      <c r="M292" s="137"/>
      <c r="N292" s="13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7"/>
      <c r="B293" s="137"/>
      <c r="C293" s="137"/>
      <c r="D293" s="138"/>
      <c r="E293" s="138"/>
      <c r="F293" s="138"/>
      <c r="G293" s="138"/>
      <c r="H293" s="138"/>
      <c r="I293" s="138"/>
      <c r="J293" s="137"/>
      <c r="K293" s="137"/>
      <c r="L293" s="137"/>
      <c r="M293" s="137"/>
      <c r="N293" s="13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7"/>
      <c r="B294" s="137"/>
      <c r="C294" s="137"/>
      <c r="D294" s="138"/>
      <c r="E294" s="138"/>
      <c r="F294" s="138"/>
      <c r="G294" s="138"/>
      <c r="H294" s="138"/>
      <c r="I294" s="138"/>
      <c r="J294" s="137"/>
      <c r="K294" s="137"/>
      <c r="L294" s="137"/>
      <c r="M294" s="137"/>
      <c r="N294" s="13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7"/>
      <c r="B295" s="137"/>
      <c r="C295" s="137"/>
      <c r="D295" s="138"/>
      <c r="E295" s="138"/>
      <c r="F295" s="138"/>
      <c r="G295" s="138"/>
      <c r="H295" s="138"/>
      <c r="I295" s="138"/>
      <c r="J295" s="137"/>
      <c r="K295" s="137"/>
      <c r="L295" s="137"/>
      <c r="M295" s="137"/>
      <c r="N295" s="13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7"/>
      <c r="B296" s="137"/>
      <c r="C296" s="137"/>
      <c r="D296" s="138"/>
      <c r="E296" s="138"/>
      <c r="F296" s="138"/>
      <c r="G296" s="138"/>
      <c r="H296" s="138"/>
      <c r="I296" s="138"/>
      <c r="J296" s="137"/>
      <c r="K296" s="137"/>
      <c r="L296" s="137"/>
      <c r="M296" s="137"/>
      <c r="N296" s="13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7"/>
      <c r="B297" s="137"/>
      <c r="C297" s="137"/>
      <c r="D297" s="138"/>
      <c r="E297" s="138"/>
      <c r="F297" s="138"/>
      <c r="G297" s="138"/>
      <c r="H297" s="138"/>
      <c r="I297" s="138"/>
      <c r="J297" s="137"/>
      <c r="K297" s="137"/>
      <c r="L297" s="137"/>
      <c r="M297" s="137"/>
      <c r="N297" s="13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7"/>
      <c r="B298" s="137"/>
      <c r="C298" s="137"/>
      <c r="D298" s="138"/>
      <c r="E298" s="138"/>
      <c r="F298" s="138"/>
      <c r="G298" s="138"/>
      <c r="H298" s="138"/>
      <c r="I298" s="138"/>
      <c r="J298" s="137"/>
      <c r="K298" s="137"/>
      <c r="L298" s="137"/>
      <c r="M298" s="137"/>
      <c r="N298" s="13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/>
    <row r="300" spans="1:26" ht="15.75" customHeight="1" x14ac:dyDescent="0.25"/>
    <row r="301" spans="1:26" ht="15.75" customHeight="1" x14ac:dyDescent="0.25"/>
    <row r="302" spans="1:26" ht="15.75" customHeight="1" x14ac:dyDescent="0.25"/>
    <row r="303" spans="1:26" ht="15.75" customHeight="1" x14ac:dyDescent="0.25"/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1181102362204722" bottom="0.47244094488188981" header="0" footer="0"/>
  <pageSetup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PL 01</vt:lpstr>
      <vt:lpstr>PL 02</vt:lpstr>
      <vt:lpstr>TUMO RONG (1)</vt:lpstr>
      <vt:lpstr>LONG LEO(2)</vt:lpstr>
      <vt:lpstr>ĐĂK CHUM 1(3)</vt:lpstr>
      <vt:lpstr>ĐĂK CHUM II(4)</vt:lpstr>
      <vt:lpstr>TU CẤP(5)</vt:lpstr>
      <vt:lpstr>ĐĂK KA(6)</vt:lpstr>
      <vt:lpstr>VĂN SANG(7)</vt:lpstr>
      <vt:lpstr>ĐĂK NEANG(8)</vt:lpstr>
      <vt:lpstr>NGỌC LEANG(9)</vt:lpstr>
      <vt:lpstr>ĐĂK SIÊNG(10)</vt:lpstr>
      <vt:lpstr>KON TUN(11)</vt:lpstr>
      <vt:lpstr>MÔ PẢ(12)</vt:lpstr>
      <vt:lpstr>TY TU(13)</vt:lpstr>
      <vt:lpstr>KON LING(14)</vt:lpstr>
      <vt:lpstr>ĐĂK PƠ TRANG(15)</vt:lpstr>
      <vt:lpstr>KON PIA(16)</vt:lpstr>
      <vt:lpstr>ĐĂK HÀ(17)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2026-07-16T07:19:54Z</cp:lastPrinted>
  <dcterms:modified xsi:type="dcterms:W3CDTF">2026-07-16T07:28:59Z</dcterms:modified>
</cp:coreProperties>
</file>