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XÃ TU MƠ RÔNG MỚI\Năm 2026\BC KTXH 2026\Quý II\BC KTXH tháng 4\"/>
    </mc:Choice>
  </mc:AlternateContent>
  <xr:revisionPtr revIDLastSave="0" documentId="13_ncr:1_{3C47E060-E23B-4F10-8513-AA49B0629948}" xr6:coauthVersionLast="47" xr6:coauthVersionMax="47" xr10:uidLastSave="{00000000-0000-0000-0000-000000000000}"/>
  <bookViews>
    <workbookView xWindow="-120" yWindow="-120" windowWidth="20730" windowHeight="11040" tabRatio="987" xr2:uid="{00000000-000D-0000-FFFF-FFFF00000000}"/>
  </bookViews>
  <sheets>
    <sheet name="PL 01" sheetId="2" r:id="rId1"/>
    <sheet name="TUMO RONG (1)" sheetId="6" r:id="rId2"/>
    <sheet name="LONG LEO(2)" sheetId="7" r:id="rId3"/>
    <sheet name="ĐĂK CHUM 1(3)" sheetId="8" r:id="rId4"/>
    <sheet name="ĐĂK CHUM II(4)" sheetId="9" r:id="rId5"/>
    <sheet name="TU CẤP(5)" sheetId="10" r:id="rId6"/>
    <sheet name="ĐĂK KA(6)" sheetId="12" r:id="rId7"/>
    <sheet name="VĂN SANG(7)" sheetId="22" r:id="rId8"/>
    <sheet name="ĐĂK NEANG(8)" sheetId="13" r:id="rId9"/>
    <sheet name="NGỌC LEANG(9)" sheetId="14" r:id="rId10"/>
    <sheet name="ĐĂK SIÊNG(10)" sheetId="23" r:id="rId11"/>
    <sheet name="KON TUN(11)" sheetId="15" r:id="rId12"/>
    <sheet name="MÔ PẢ(12)" sheetId="16" r:id="rId13"/>
    <sheet name="TY TU(13)" sheetId="17" r:id="rId14"/>
    <sheet name="KON LING(14)" sheetId="18" r:id="rId15"/>
    <sheet name="ĐĂK PƠ TRANG(15)" sheetId="19" r:id="rId16"/>
    <sheet name="KON PIA(16)" sheetId="20" r:id="rId17"/>
    <sheet name="ĐĂK HÀ(17)" sheetId="21" r:id="rId18"/>
    <sheet name="B03. SNVHXH" sheetId="3" state="hidden" r:id="rId19"/>
    <sheet name="PL4" sheetId="5" state="hidden" r:id="rId20"/>
  </sheets>
  <definedNames>
    <definedName name="____B1">{"'Sheet1'!$L$16"}</definedName>
    <definedName name="____CON1">#REF!</definedName>
    <definedName name="____CON2">#REF!</definedName>
    <definedName name="____NET2">#REF!</definedName>
    <definedName name="____Pl2">{"'Sheet1'!$L$16"}</definedName>
    <definedName name="___a100000">#REF!</definedName>
    <definedName name="___a80000">#REF!</definedName>
    <definedName name="___B1">{"'Sheet1'!$L$16"}</definedName>
    <definedName name="___boi1">#REF!</definedName>
    <definedName name="___boi2">#REF!</definedName>
    <definedName name="___CON1">#REF!</definedName>
    <definedName name="___CON2">#REF!</definedName>
    <definedName name="___ddn400">#REF!</definedName>
    <definedName name="___ddn600">#REF!</definedName>
    <definedName name="___KM188">#REF!</definedName>
    <definedName name="___km189">#REF!</definedName>
    <definedName name="___km190">#REF!</definedName>
    <definedName name="___km191">#REF!</definedName>
    <definedName name="___km192">#REF!</definedName>
    <definedName name="___km193">#REF!</definedName>
    <definedName name="___km194">#REF!</definedName>
    <definedName name="___km195">#REF!</definedName>
    <definedName name="___km196">#REF!</definedName>
    <definedName name="___km197">#REF!</definedName>
    <definedName name="___km198">#REF!</definedName>
    <definedName name="___lap1">#REF!</definedName>
    <definedName name="___lap2">#REF!</definedName>
    <definedName name="___MAC12">#REF!</definedName>
    <definedName name="___MAC46">#REF!</definedName>
    <definedName name="___NCL100">#REF!</definedName>
    <definedName name="___NCL200">#REF!</definedName>
    <definedName name="___NCL250">#REF!</definedName>
    <definedName name="___NET2">#REF!</definedName>
    <definedName name="___nin190">#REF!</definedName>
    <definedName name="___NSO2">{"'Sheet1'!$L$16"}</definedName>
    <definedName name="___Pl2">{"'Sheet1'!$L$16"}</definedName>
    <definedName name="___sc1">#REF!</definedName>
    <definedName name="___SC2">#REF!</definedName>
    <definedName name="___sc3">#REF!</definedName>
    <definedName name="___SN3">#REF!</definedName>
    <definedName name="___TB1">#REF!</definedName>
    <definedName name="___TL1">#REF!</definedName>
    <definedName name="___TL2">#REF!</definedName>
    <definedName name="___TL3">#REF!</definedName>
    <definedName name="___TLA120">#REF!</definedName>
    <definedName name="___TLA35">#REF!</definedName>
    <definedName name="___TLA50">#REF!</definedName>
    <definedName name="___TLA70">#REF!</definedName>
    <definedName name="___TLA95">#REF!</definedName>
    <definedName name="___tz593">#REF!</definedName>
    <definedName name="___VL100">#REF!</definedName>
    <definedName name="___VL200">#REF!</definedName>
    <definedName name="___VL250">#REF!</definedName>
    <definedName name="__a100000">#REF!</definedName>
    <definedName name="__a80000">#REF!</definedName>
    <definedName name="__B1" localSheetId="18">{"'Sheet1'!$L$16"}</definedName>
    <definedName name="__B1">{"'Sheet1'!$L$16"}</definedName>
    <definedName name="__boi1">#REF!</definedName>
    <definedName name="__boi2">#REF!</definedName>
    <definedName name="__CON1">#REF!</definedName>
    <definedName name="__CON2">#REF!</definedName>
    <definedName name="__ddn400">#REF!</definedName>
    <definedName name="__ddn600">#REF!</definedName>
    <definedName name="__KM188">#REF!</definedName>
    <definedName name="__km189">#REF!</definedName>
    <definedName name="__km190">#REF!</definedName>
    <definedName name="__km191">#REF!</definedName>
    <definedName name="__km192">#REF!</definedName>
    <definedName name="__km193">#REF!</definedName>
    <definedName name="__km194">#REF!</definedName>
    <definedName name="__km195">#REF!</definedName>
    <definedName name="__km196">#REF!</definedName>
    <definedName name="__km197">#REF!</definedName>
    <definedName name="__km198">#REF!</definedName>
    <definedName name="__lap1">#REF!</definedName>
    <definedName name="__lap2">#REF!</definedName>
    <definedName name="__MAC12">#REF!</definedName>
    <definedName name="__MAC46">#REF!</definedName>
    <definedName name="__NCL100">#REF!</definedName>
    <definedName name="__NCL200">#REF!</definedName>
    <definedName name="__NCL250">#REF!</definedName>
    <definedName name="__NET2">#REF!</definedName>
    <definedName name="__nin190">#REF!</definedName>
    <definedName name="__NSO2">{"'Sheet1'!$L$16"}</definedName>
    <definedName name="__Pl2" localSheetId="18">{"'Sheet1'!$L$16"}</definedName>
    <definedName name="__Pl2">{"'Sheet1'!$L$16"}</definedName>
    <definedName name="__sc1">#REF!</definedName>
    <definedName name="__SC2">#REF!</definedName>
    <definedName name="__sc3">#REF!</definedName>
    <definedName name="__SN3">#REF!</definedName>
    <definedName name="__TB1">#REF!</definedName>
    <definedName name="__TL1">#REF!</definedName>
    <definedName name="__TL2">#REF!</definedName>
    <definedName name="__TL3">#REF!</definedName>
    <definedName name="__TLA120">#REF!</definedName>
    <definedName name="__TLA35">#REF!</definedName>
    <definedName name="__TLA50">#REF!</definedName>
    <definedName name="__TLA70">#REF!</definedName>
    <definedName name="__TLA95">#REF!</definedName>
    <definedName name="__tz593">#REF!</definedName>
    <definedName name="__VL100">#REF!</definedName>
    <definedName name="__VL200">#REF!</definedName>
    <definedName name="__VL250">#REF!</definedName>
    <definedName name="_05.6022" localSheetId="18">#REF!</definedName>
    <definedName name="_05.6022">#REF!</definedName>
    <definedName name="_1">#REF!</definedName>
    <definedName name="_1_2">NA()</definedName>
    <definedName name="_1000A01">#REF!</definedName>
    <definedName name="_1000A01_2">NA()</definedName>
    <definedName name="_2">#REF!</definedName>
    <definedName name="_2_2">NA()</definedName>
    <definedName name="_a100000" localSheetId="18">#REF!</definedName>
    <definedName name="_a100000">#REF!</definedName>
    <definedName name="_a80000" localSheetId="18">#REF!</definedName>
    <definedName name="_a80000">#REF!</definedName>
    <definedName name="_B1" localSheetId="18">{"'Sheet1'!$L$16"}</definedName>
    <definedName name="_B1">{"'Sheet1'!$L$16"}</definedName>
    <definedName name="_boi1" localSheetId="18">#REF!</definedName>
    <definedName name="_boi1">#REF!</definedName>
    <definedName name="_boi2" localSheetId="18">#REF!</definedName>
    <definedName name="_boi2">#REF!</definedName>
    <definedName name="_CON1" localSheetId="18">#REF!</definedName>
    <definedName name="_CON1">#REF!</definedName>
    <definedName name="_CON1_2" localSheetId="18">#REF!</definedName>
    <definedName name="_CON1_2">#REF!</definedName>
    <definedName name="_CON2" localSheetId="18">#REF!</definedName>
    <definedName name="_CON2">#REF!</definedName>
    <definedName name="_CON2_2" localSheetId="18">#REF!</definedName>
    <definedName name="_CON2_2">#REF!</definedName>
    <definedName name="_ddn400" localSheetId="18">#REF!</definedName>
    <definedName name="_ddn400">#REF!</definedName>
    <definedName name="_ddn600" localSheetId="18">#REF!</definedName>
    <definedName name="_ddn600">#REF!</definedName>
    <definedName name="_Fill" localSheetId="18">#REF!</definedName>
    <definedName name="_Fill">#REF!</definedName>
    <definedName name="_Key1">#REF!</definedName>
    <definedName name="_Key2">#REF!</definedName>
    <definedName name="_KM188" localSheetId="18">#REF!</definedName>
    <definedName name="_KM188">#REF!</definedName>
    <definedName name="_km189" localSheetId="18">#REF!</definedName>
    <definedName name="_km189">#REF!</definedName>
    <definedName name="_km190" localSheetId="18">#REF!</definedName>
    <definedName name="_km190">#REF!</definedName>
    <definedName name="_km191" localSheetId="18">#REF!</definedName>
    <definedName name="_km191">#REF!</definedName>
    <definedName name="_km192" localSheetId="18">#REF!</definedName>
    <definedName name="_km192">#REF!</definedName>
    <definedName name="_km193" localSheetId="18">#REF!</definedName>
    <definedName name="_km193">#REF!</definedName>
    <definedName name="_km194" localSheetId="18">#REF!</definedName>
    <definedName name="_km194">#REF!</definedName>
    <definedName name="_km195" localSheetId="18">#REF!</definedName>
    <definedName name="_km195">#REF!</definedName>
    <definedName name="_km196" localSheetId="18">#REF!</definedName>
    <definedName name="_km196">#REF!</definedName>
    <definedName name="_km197" localSheetId="18">#REF!</definedName>
    <definedName name="_km197">#REF!</definedName>
    <definedName name="_km198" localSheetId="18">#REF!</definedName>
    <definedName name="_km198">#REF!</definedName>
    <definedName name="_lap1">#REF!</definedName>
    <definedName name="_lap2">#REF!</definedName>
    <definedName name="_MAC12" localSheetId="18">#REF!</definedName>
    <definedName name="_MAC12">#REF!</definedName>
    <definedName name="_MAC46" localSheetId="18">#REF!</definedName>
    <definedName name="_MAC46">#REF!</definedName>
    <definedName name="_NCL100" localSheetId="18">#REF!</definedName>
    <definedName name="_NCL100">#REF!</definedName>
    <definedName name="_NCL200" localSheetId="18">#REF!</definedName>
    <definedName name="_NCL200">#REF!</definedName>
    <definedName name="_NCL250" localSheetId="18">#REF!</definedName>
    <definedName name="_NCL250">#REF!</definedName>
    <definedName name="_NET2">#REF!</definedName>
    <definedName name="_NET2_2" localSheetId="18">#REF!</definedName>
    <definedName name="_NET2_2">#REF!</definedName>
    <definedName name="_nin190" localSheetId="18">#REF!</definedName>
    <definedName name="_nin190">#REF!</definedName>
    <definedName name="_NSO2" localSheetId="18">{"'Sheet1'!$L$16"}</definedName>
    <definedName name="_NSO2">{"'Sheet1'!$L$16"}</definedName>
    <definedName name="_Order1">255</definedName>
    <definedName name="_Order2">255</definedName>
    <definedName name="_Pl2" localSheetId="18">{"'Sheet1'!$L$16"}</definedName>
    <definedName name="_Pl2">{"'Sheet1'!$L$16"}</definedName>
    <definedName name="_sc1" localSheetId="18">#REF!</definedName>
    <definedName name="_sc1">#REF!</definedName>
    <definedName name="_SC2" localSheetId="18">#REF!</definedName>
    <definedName name="_SC2">#REF!</definedName>
    <definedName name="_sc3" localSheetId="18">#REF!</definedName>
    <definedName name="_sc3">#REF!</definedName>
    <definedName name="_SN3" localSheetId="18">#REF!</definedName>
    <definedName name="_SN3">#REF!</definedName>
    <definedName name="_Sort">#REF!</definedName>
    <definedName name="_TB1" localSheetId="18">#REF!</definedName>
    <definedName name="_TB1">#REF!</definedName>
    <definedName name="_TL1" localSheetId="18">#REF!</definedName>
    <definedName name="_TL1">#REF!</definedName>
    <definedName name="_TL2" localSheetId="18">#REF!</definedName>
    <definedName name="_TL2">#REF!</definedName>
    <definedName name="_TL3" localSheetId="18">#REF!</definedName>
    <definedName name="_TL3">#REF!</definedName>
    <definedName name="_TLA120" localSheetId="18">#REF!</definedName>
    <definedName name="_TLA120">#REF!</definedName>
    <definedName name="_TLA35" localSheetId="18">#REF!</definedName>
    <definedName name="_TLA35">#REF!</definedName>
    <definedName name="_TLA50" localSheetId="18">#REF!</definedName>
    <definedName name="_TLA50">#REF!</definedName>
    <definedName name="_TLA70" localSheetId="18">#REF!</definedName>
    <definedName name="_TLA70">#REF!</definedName>
    <definedName name="_TLA95" localSheetId="18">#REF!</definedName>
    <definedName name="_TLA95">#REF!</definedName>
    <definedName name="_tz593" localSheetId="18">#REF!</definedName>
    <definedName name="_tz593">#REF!</definedName>
    <definedName name="_VL100" localSheetId="18">#REF!</definedName>
    <definedName name="_VL100">#REF!</definedName>
    <definedName name="_VL200" localSheetId="18">#REF!</definedName>
    <definedName name="_VL200">#REF!</definedName>
    <definedName name="_VL250" localSheetId="18">#REF!</definedName>
    <definedName name="_VL250">#REF!</definedName>
    <definedName name="A01_">#REF!</definedName>
    <definedName name="A01__2">NA()</definedName>
    <definedName name="A01AC">#REF!</definedName>
    <definedName name="A01AC_2">NA()</definedName>
    <definedName name="A01CAT">#REF!</definedName>
    <definedName name="A01CAT_2">NA()</definedName>
    <definedName name="A01CODE">#REF!</definedName>
    <definedName name="A01CODE_2">NA()</definedName>
    <definedName name="A01DATA">#REF!</definedName>
    <definedName name="A01DATA_2">NA()</definedName>
    <definedName name="A01MI">#REF!</definedName>
    <definedName name="A01MI_2">NA()</definedName>
    <definedName name="A01TO">#REF!</definedName>
    <definedName name="A01TO_2">NA()</definedName>
    <definedName name="A120_" localSheetId="18">#REF!</definedName>
    <definedName name="A120_">#REF!</definedName>
    <definedName name="a277Print_Titles">#REF!</definedName>
    <definedName name="A35_" localSheetId="18">#REF!</definedName>
    <definedName name="A35_">#REF!</definedName>
    <definedName name="A50_" localSheetId="18">#REF!</definedName>
    <definedName name="A50_">#REF!</definedName>
    <definedName name="A70_" localSheetId="18">#REF!</definedName>
    <definedName name="A70_">#REF!</definedName>
    <definedName name="A95_" localSheetId="18">#REF!</definedName>
    <definedName name="A95_">#REF!</definedName>
    <definedName name="AA" localSheetId="18">#REF!</definedName>
    <definedName name="AA">#REF!</definedName>
    <definedName name="AC120_" localSheetId="18">#REF!</definedName>
    <definedName name="AC120_">#REF!</definedName>
    <definedName name="AC35_" localSheetId="18">#REF!</definedName>
    <definedName name="AC35_">#REF!</definedName>
    <definedName name="AC50_" localSheetId="18">#REF!</definedName>
    <definedName name="AC50_">#REF!</definedName>
    <definedName name="AC70_" localSheetId="18">#REF!</definedName>
    <definedName name="AC70_">#REF!</definedName>
    <definedName name="AC95_" localSheetId="18">#REF!</definedName>
    <definedName name="AC95_">#REF!</definedName>
    <definedName name="ag15F80" localSheetId="18">#REF!</definedName>
    <definedName name="ag15F80">#REF!</definedName>
    <definedName name="All_Item" localSheetId="18">#REF!</definedName>
    <definedName name="All_Item">#REF!</definedName>
    <definedName name="ALPIN">#REF!</definedName>
    <definedName name="ALPIN_2">NA()</definedName>
    <definedName name="ALPJYOU">#REF!</definedName>
    <definedName name="ALPJYOU_2">NA()</definedName>
    <definedName name="ALPTOI">#REF!</definedName>
    <definedName name="ALPTOI_2">NA()</definedName>
    <definedName name="b" localSheetId="18">{"Book1","LuongT6.05.xls"}</definedName>
    <definedName name="Bang_cly" localSheetId="18">#REF!</definedName>
    <definedName name="Bang_cly">#REF!</definedName>
    <definedName name="Bang_CVC" localSheetId="18">#REF!</definedName>
    <definedName name="Bang_CVC">#REF!</definedName>
    <definedName name="bang_gia" localSheetId="18">#REF!</definedName>
    <definedName name="bang_gia">#REF!</definedName>
    <definedName name="Bang_travl" localSheetId="18">#REF!</definedName>
    <definedName name="Bang_travl">#REF!</definedName>
    <definedName name="BB" localSheetId="18">#REF!</definedName>
    <definedName name="BB">#REF!</definedName>
    <definedName name="Biengioi" localSheetId="18">#REF!</definedName>
    <definedName name="Biengioi">#REF!</definedName>
    <definedName name="blkh" localSheetId="18">#REF!</definedName>
    <definedName name="blkh">#REF!</definedName>
    <definedName name="blkh1" localSheetId="18">#REF!</definedName>
    <definedName name="blkh1">#REF!</definedName>
    <definedName name="BMPB">#REF!</definedName>
    <definedName name="BOQ" localSheetId="18">#REF!</definedName>
    <definedName name="BOQ">#REF!</definedName>
    <definedName name="BT" localSheetId="18">#REF!</definedName>
    <definedName name="BT">#REF!</definedName>
    <definedName name="BTB" localSheetId="18">#REF!</definedName>
    <definedName name="BTB">#REF!</definedName>
    <definedName name="BTM" localSheetId="18">#REF!</definedName>
    <definedName name="BTM">#REF!</definedName>
    <definedName name="BTN" localSheetId="18">#REF!</definedName>
    <definedName name="BTN">#REF!</definedName>
    <definedName name="BTT" localSheetId="18">#REF!</definedName>
    <definedName name="BTT">#REF!</definedName>
    <definedName name="BVCISUMMARY" localSheetId="18">#REF!</definedName>
    <definedName name="BVCISUMMARY">#REF!</definedName>
    <definedName name="C.1.1..Phat_tuyen" localSheetId="18">#REF!</definedName>
    <definedName name="C.1.1..Phat_tuyen">#REF!</definedName>
    <definedName name="C.1.10..VC_Thu_cong_CG" localSheetId="18">#REF!</definedName>
    <definedName name="C.1.10..VC_Thu_cong_CG">#REF!</definedName>
    <definedName name="C.1.2..Chat_cay_thu_cong" localSheetId="18">#REF!</definedName>
    <definedName name="C.1.2..Chat_cay_thu_cong">#REF!</definedName>
    <definedName name="C.1.3..Chat_cay_may" localSheetId="18">#REF!</definedName>
    <definedName name="C.1.3..Chat_cay_may">#REF!</definedName>
    <definedName name="C.1.4..Dao_goc_cay" localSheetId="18">#REF!</definedName>
    <definedName name="C.1.4..Dao_goc_cay">#REF!</definedName>
    <definedName name="C.1.5..Lam_duong_tam" localSheetId="18">#REF!</definedName>
    <definedName name="C.1.5..Lam_duong_tam">#REF!</definedName>
    <definedName name="C.1.6..Lam_cau_tam" localSheetId="18">#REF!</definedName>
    <definedName name="C.1.6..Lam_cau_tam">#REF!</definedName>
    <definedName name="C.1.7..Rai_da_chong_lun" localSheetId="18">#REF!</definedName>
    <definedName name="C.1.7..Rai_da_chong_lun">#REF!</definedName>
    <definedName name="C.1.8..Lam_kho_tam" localSheetId="18">#REF!</definedName>
    <definedName name="C.1.8..Lam_kho_tam">#REF!</definedName>
    <definedName name="C.1.8..San_mat_bang" localSheetId="18">#REF!</definedName>
    <definedName name="C.1.8..San_mat_bang">#REF!</definedName>
    <definedName name="C.2.1..VC_Thu_cong" localSheetId="18">#REF!</definedName>
    <definedName name="C.2.1..VC_Thu_cong">#REF!</definedName>
    <definedName name="C.2.2..VC_T_cong_CG" localSheetId="18">#REF!</definedName>
    <definedName name="C.2.2..VC_T_cong_CG">#REF!</definedName>
    <definedName name="C.2.3..Boc_do" localSheetId="18">#REF!</definedName>
    <definedName name="C.2.3..Boc_do">#REF!</definedName>
    <definedName name="C.3.1..Dao_dat_mong_cot" localSheetId="18">#REF!</definedName>
    <definedName name="C.3.1..Dao_dat_mong_cot">#REF!</definedName>
    <definedName name="C.3.2..Dao_dat_de_dap" localSheetId="18">#REF!</definedName>
    <definedName name="C.3.2..Dao_dat_de_dap">#REF!</definedName>
    <definedName name="C.3.3..Dap_dat_mong" localSheetId="18">#REF!</definedName>
    <definedName name="C.3.3..Dap_dat_mong">#REF!</definedName>
    <definedName name="C.3.4..Dao_dap_TDia" localSheetId="18">#REF!</definedName>
    <definedName name="C.3.4..Dao_dap_TDia">#REF!</definedName>
    <definedName name="C.3.5..Dap_bo_bao" localSheetId="18">#REF!</definedName>
    <definedName name="C.3.5..Dap_bo_bao">#REF!</definedName>
    <definedName name="C.3.6..Bom_tat_nuoc" localSheetId="18">#REF!</definedName>
    <definedName name="C.3.6..Bom_tat_nuoc">#REF!</definedName>
    <definedName name="C.3.7..Dao_bun" localSheetId="18">#REF!</definedName>
    <definedName name="C.3.7..Dao_bun">#REF!</definedName>
    <definedName name="C.3.8..Dap_cat_CT" localSheetId="18">#REF!</definedName>
    <definedName name="C.3.8..Dap_cat_CT">#REF!</definedName>
    <definedName name="C.3.9..Dao_pha_da" localSheetId="18">#REF!</definedName>
    <definedName name="C.3.9..Dao_pha_da">#REF!</definedName>
    <definedName name="C.4.1.Cot_thep" localSheetId="18">#REF!</definedName>
    <definedName name="C.4.1.Cot_thep">#REF!</definedName>
    <definedName name="C.4.2..Van_khuon" localSheetId="18">#REF!</definedName>
    <definedName name="C.4.2..Van_khuon">#REF!</definedName>
    <definedName name="C.4.3..Be_tong" localSheetId="18">#REF!</definedName>
    <definedName name="C.4.3..Be_tong">#REF!</definedName>
    <definedName name="C.4.4..Lap_BT_D.San" localSheetId="18">#REF!</definedName>
    <definedName name="C.4.4..Lap_BT_D.San">#REF!</definedName>
    <definedName name="C.4.5..Xay_da_hoc" localSheetId="18">#REF!</definedName>
    <definedName name="C.4.5..Xay_da_hoc">#REF!</definedName>
    <definedName name="C.4.6..Dong_coc" localSheetId="18">#REF!</definedName>
    <definedName name="C.4.6..Dong_coc">#REF!</definedName>
    <definedName name="C.4.7..Quet_Bi_tum" localSheetId="18">#REF!</definedName>
    <definedName name="C.4.7..Quet_Bi_tum">#REF!</definedName>
    <definedName name="C.5.1..Lap_cot_thep" localSheetId="18">#REF!</definedName>
    <definedName name="C.5.1..Lap_cot_thep">#REF!</definedName>
    <definedName name="C.5.2..Lap_cot_BT" localSheetId="18">#REF!</definedName>
    <definedName name="C.5.2..Lap_cot_BT">#REF!</definedName>
    <definedName name="C.5.3..Lap_dat_xa" localSheetId="18">#REF!</definedName>
    <definedName name="C.5.3..Lap_dat_xa">#REF!</definedName>
    <definedName name="C.5.4..Lap_tiep_dia" localSheetId="18">#REF!</definedName>
    <definedName name="C.5.4..Lap_tiep_dia">#REF!</definedName>
    <definedName name="C.5.5..Son_sat_thep" localSheetId="18">#REF!</definedName>
    <definedName name="C.5.5..Son_sat_thep">#REF!</definedName>
    <definedName name="C.6.1..Lap_su_dung" localSheetId="18">#REF!</definedName>
    <definedName name="C.6.1..Lap_su_dung">#REF!</definedName>
    <definedName name="C.6.2..Lap_su_CS" localSheetId="18">#REF!</definedName>
    <definedName name="C.6.2..Lap_su_CS">#REF!</definedName>
    <definedName name="C.6.3..Su_chuoi_do" localSheetId="18">#REF!</definedName>
    <definedName name="C.6.3..Su_chuoi_do">#REF!</definedName>
    <definedName name="C.6.4..Su_chuoi_neo" localSheetId="18">#REF!</definedName>
    <definedName name="C.6.4..Su_chuoi_neo">#REF!</definedName>
    <definedName name="C.6.5..Lap_phu_kien" localSheetId="18">#REF!</definedName>
    <definedName name="C.6.5..Lap_phu_kien">#REF!</definedName>
    <definedName name="C.6.6..Ep_noi_day" localSheetId="18">#REF!</definedName>
    <definedName name="C.6.6..Ep_noi_day">#REF!</definedName>
    <definedName name="C.6.7..KD_vuot_CN" localSheetId="18">#REF!</definedName>
    <definedName name="C.6.7..KD_vuot_CN">#REF!</definedName>
    <definedName name="C.6.8..Rai_cang_day" localSheetId="18">#REF!</definedName>
    <definedName name="C.6.8..Rai_cang_day">#REF!</definedName>
    <definedName name="C.6.9..Cap_quang" localSheetId="18">#REF!</definedName>
    <definedName name="C.6.9..Cap_quang">#REF!</definedName>
    <definedName name="cap">#REF!</definedName>
    <definedName name="cap0.7">#REF!</definedName>
    <definedName name="Category_All" localSheetId="18">#REF!</definedName>
    <definedName name="Category_All">#REF!</definedName>
    <definedName name="CATIN">#REF!</definedName>
    <definedName name="CATIN_2">NA()</definedName>
    <definedName name="CATJYOU">#REF!</definedName>
    <definedName name="CATJYOU_2">NA()</definedName>
    <definedName name="CATREC">#REF!</definedName>
    <definedName name="CATREC_2">NA()</definedName>
    <definedName name="CATSYU">#REF!</definedName>
    <definedName name="CATSYU_2">NA()</definedName>
    <definedName name="CCS" localSheetId="18">#REF!</definedName>
    <definedName name="CCS">#REF!</definedName>
    <definedName name="CDD" localSheetId="18">#REF!</definedName>
    <definedName name="CDD">#REF!</definedName>
    <definedName name="CDDD1PHA" localSheetId="18">#REF!</definedName>
    <definedName name="CDDD1PHA">#REF!</definedName>
    <definedName name="CDDD3PHA" localSheetId="18">#REF!</definedName>
    <definedName name="CDDD3PHA">#REF!</definedName>
    <definedName name="Cdo_8bat" localSheetId="18">#REF!</definedName>
    <definedName name="Cdo_8bat">#REF!</definedName>
    <definedName name="Cdo_TK50" localSheetId="18">#REF!</definedName>
    <definedName name="Cdo_TK50">#REF!</definedName>
    <definedName name="Cho_2" localSheetId="18">#REF!</definedName>
    <definedName name="Cho_2">#REF!</definedName>
    <definedName name="CK" localSheetId="18">#REF!</definedName>
    <definedName name="CK">#REF!</definedName>
    <definedName name="CL">#REF!</definedName>
    <definedName name="CLVC3">0.1</definedName>
    <definedName name="CLVC35" localSheetId="18">#REF!</definedName>
    <definedName name="CLVC35">#REF!</definedName>
    <definedName name="CLVCTB" localSheetId="18">#REF!</definedName>
    <definedName name="CLVCTB">#REF!</definedName>
    <definedName name="CN_RC1" localSheetId="18">#REF!</definedName>
    <definedName name="CN_RC1">#REF!</definedName>
    <definedName name="CN_RC2" localSheetId="18">#REF!</definedName>
    <definedName name="CN_RC2">#REF!</definedName>
    <definedName name="CN_Rnha" localSheetId="18">#REF!</definedName>
    <definedName name="CN_Rnha">#REF!</definedName>
    <definedName name="CN_Rs" localSheetId="18">#REF!</definedName>
    <definedName name="CN_Rs">#REF!</definedName>
    <definedName name="Cneo_8bat" localSheetId="18">#REF!</definedName>
    <definedName name="Cneo_8bat">#REF!</definedName>
    <definedName name="Cneo_TK50" localSheetId="18">#REF!</definedName>
    <definedName name="Cneo_TK50">#REF!</definedName>
    <definedName name="Co" localSheetId="18">#REF!</definedName>
    <definedName name="Co">#REF!</definedName>
    <definedName name="Code">#REF!</definedName>
    <definedName name="Cöï_ly_vaän_chuyeãn" localSheetId="18">#REF!</definedName>
    <definedName name="Cöï_ly_vaän_chuyeãn">#REF!</definedName>
    <definedName name="CÖÏ_LY_VAÄN_CHUYEÅN" localSheetId="18">#REF!</definedName>
    <definedName name="CÖÏ_LY_VAÄN_CHUYEÅN">#REF!</definedName>
    <definedName name="COMMON" localSheetId="18">#REF!</definedName>
    <definedName name="COMMON">#REF!</definedName>
    <definedName name="COMMON_2" localSheetId="18">#REF!</definedName>
    <definedName name="COMMON_2">#REF!</definedName>
    <definedName name="CON_EQP_COS" localSheetId="18">#REF!</definedName>
    <definedName name="CON_EQP_COS">#REF!</definedName>
    <definedName name="CON_EQP_COST" localSheetId="18">#REF!</definedName>
    <definedName name="CON_EQP_COST">#REF!</definedName>
    <definedName name="Cong_HM_DTCT" localSheetId="18">#REF!</definedName>
    <definedName name="Cong_HM_DTCT">#REF!</definedName>
    <definedName name="Cong_M_DTCT" localSheetId="18">#REF!</definedName>
    <definedName name="Cong_M_DTCT">#REF!</definedName>
    <definedName name="Cong_NC_DTCT" localSheetId="18">#REF!</definedName>
    <definedName name="Cong_NC_DTCT">#REF!</definedName>
    <definedName name="Cong_VL_DTCT" localSheetId="18">#REF!</definedName>
    <definedName name="Cong_VL_DTCT">#REF!</definedName>
    <definedName name="CONST_EQ" localSheetId="18">#REF!</definedName>
    <definedName name="CONST_EQ">#REF!</definedName>
    <definedName name="Coù__4" localSheetId="18">#REF!</definedName>
    <definedName name="Coù__4">#REF!</definedName>
    <definedName name="COVER" localSheetId="18">#REF!</definedName>
    <definedName name="COVER">#REF!</definedName>
    <definedName name="CPKDP" localSheetId="18">#REF!</definedName>
    <definedName name="CPKDP">#REF!</definedName>
    <definedName name="CPKTW" localSheetId="18">#REF!</definedName>
    <definedName name="CPKTW">#REF!</definedName>
    <definedName name="cptkdp" localSheetId="18">#REF!</definedName>
    <definedName name="cptkdp">#REF!</definedName>
    <definedName name="CPVC100" localSheetId="18">#REF!</definedName>
    <definedName name="CPVC100">#REF!</definedName>
    <definedName name="CPVC35" localSheetId="18">#REF!</definedName>
    <definedName name="CPVC35">#REF!</definedName>
    <definedName name="CRD" localSheetId="18">#REF!</definedName>
    <definedName name="CRD">#REF!</definedName>
    <definedName name="CRITINST" localSheetId="18">#REF!</definedName>
    <definedName name="CRITINST">#REF!</definedName>
    <definedName name="CRITPURC" localSheetId="18">#REF!</definedName>
    <definedName name="CRITPURC">#REF!</definedName>
    <definedName name="CRS" localSheetId="18">#REF!</definedName>
    <definedName name="CRS">#REF!</definedName>
    <definedName name="CS" localSheetId="18">#REF!</definedName>
    <definedName name="CS">#REF!</definedName>
    <definedName name="CS_10" localSheetId="18">#REF!</definedName>
    <definedName name="CS_10">#REF!</definedName>
    <definedName name="CS_100" localSheetId="18">#REF!</definedName>
    <definedName name="CS_100">#REF!</definedName>
    <definedName name="CS_10S" localSheetId="18">#REF!</definedName>
    <definedName name="CS_10S">#REF!</definedName>
    <definedName name="CS_120" localSheetId="18">#REF!</definedName>
    <definedName name="CS_120">#REF!</definedName>
    <definedName name="CS_140" localSheetId="18">#REF!</definedName>
    <definedName name="CS_140">#REF!</definedName>
    <definedName name="CS_160" localSheetId="18">#REF!</definedName>
    <definedName name="CS_160">#REF!</definedName>
    <definedName name="CS_20" localSheetId="18">#REF!</definedName>
    <definedName name="CS_20">#REF!</definedName>
    <definedName name="CS_30" localSheetId="18">#REF!</definedName>
    <definedName name="CS_30">#REF!</definedName>
    <definedName name="CS_40" localSheetId="18">#REF!</definedName>
    <definedName name="CS_40">#REF!</definedName>
    <definedName name="CS_40S" localSheetId="18">#REF!</definedName>
    <definedName name="CS_40S">#REF!</definedName>
    <definedName name="CS_5S" localSheetId="18">#REF!</definedName>
    <definedName name="CS_5S">#REF!</definedName>
    <definedName name="CS_60" localSheetId="18">#REF!</definedName>
    <definedName name="CS_60">#REF!</definedName>
    <definedName name="CS_80" localSheetId="18">#REF!</definedName>
    <definedName name="CS_80">#REF!</definedName>
    <definedName name="CS_80S" localSheetId="18">#REF!</definedName>
    <definedName name="CS_80S">#REF!</definedName>
    <definedName name="CS_STD" localSheetId="18">#REF!</definedName>
    <definedName name="CS_STD">#REF!</definedName>
    <definedName name="CS_XS" localSheetId="18">#REF!</definedName>
    <definedName name="CS_XS">#REF!</definedName>
    <definedName name="CS_XXS" localSheetId="18">#REF!</definedName>
    <definedName name="CS_XXS">#REF!</definedName>
    <definedName name="csd3p" localSheetId="18">#REF!</definedName>
    <definedName name="csd3p">#REF!</definedName>
    <definedName name="csddg1p" localSheetId="18">#REF!</definedName>
    <definedName name="csddg1p">#REF!</definedName>
    <definedName name="csddt1p" localSheetId="18">#REF!</definedName>
    <definedName name="csddt1p">#REF!</definedName>
    <definedName name="csht3p" localSheetId="18">#REF!</definedName>
    <definedName name="csht3p">#REF!</definedName>
    <definedName name="CT">#REF!</definedName>
    <definedName name="CT_134" localSheetId="18">#REF!</definedName>
    <definedName name="CT_134">#REF!</definedName>
    <definedName name="CT_168" localSheetId="18">#REF!</definedName>
    <definedName name="CT_168">#REF!</definedName>
    <definedName name="CT_194_2" localSheetId="18">#REF!</definedName>
    <definedName name="CT_194_2">#REF!</definedName>
    <definedName name="ctdn9697">#REF!</definedName>
    <definedName name="ctiep" localSheetId="18">#REF!</definedName>
    <definedName name="ctiep">#REF!</definedName>
    <definedName name="CTK">#REF!</definedName>
    <definedName name="cuoc_vc" localSheetId="18">#REF!</definedName>
    <definedName name="cuoc_vc">#REF!</definedName>
    <definedName name="CURRENCY" localSheetId="18">#REF!</definedName>
    <definedName name="CURRENCY">#REF!</definedName>
    <definedName name="cx" localSheetId="18">#REF!</definedName>
    <definedName name="cx">#REF!</definedName>
    <definedName name="D_7101A_B" localSheetId="18">#REF!</definedName>
    <definedName name="D_7101A_B">#REF!</definedName>
    <definedName name="DATA_DATA2_List" localSheetId="18">#REF!</definedName>
    <definedName name="DATA_DATA2_List">#REF!</definedName>
    <definedName name="data1">#REF!</definedName>
    <definedName name="data2">#REF!</definedName>
    <definedName name="data3">#REF!</definedName>
    <definedName name="DD" localSheetId="18">#REF!</definedName>
    <definedName name="DD">#REF!</definedName>
    <definedName name="den_bu" localSheetId="18">#REF!</definedName>
    <definedName name="den_bu">#REF!</definedName>
    <definedName name="dg" localSheetId="18">#REF!</definedName>
    <definedName name="dg">#REF!</definedName>
    <definedName name="DGCTI592" localSheetId="18">#REF!</definedName>
    <definedName name="DGCTI592">#REF!</definedName>
    <definedName name="dgnc" localSheetId="18">#REF!</definedName>
    <definedName name="dgnc">#REF!</definedName>
    <definedName name="DGTH" localSheetId="18">#REF!</definedName>
    <definedName name="DGTH">#REF!</definedName>
    <definedName name="dgthss3" localSheetId="18">#REF!</definedName>
    <definedName name="dgthss3">#REF!</definedName>
    <definedName name="DGTV" localSheetId="18">#REF!</definedName>
    <definedName name="DGTV">#REF!</definedName>
    <definedName name="dgvl" localSheetId="18">#REF!</definedName>
    <definedName name="dgvl">#REF!</definedName>
    <definedName name="Discount">#REF!</definedName>
    <definedName name="display_area_2">#REF!</definedName>
    <definedName name="DLCC" localSheetId="18">#REF!</definedName>
    <definedName name="DLCC">#REF!</definedName>
    <definedName name="DM" localSheetId="18">#REF!</definedName>
    <definedName name="DM">#REF!</definedName>
    <definedName name="dobt">#REF!</definedName>
    <definedName name="Document_array" localSheetId="18">{"Book1","LuongT6.05.xls"}</definedName>
    <definedName name="Document_array">{"Book1","LuongT6.05.xls"}</definedName>
    <definedName name="Documents_array" localSheetId="18">#REF!</definedName>
    <definedName name="Documents_array">#REF!</definedName>
    <definedName name="Dongia" localSheetId="18">#REF!</definedName>
    <definedName name="Dongia">#REF!</definedName>
    <definedName name="DS1p1vc" localSheetId="18">#REF!</definedName>
    <definedName name="DS1p1vc">#REF!</definedName>
    <definedName name="ds1p2nc" localSheetId="18">#REF!</definedName>
    <definedName name="ds1p2nc">#REF!</definedName>
    <definedName name="ds1p2vc" localSheetId="18">#REF!</definedName>
    <definedName name="ds1p2vc">#REF!</definedName>
    <definedName name="ds1p2vl" localSheetId="18">#REF!</definedName>
    <definedName name="ds1p2vl">#REF!</definedName>
    <definedName name="ds1pnc" localSheetId="18">#REF!</definedName>
    <definedName name="ds1pnc">#REF!</definedName>
    <definedName name="ds1pvl" localSheetId="18">#REF!</definedName>
    <definedName name="ds1pvl">#REF!</definedName>
    <definedName name="ds3pctnc" localSheetId="18">#REF!</definedName>
    <definedName name="ds3pctnc">#REF!</definedName>
    <definedName name="ds3pctvc" localSheetId="18">#REF!</definedName>
    <definedName name="ds3pctvc">#REF!</definedName>
    <definedName name="ds3pctvl" localSheetId="18">#REF!</definedName>
    <definedName name="ds3pctvl">#REF!</definedName>
    <definedName name="ds3pmnc" localSheetId="18">#REF!</definedName>
    <definedName name="ds3pmnc">#REF!</definedName>
    <definedName name="ds3pmvc" localSheetId="18">#REF!</definedName>
    <definedName name="ds3pmvc">#REF!</definedName>
    <definedName name="ds3pmvl" localSheetId="18">#REF!</definedName>
    <definedName name="ds3pmvl">#REF!</definedName>
    <definedName name="ds3pnc" localSheetId="18">#REF!</definedName>
    <definedName name="ds3pnc">#REF!</definedName>
    <definedName name="ds3pvl" localSheetId="18">#REF!</definedName>
    <definedName name="ds3pvl">#REF!</definedName>
    <definedName name="dsh" localSheetId="18">#REF!</definedName>
    <definedName name="dsh">#REF!</definedName>
    <definedName name="DSPK1p1nc" localSheetId="18">#REF!</definedName>
    <definedName name="DSPK1p1nc">#REF!</definedName>
    <definedName name="DSPK1p1vl" localSheetId="18">#REF!</definedName>
    <definedName name="DSPK1p1vl">#REF!</definedName>
    <definedName name="DSPK1pnc" localSheetId="18">#REF!</definedName>
    <definedName name="DSPK1pnc">#REF!</definedName>
    <definedName name="DSPK1pvl" localSheetId="18">#REF!</definedName>
    <definedName name="DSPK1pvl">#REF!</definedName>
    <definedName name="DSUMDATA" localSheetId="18">#REF!</definedName>
    <definedName name="DSUMDATA">#REF!</definedName>
    <definedName name="DU_ODA" localSheetId="18">#REF!</definedName>
    <definedName name="DU_ODA">#REF!</definedName>
    <definedName name="DUDAUCO" localSheetId="18">#REF!</definedName>
    <definedName name="DUDAUCO">#REF!</definedName>
    <definedName name="DUDAUNO" localSheetId="18">#REF!</definedName>
    <definedName name="DUDAUNO">#REF!</definedName>
    <definedName name="Dulich" localSheetId="18">#REF!</definedName>
    <definedName name="Dulich">#REF!</definedName>
    <definedName name="ee">#REF!</definedName>
    <definedName name="emb" localSheetId="18">#REF!</definedName>
    <definedName name="emb">#REF!</definedName>
    <definedName name="End_1" localSheetId="18">#REF!</definedName>
    <definedName name="End_1">#REF!</definedName>
    <definedName name="End_10" localSheetId="18">#REF!</definedName>
    <definedName name="End_10">#REF!</definedName>
    <definedName name="End_11" localSheetId="18">#REF!</definedName>
    <definedName name="End_11">#REF!</definedName>
    <definedName name="End_12" localSheetId="18">#REF!</definedName>
    <definedName name="End_12">#REF!</definedName>
    <definedName name="End_13" localSheetId="18">#REF!</definedName>
    <definedName name="End_13">#REF!</definedName>
    <definedName name="End_2" localSheetId="18">#REF!</definedName>
    <definedName name="End_2">#REF!</definedName>
    <definedName name="End_3" localSheetId="18">#REF!</definedName>
    <definedName name="End_3">#REF!</definedName>
    <definedName name="End_4" localSheetId="18">#REF!</definedName>
    <definedName name="End_4">#REF!</definedName>
    <definedName name="End_5" localSheetId="18">#REF!</definedName>
    <definedName name="End_5">#REF!</definedName>
    <definedName name="End_6" localSheetId="18">#REF!</definedName>
    <definedName name="End_6">#REF!</definedName>
    <definedName name="End_7" localSheetId="18">#REF!</definedName>
    <definedName name="End_7">#REF!</definedName>
    <definedName name="End_8" localSheetId="18">#REF!</definedName>
    <definedName name="End_8">#REF!</definedName>
    <definedName name="End_9" localSheetId="18">#REF!</definedName>
    <definedName name="End_9">#REF!</definedName>
    <definedName name="ex" localSheetId="18">#REF!</definedName>
    <definedName name="ex">#REF!</definedName>
    <definedName name="Excel_BuiltIn_Database" localSheetId="18">#REF!</definedName>
    <definedName name="Excel_BuiltIn_Database">#REF!</definedName>
    <definedName name="Excel_BuiltIn_Database_2" localSheetId="18">#REF!</definedName>
    <definedName name="Excel_BuiltIn_Database_2">#REF!</definedName>
    <definedName name="Excel_BuiltIn_Print_Area" localSheetId="18">#REF!</definedName>
    <definedName name="Excel_BuiltIn_Print_Area">#REF!</definedName>
    <definedName name="Excel_BuiltIn_Print_Area_2" localSheetId="18">#REF!</definedName>
    <definedName name="Excel_BuiltIn_Print_Area_2">#REF!</definedName>
    <definedName name="Excel_BuiltIn_Print_Titles" localSheetId="18">#REF!</definedName>
    <definedName name="Excel_BuiltIn_Print_Titles">#REF!</definedName>
    <definedName name="Excel_BuiltIn_Recorder" localSheetId="18">#REF!</definedName>
    <definedName name="Excel_BuiltIn_Recorder">#REF!</definedName>
    <definedName name="f" localSheetId="18">#REF!</definedName>
    <definedName name="f">#REF!</definedName>
    <definedName name="f82E46" localSheetId="18">#REF!</definedName>
    <definedName name="f82E46">#REF!</definedName>
    <definedName name="FACTOR" localSheetId="18">#REF!</definedName>
    <definedName name="FACTOR">#REF!</definedName>
    <definedName name="FCode">#REF!</definedName>
    <definedName name="fgf" localSheetId="18">{"'Sheet1'!$L$16"}</definedName>
    <definedName name="fgf">{"'Sheet1'!$L$16"}</definedName>
    <definedName name="fgn" localSheetId="18">{"Book1","LuongT6.05.xls"}</definedName>
    <definedName name="fgn">{"Book1","LuongT6.05.xls"}</definedName>
    <definedName name="g" localSheetId="18">{"'Sheet1'!$L$16"}</definedName>
    <definedName name="gb" localSheetId="18">{"'Sheet1'!$L$16"}</definedName>
    <definedName name="gb">{"'Sheet1'!$L$16"}</definedName>
    <definedName name="geo" localSheetId="18">#REF!</definedName>
    <definedName name="geo">#REF!</definedName>
    <definedName name="gff" localSheetId="18">{"'Sheet1'!$L$16"}</definedName>
    <definedName name="gff">{"'Sheet1'!$L$16"}</definedName>
    <definedName name="gfy" localSheetId="18">{"'Sheet1'!$L$16"}</definedName>
    <definedName name="gfy">{"'Sheet1'!$L$16"}</definedName>
    <definedName name="Gia_CT" localSheetId="18">#REF!</definedName>
    <definedName name="Gia_CT">#REF!</definedName>
    <definedName name="gia_tien" localSheetId="18">#REF!</definedName>
    <definedName name="gia_tien">#REF!</definedName>
    <definedName name="gia_tien_BTN" localSheetId="18">#REF!</definedName>
    <definedName name="gia_tien_BTN">#REF!</definedName>
    <definedName name="Gia_VT" localSheetId="18">#REF!</definedName>
    <definedName name="Gia_VT">#REF!</definedName>
    <definedName name="GIAVLIEUTN" localSheetId="18">#REF!</definedName>
    <definedName name="GIAVLIEUTN">#REF!</definedName>
    <definedName name="gjklkj" localSheetId="18">{"'Sheet1'!$L$16"}</definedName>
    <definedName name="gjklkj">{"'Sheet1'!$L$16"}</definedName>
    <definedName name="gl3p" localSheetId="18">#REF!</definedName>
    <definedName name="gl3p">#REF!</definedName>
    <definedName name="GTXL" localSheetId="18">#REF!</definedName>
    <definedName name="GTXL">#REF!</definedName>
    <definedName name="h" localSheetId="18">{"'Sheet1'!$L$16"}</definedName>
    <definedName name="h">{"'Sheet1'!$L$16"}</definedName>
    <definedName name="H_THUCHTHH" localSheetId="18">#REF!</definedName>
    <definedName name="H_THUCHTHH">#REF!</definedName>
    <definedName name="H_THUCTT" localSheetId="18">#REF!</definedName>
    <definedName name="H_THUCTT">#REF!</definedName>
    <definedName name="hdha" localSheetId="18">{"'Sheet1'!$L$16"}</definedName>
    <definedName name="hdha">{"'Sheet1'!$L$16"}</definedName>
    <definedName name="Heä_soá_laép_xaø_H">1.7</definedName>
    <definedName name="heä_soá_sình_laày" localSheetId="18">#REF!</definedName>
    <definedName name="heä_soá_sình_laày">#REF!</definedName>
    <definedName name="hg" localSheetId="18">{"'Sheet1'!$L$16"}</definedName>
    <definedName name="hg">{"'Sheet1'!$L$16"}</definedName>
    <definedName name="hgk" localSheetId="18">{"'Sheet1'!$L$16"}</definedName>
    <definedName name="hgk">{"'Sheet1'!$L$16"}</definedName>
    <definedName name="HHTT" localSheetId="18">#REF!</definedName>
    <definedName name="HHTT">#REF!</definedName>
    <definedName name="HiddenRows">#REF!</definedName>
    <definedName name="hien" localSheetId="18">#REF!</definedName>
    <definedName name="hien">#REF!</definedName>
    <definedName name="hiep" localSheetId="18">{"'Sheet1'!$L$16"}</definedName>
    <definedName name="hiep">{"'Sheet1'!$L$16"}</definedName>
    <definedName name="Hinh_thuc" localSheetId="18">#REF!</definedName>
    <definedName name="Hinh_thuc">#REF!</definedName>
    <definedName name="hj" localSheetId="18">{"'Sheet1'!$L$16"}</definedName>
    <definedName name="hj">{"'Sheet1'!$L$16"}</definedName>
    <definedName name="HOME_MANP" localSheetId="18">#REF!</definedName>
    <definedName name="HOME_MANP">#REF!</definedName>
    <definedName name="HOME_MANP_2" localSheetId="18">#REF!</definedName>
    <definedName name="HOME_MANP_2">#REF!</definedName>
    <definedName name="HOMEOFFICE_COST" localSheetId="18">#REF!</definedName>
    <definedName name="HOMEOFFICE_COST">#REF!</definedName>
    <definedName name="HOMEOFFICE_COST_2" localSheetId="18">#REF!</definedName>
    <definedName name="HOMEOFFICE_COST_2">#REF!</definedName>
    <definedName name="HS" localSheetId="18">#REF!</definedName>
    <definedName name="HS">#REF!</definedName>
    <definedName name="HSCT3">0.1</definedName>
    <definedName name="hsdc1" localSheetId="18">#REF!</definedName>
    <definedName name="hsdc1">#REF!</definedName>
    <definedName name="HSDN">2.5</definedName>
    <definedName name="HSHH" localSheetId="18">#REF!</definedName>
    <definedName name="HSHH">#REF!</definedName>
    <definedName name="HSHHUT" localSheetId="18">#REF!</definedName>
    <definedName name="HSHHUT">#REF!</definedName>
    <definedName name="HSKK35" localSheetId="18">#REF!</definedName>
    <definedName name="HSKK35">#REF!</definedName>
    <definedName name="HSLXH" localSheetId="18">#REF!</definedName>
    <definedName name="HSLXH">#REF!</definedName>
    <definedName name="HSLXP" localSheetId="18">#REF!</definedName>
    <definedName name="HSLXP">#REF!</definedName>
    <definedName name="HSSL" localSheetId="18">#REF!</definedName>
    <definedName name="HSSL">#REF!</definedName>
    <definedName name="HSVC1" localSheetId="18">#REF!</definedName>
    <definedName name="HSVC1">#REF!</definedName>
    <definedName name="HSVC2" localSheetId="18">#REF!</definedName>
    <definedName name="HSVC2">#REF!</definedName>
    <definedName name="HSVC3" localSheetId="18">#REF!</definedName>
    <definedName name="HSVC3">#REF!</definedName>
    <definedName name="HTHH" localSheetId="18">#REF!</definedName>
    <definedName name="HTHH">#REF!</definedName>
    <definedName name="HTML_CodePage">950</definedName>
    <definedName name="HTML_Control" localSheetId="18">{"'Sheet1'!$L$16"}</definedName>
    <definedName name="HTML_Control">{"'Sheet1'!$L$16"}</definedName>
    <definedName name="HTML_Description">""</definedName>
    <definedName name="HTML_Email">""</definedName>
    <definedName name="HTML_Header">"Sheet1"</definedName>
    <definedName name="HTML_LastUpdate">"2000/9/14"</definedName>
    <definedName name="HTML_LineAfter">FALSE</definedName>
    <definedName name="HTML_LineBefore">FALSE</definedName>
    <definedName name="HTML_Name">"J.C.WONG"</definedName>
    <definedName name="HTML_OBDlg2">TRUE</definedName>
    <definedName name="HTML_OBDlg4">TRUE</definedName>
    <definedName name="HTML_OS">0</definedName>
    <definedName name="HTML_PathFile">"C:\2689\Q\國內\00q3961台化龍德PTA3建造\MyHTML.htm"</definedName>
    <definedName name="HTML_Title">"00Q3961-SUM"</definedName>
    <definedName name="HTNC" localSheetId="18">#REF!</definedName>
    <definedName name="HTNC">#REF!</definedName>
    <definedName name="HTVL" localSheetId="18">#REF!</definedName>
    <definedName name="HTVL">#REF!</definedName>
    <definedName name="huy" localSheetId="18">{"'Sheet1'!$L$16"}</definedName>
    <definedName name="huy">{"'Sheet1'!$L$16"}</definedName>
    <definedName name="Huyenmoi" localSheetId="18">#REF!</definedName>
    <definedName name="Huyenmoi">#REF!</definedName>
    <definedName name="I" localSheetId="18">#REF!</definedName>
    <definedName name="I">#REF!</definedName>
    <definedName name="I_A" localSheetId="18">#REF!</definedName>
    <definedName name="I_A">#REF!</definedName>
    <definedName name="I_B" localSheetId="18">#REF!</definedName>
    <definedName name="I_B">#REF!</definedName>
    <definedName name="I_c" localSheetId="18">#REF!</definedName>
    <definedName name="I_c">#REF!</definedName>
    <definedName name="IDLAB_COST" localSheetId="18">#REF!</definedName>
    <definedName name="IDLAB_COST">#REF!</definedName>
    <definedName name="II_A" localSheetId="18">#REF!</definedName>
    <definedName name="II_A">#REF!</definedName>
    <definedName name="II_B" localSheetId="18">#REF!</definedName>
    <definedName name="II_B">#REF!</definedName>
    <definedName name="II_c" localSheetId="18">#REF!</definedName>
    <definedName name="II_c">#REF!</definedName>
    <definedName name="III_a" localSheetId="18">#REF!</definedName>
    <definedName name="III_a">#REF!</definedName>
    <definedName name="III_B" localSheetId="18">#REF!</definedName>
    <definedName name="III_B">#REF!</definedName>
    <definedName name="III_c" localSheetId="18">#REF!</definedName>
    <definedName name="III_c">#REF!</definedName>
    <definedName name="IND_LAB" localSheetId="18">#REF!</definedName>
    <definedName name="IND_LAB">#REF!</definedName>
    <definedName name="INDMANP" localSheetId="18">#REF!</definedName>
    <definedName name="INDMANP">#REF!</definedName>
    <definedName name="j" localSheetId="18">{"'Sheet1'!$L$16"}</definedName>
    <definedName name="j">#REF!</definedName>
    <definedName name="j356C8" localSheetId="18">#REF!</definedName>
    <definedName name="j356C8">#REF!</definedName>
    <definedName name="jh" localSheetId="18">{"'Sheet1'!$L$16"}</definedName>
    <definedName name="jh">{"'Sheet1'!$L$16"}</definedName>
    <definedName name="jyli" localSheetId="18">{"'Sheet1'!$L$16"}</definedName>
    <definedName name="jyli">{"'Sheet1'!$L$16"}</definedName>
    <definedName name="k" localSheetId="18">{"'Sheet1'!$L$16"}</definedName>
    <definedName name="k">#REF!</definedName>
    <definedName name="kcong" localSheetId="18">#REF!</definedName>
    <definedName name="kcong">#REF!</definedName>
    <definedName name="KH_Chang" localSheetId="18">#REF!</definedName>
    <definedName name="KH_Chang">#REF!</definedName>
    <definedName name="Khac" localSheetId="18">#REF!</definedName>
    <definedName name="Khac">#REF!</definedName>
    <definedName name="Khäúi_læåüng" localSheetId="18">#REF!</definedName>
    <definedName name="Khäúi_læåüng">#REF!</definedName>
    <definedName name="KhuCN" localSheetId="18">#REF!</definedName>
    <definedName name="KhuCN">#REF!</definedName>
    <definedName name="Kiem_tra_trung_ten" localSheetId="18">#REF!</definedName>
    <definedName name="Kiem_tra_trung_ten">#REF!</definedName>
    <definedName name="KLTHDN" localSheetId="18">#REF!</definedName>
    <definedName name="KLTHDN">#REF!</definedName>
    <definedName name="KLVANKHUON" localSheetId="18">#REF!</definedName>
    <definedName name="KLVANKHUON">#REF!</definedName>
    <definedName name="kp1ph" localSheetId="18">#REF!</definedName>
    <definedName name="kp1ph">#REF!</definedName>
    <definedName name="KSTK">#REF!</definedName>
    <definedName name="KVC">#REF!</definedName>
    <definedName name="l" localSheetId="18">{"'Sheet1'!$L$16"}</definedName>
    <definedName name="l">{"'Sheet1'!$L$16"}</definedName>
    <definedName name="L_mong" localSheetId="18">#REF!</definedName>
    <definedName name="L_mong">#REF!</definedName>
    <definedName name="lan" localSheetId="18">{#N/A,#N/A,TRUE,"BT M200 da 10x20"}</definedName>
    <definedName name="lan">{#N/A,#N/A,TRUE,"BT M200 da 10x20"}</definedName>
    <definedName name="Langnghe" localSheetId="18">#REF!</definedName>
    <definedName name="Langnghe">#REF!</definedName>
    <definedName name="li" localSheetId="18">{"'Sheet1'!$L$16"}</definedName>
    <definedName name="li">{"'Sheet1'!$L$16"}</definedName>
    <definedName name="lk">#REF!</definedName>
    <definedName name="LK_hathe" localSheetId="18">#REF!</definedName>
    <definedName name="LK_hathe">#REF!</definedName>
    <definedName name="Lmk" localSheetId="18">#REF!</definedName>
    <definedName name="Lmk">#REF!</definedName>
    <definedName name="Loai_TD" localSheetId="18">#REF!</definedName>
    <definedName name="Loai_TD">#REF!</definedName>
    <definedName name="lVC">#REF!</definedName>
    <definedName name="m" localSheetId="18">{"'Sheet1'!$L$16"}</definedName>
    <definedName name="m">#REF!</definedName>
    <definedName name="M10aavc" localSheetId="18">#REF!</definedName>
    <definedName name="M10aavc">#REF!</definedName>
    <definedName name="M12ba3p" localSheetId="18">#REF!</definedName>
    <definedName name="M12ba3p">#REF!</definedName>
    <definedName name="M12bb1p" localSheetId="18">#REF!</definedName>
    <definedName name="M12bb1p">#REF!</definedName>
    <definedName name="M12cbnc" localSheetId="18">#REF!</definedName>
    <definedName name="M12cbnc">#REF!</definedName>
    <definedName name="M12cbvl" localSheetId="18">#REF!</definedName>
    <definedName name="M12cbvl">#REF!</definedName>
    <definedName name="M14bb1p" localSheetId="18">#REF!</definedName>
    <definedName name="M14bb1p">#REF!</definedName>
    <definedName name="m8aanc" localSheetId="18">#REF!</definedName>
    <definedName name="m8aanc">#REF!</definedName>
    <definedName name="m8aavl" localSheetId="18">#REF!</definedName>
    <definedName name="m8aavl">#REF!</definedName>
    <definedName name="Ma3pnc" localSheetId="18">#REF!</definedName>
    <definedName name="Ma3pnc">#REF!</definedName>
    <definedName name="Ma3pvl" localSheetId="18">#REF!</definedName>
    <definedName name="Ma3pvl">#REF!</definedName>
    <definedName name="Maa3pnc" localSheetId="18">#REF!</definedName>
    <definedName name="Maa3pnc">#REF!</definedName>
    <definedName name="Maa3pvl" localSheetId="18">#REF!</definedName>
    <definedName name="Maa3pvl">#REF!</definedName>
    <definedName name="Maïy" localSheetId="18">#REF!</definedName>
    <definedName name="Maïy">#REF!</definedName>
    <definedName name="MAJ_CON_EQP" localSheetId="18">#REF!</definedName>
    <definedName name="MAJ_CON_EQP">#REF!</definedName>
    <definedName name="Maùy_bieán_aùp_löïc_110_22_15KV___40MVA" localSheetId="18">#REF!</definedName>
    <definedName name="Maùy_bieán_aùp_löïc_110_22_15KV___40MVA">#REF!</definedName>
    <definedName name="MAVANKHUON" localSheetId="18">#REF!</definedName>
    <definedName name="MAVANKHUON">#REF!</definedName>
    <definedName name="MAVLTHDN" localSheetId="18">#REF!</definedName>
    <definedName name="MAVLTHDN">#REF!</definedName>
    <definedName name="Mba1p" localSheetId="18">#REF!</definedName>
    <definedName name="Mba1p">#REF!</definedName>
    <definedName name="Mba3p" localSheetId="18">#REF!</definedName>
    <definedName name="Mba3p">#REF!</definedName>
    <definedName name="Mbb3p" localSheetId="18">#REF!</definedName>
    <definedName name="Mbb3p">#REF!</definedName>
    <definedName name="Mbn1p" localSheetId="18">#REF!</definedName>
    <definedName name="Mbn1p">#REF!</definedName>
    <definedName name="mc" localSheetId="18">#REF!</definedName>
    <definedName name="mc">#REF!</definedName>
    <definedName name="Mcdn3" localSheetId="18">#REF!</definedName>
    <definedName name="Mcdn3">#REF!</definedName>
    <definedName name="Mckcung" localSheetId="18">#REF!</definedName>
    <definedName name="Mckcung">#REF!</definedName>
    <definedName name="MG_A" localSheetId="18">#REF!</definedName>
    <definedName name="MG_A">#REF!</definedName>
    <definedName name="Mhdn3" localSheetId="18">#REF!</definedName>
    <definedName name="Mhdn3">#REF!</definedName>
    <definedName name="Moùng" localSheetId="18">#REF!</definedName>
    <definedName name="Moùng">#REF!</definedName>
    <definedName name="MSCT" localSheetId="18">#REF!</definedName>
    <definedName name="MSCT">#REF!</definedName>
    <definedName name="MTMAC12" localSheetId="18">#REF!</definedName>
    <definedName name="MTMAC12">#REF!</definedName>
    <definedName name="mtram" localSheetId="18">#REF!</definedName>
    <definedName name="mtram">#REF!</definedName>
    <definedName name="n" localSheetId="18">{"'Sheet1'!$L$16"}</definedName>
    <definedName name="n1pig" localSheetId="18">#REF!</definedName>
    <definedName name="n1pig">#REF!</definedName>
    <definedName name="N1pIGvc" localSheetId="18">#REF!</definedName>
    <definedName name="N1pIGvc">#REF!</definedName>
    <definedName name="n1pind" localSheetId="18">#REF!</definedName>
    <definedName name="n1pind">#REF!</definedName>
    <definedName name="N1pINDvc" localSheetId="18">#REF!</definedName>
    <definedName name="N1pINDvc">#REF!</definedName>
    <definedName name="n1ping" localSheetId="18">#REF!</definedName>
    <definedName name="n1ping">#REF!</definedName>
    <definedName name="N1pINGvc" localSheetId="18">#REF!</definedName>
    <definedName name="N1pINGvc">#REF!</definedName>
    <definedName name="n1pint" localSheetId="18">#REF!</definedName>
    <definedName name="n1pint">#REF!</definedName>
    <definedName name="N1pINTvc" localSheetId="18">#REF!</definedName>
    <definedName name="N1pINTvc">#REF!</definedName>
    <definedName name="N1pNLnc" localSheetId="18">#REF!</definedName>
    <definedName name="N1pNLnc">#REF!</definedName>
    <definedName name="N1pNLvc" localSheetId="18">#REF!</definedName>
    <definedName name="N1pNLvc">#REF!</definedName>
    <definedName name="N1pNLvl" localSheetId="18">#REF!</definedName>
    <definedName name="N1pNLvl">#REF!</definedName>
    <definedName name="na" localSheetId="18">{"'Sheet1'!$L$16"}</definedName>
    <definedName name="na">{"'Sheet1'!$L$16"}</definedName>
    <definedName name="nc" localSheetId="18">#REF!</definedName>
    <definedName name="nc">#REF!</definedName>
    <definedName name="nc1p" localSheetId="18">#REF!</definedName>
    <definedName name="nc1p">#REF!</definedName>
    <definedName name="nc3p" localSheetId="18">#REF!</definedName>
    <definedName name="nc3p">#REF!</definedName>
    <definedName name="NCBD100" localSheetId="18">#REF!</definedName>
    <definedName name="NCBD100">#REF!</definedName>
    <definedName name="NCBD200" localSheetId="18">#REF!</definedName>
    <definedName name="NCBD200">#REF!</definedName>
    <definedName name="NCBD250" localSheetId="18">#REF!</definedName>
    <definedName name="NCBD250">#REF!</definedName>
    <definedName name="NCcap0.7">#REF!</definedName>
    <definedName name="NCcap1">#REF!</definedName>
    <definedName name="NCCT3p" localSheetId="18">#REF!</definedName>
    <definedName name="NCCT3p">#REF!</definedName>
    <definedName name="Ncdn3" localSheetId="18">#REF!</definedName>
    <definedName name="Ncdn3">#REF!</definedName>
    <definedName name="nctram" localSheetId="18">#REF!</definedName>
    <definedName name="nctram">#REF!</definedName>
    <definedName name="NCVC100" localSheetId="18">#REF!</definedName>
    <definedName name="NCVC100">#REF!</definedName>
    <definedName name="NCVC200" localSheetId="18">#REF!</definedName>
    <definedName name="NCVC200">#REF!</definedName>
    <definedName name="NCVC250" localSheetId="18">#REF!</definedName>
    <definedName name="NCVC250">#REF!</definedName>
    <definedName name="NCVC3P" localSheetId="18">#REF!</definedName>
    <definedName name="NCVC3P">#REF!</definedName>
    <definedName name="NET" localSheetId="18">#REF!</definedName>
    <definedName name="NET">#REF!</definedName>
    <definedName name="NET_1">#REF!</definedName>
    <definedName name="NET_ANA" localSheetId="18">#REF!</definedName>
    <definedName name="NET_ANA">#REF!</definedName>
    <definedName name="NET_ANA_1">#REF!</definedName>
    <definedName name="NET_ANA_2">#REF!</definedName>
    <definedName name="NGCT">#REF!</definedName>
    <definedName name="NGNKC">#REF!</definedName>
    <definedName name="NH" localSheetId="18">#REF!</definedName>
    <definedName name="NH">#REF!</definedName>
    <definedName name="nhan" localSheetId="18">#REF!</definedName>
    <definedName name="nhan">#REF!</definedName>
    <definedName name="nhan_2" localSheetId="18">#REF!</definedName>
    <definedName name="nhan_2">#REF!</definedName>
    <definedName name="Nhán_cäng" localSheetId="18">#REF!</definedName>
    <definedName name="Nhán_cäng">#REF!</definedName>
    <definedName name="Nhdn3" localSheetId="18">#REF!</definedName>
    <definedName name="Nhdn3">#REF!</definedName>
    <definedName name="Nhdn4" localSheetId="18">#REF!</definedName>
    <definedName name="Nhdn4">#REF!</definedName>
    <definedName name="nhn" localSheetId="18">#REF!</definedName>
    <definedName name="nhn">#REF!</definedName>
    <definedName name="NHot" localSheetId="18">#REF!</definedName>
    <definedName name="NHot">#REF!</definedName>
    <definedName name="nig" localSheetId="18">#REF!</definedName>
    <definedName name="nig">#REF!</definedName>
    <definedName name="nig1p" localSheetId="18">#REF!</definedName>
    <definedName name="nig1p">#REF!</definedName>
    <definedName name="nig3p" localSheetId="18">#REF!</definedName>
    <definedName name="nig3p">#REF!</definedName>
    <definedName name="NIGnc" localSheetId="18">#REF!</definedName>
    <definedName name="NIGnc">#REF!</definedName>
    <definedName name="nignc1p" localSheetId="18">#REF!</definedName>
    <definedName name="nignc1p">#REF!</definedName>
    <definedName name="NIGvc" localSheetId="18">#REF!</definedName>
    <definedName name="NIGvc">#REF!</definedName>
    <definedName name="NIGvl" localSheetId="18">#REF!</definedName>
    <definedName name="NIGvl">#REF!</definedName>
    <definedName name="nigvl1p" localSheetId="18">#REF!</definedName>
    <definedName name="nigvl1p">#REF!</definedName>
    <definedName name="nin" localSheetId="18">#REF!</definedName>
    <definedName name="nin">#REF!</definedName>
    <definedName name="nin14nc3p" localSheetId="18">#REF!</definedName>
    <definedName name="nin14nc3p">#REF!</definedName>
    <definedName name="nin14vl3p" localSheetId="18">#REF!</definedName>
    <definedName name="nin14vl3p">#REF!</definedName>
    <definedName name="nin1903p" localSheetId="18">#REF!</definedName>
    <definedName name="nin1903p">#REF!</definedName>
    <definedName name="nin190nc3p" localSheetId="18">#REF!</definedName>
    <definedName name="nin190nc3p">#REF!</definedName>
    <definedName name="nin190vl3p" localSheetId="18">#REF!</definedName>
    <definedName name="nin190vl3p">#REF!</definedName>
    <definedName name="nin2903p" localSheetId="18">#REF!</definedName>
    <definedName name="nin2903p">#REF!</definedName>
    <definedName name="nin290nc3p" localSheetId="18">#REF!</definedName>
    <definedName name="nin290nc3p">#REF!</definedName>
    <definedName name="nin290vl3p" localSheetId="18">#REF!</definedName>
    <definedName name="nin290vl3p">#REF!</definedName>
    <definedName name="nin3p" localSheetId="18">#REF!</definedName>
    <definedName name="nin3p">#REF!</definedName>
    <definedName name="nind" localSheetId="18">#REF!</definedName>
    <definedName name="nind">#REF!</definedName>
    <definedName name="nind1p" localSheetId="18">#REF!</definedName>
    <definedName name="nind1p">#REF!</definedName>
    <definedName name="nind3p" localSheetId="18">#REF!</definedName>
    <definedName name="nind3p">#REF!</definedName>
    <definedName name="nindnc1p" localSheetId="18">#REF!</definedName>
    <definedName name="nindnc1p">#REF!</definedName>
    <definedName name="nindnc3p" localSheetId="18">#REF!</definedName>
    <definedName name="nindnc3p">#REF!</definedName>
    <definedName name="NINDvc" localSheetId="18">#REF!</definedName>
    <definedName name="NINDvc">#REF!</definedName>
    <definedName name="nindvl1p" localSheetId="18">#REF!</definedName>
    <definedName name="nindvl1p">#REF!</definedName>
    <definedName name="nindvl3p" localSheetId="18">#REF!</definedName>
    <definedName name="nindvl3p">#REF!</definedName>
    <definedName name="ning1p" localSheetId="18">#REF!</definedName>
    <definedName name="ning1p">#REF!</definedName>
    <definedName name="ningnc1p" localSheetId="18">#REF!</definedName>
    <definedName name="ningnc1p">#REF!</definedName>
    <definedName name="ningvl1p" localSheetId="18">#REF!</definedName>
    <definedName name="ningvl1p">#REF!</definedName>
    <definedName name="ninnc3p" localSheetId="18">#REF!</definedName>
    <definedName name="ninnc3p">#REF!</definedName>
    <definedName name="nint1p" localSheetId="18">#REF!</definedName>
    <definedName name="nint1p">#REF!</definedName>
    <definedName name="nintnc1p" localSheetId="18">#REF!</definedName>
    <definedName name="nintnc1p">#REF!</definedName>
    <definedName name="nintvl1p" localSheetId="18">#REF!</definedName>
    <definedName name="nintvl1p">#REF!</definedName>
    <definedName name="NINvc" localSheetId="18">#REF!</definedName>
    <definedName name="NINvc">#REF!</definedName>
    <definedName name="ninvl3p" localSheetId="18">#REF!</definedName>
    <definedName name="ninvl3p">#REF!</definedName>
    <definedName name="nl" localSheetId="18">#REF!</definedName>
    <definedName name="nl">#REF!</definedName>
    <definedName name="nl1p" localSheetId="18">#REF!</definedName>
    <definedName name="nl1p">#REF!</definedName>
    <definedName name="nl3p" localSheetId="18">#REF!</definedName>
    <definedName name="nl3p">#REF!</definedName>
    <definedName name="nlnc3p" localSheetId="18">#REF!</definedName>
    <definedName name="nlnc3p">#REF!</definedName>
    <definedName name="nlnc3pha" localSheetId="18">#REF!</definedName>
    <definedName name="nlnc3pha">#REF!</definedName>
    <definedName name="NLTK1p" localSheetId="18">#REF!</definedName>
    <definedName name="NLTK1p">#REF!</definedName>
    <definedName name="nlvl3p" localSheetId="18">#REF!</definedName>
    <definedName name="nlvl3p">#REF!</definedName>
    <definedName name="nn" localSheetId="18">#REF!</definedName>
    <definedName name="nn">#REF!</definedName>
    <definedName name="nn1p" localSheetId="18">#REF!</definedName>
    <definedName name="nn1p">#REF!</definedName>
    <definedName name="nn3p" localSheetId="18">#REF!</definedName>
    <definedName name="nn3p">#REF!</definedName>
    <definedName name="nnnc3p" localSheetId="18">#REF!</definedName>
    <definedName name="nnnc3p">#REF!</definedName>
    <definedName name="nnvl3p" localSheetId="18">#REF!</definedName>
    <definedName name="nnvl3p">#REF!</definedName>
    <definedName name="No" localSheetId="18">#REF!</definedName>
    <definedName name="No">#REF!</definedName>
    <definedName name="NTK">#REF!</definedName>
    <definedName name="OrderTable">#REF!</definedName>
    <definedName name="PA" localSheetId="18">#REF!</definedName>
    <definedName name="PA">#REF!</definedName>
    <definedName name="ph" localSheetId="18">{"'Sheet1'!$L$16"}</definedName>
    <definedName name="ph">{"'Sheet1'!$L$16"}</definedName>
    <definedName name="phg" localSheetId="18">{"'Sheet1'!$L$16"}</definedName>
    <definedName name="phg">{"'Sheet1'!$L$16"}</definedName>
    <definedName name="phu_luc_vua" localSheetId="18">#REF!</definedName>
    <definedName name="phu_luc_vua">#REF!</definedName>
    <definedName name="phuog" localSheetId="18">{"'Sheet1'!$L$16"}</definedName>
    <definedName name="phuog">{"'Sheet1'!$L$16"}</definedName>
    <definedName name="phuong" localSheetId="18">{"'Sheet1'!$L$16"}</definedName>
    <definedName name="phuong">{"'Sheet1'!$L$16"}</definedName>
    <definedName name="pnn" localSheetId="18">{"'Sheet1'!$L$16"}</definedName>
    <definedName name="pnn">{"'Sheet1'!$L$16"}</definedName>
    <definedName name="PRICE" localSheetId="18">#REF!</definedName>
    <definedName name="PRICE">#REF!</definedName>
    <definedName name="PRICE1" localSheetId="18">#REF!</definedName>
    <definedName name="PRICE1">#REF!</definedName>
    <definedName name="_xlnm.Print_Area" localSheetId="3">'ĐĂK CHUM 1(3)'!$A$2:$I$98</definedName>
    <definedName name="_xlnm.Print_Area" localSheetId="4">'ĐĂK CHUM II(4)'!$A$2:$I$98</definedName>
    <definedName name="_xlnm.Print_Area" localSheetId="17">'ĐĂK HÀ(17)'!$A$2:$I$98</definedName>
    <definedName name="_xlnm.Print_Area" localSheetId="6">'ĐĂK KA(6)'!$A$2:$I$98</definedName>
    <definedName name="_xlnm.Print_Area" localSheetId="8">'ĐĂK NEANG(8)'!$A$2:$I$98</definedName>
    <definedName name="_xlnm.Print_Area" localSheetId="15">'ĐĂK PƠ TRANG(15)'!$A$2:$I$98</definedName>
    <definedName name="_xlnm.Print_Area" localSheetId="10">'ĐĂK SIÊNG(10)'!$A$2:$I$98</definedName>
    <definedName name="_xlnm.Print_Area" localSheetId="14">'KON LING(14)'!$A$2:$I$98</definedName>
    <definedName name="_xlnm.Print_Area" localSheetId="16">'KON PIA(16)'!$A$2:$I$98</definedName>
    <definedName name="_xlnm.Print_Area" localSheetId="11">'KON TUN(11)'!$A$2:$I$98</definedName>
    <definedName name="_xlnm.Print_Area" localSheetId="2">'LONG LEO(2)'!$A$2:$I$98</definedName>
    <definedName name="_xlnm.Print_Area" localSheetId="12">'MÔ PẢ(12)'!$A$2:$I$98</definedName>
    <definedName name="_xlnm.Print_Area" localSheetId="9">'NGỌC LEANG(9)'!$A$2:$I$98</definedName>
    <definedName name="_xlnm.Print_Area" localSheetId="0">'PL 01'!$A$1:$J$105</definedName>
    <definedName name="_xlnm.Print_Area" localSheetId="5">'TU CẤP(5)'!$A$2:$I$98</definedName>
    <definedName name="_xlnm.Print_Area" localSheetId="1">'TUMO RONG (1)'!$A$2:$I$98</definedName>
    <definedName name="_xlnm.Print_Area" localSheetId="13">'TY TU(13)'!$A$2:$I$98</definedName>
    <definedName name="_xlnm.Print_Area" localSheetId="7">'VĂN SANG(7)'!$A$2:$I$98</definedName>
    <definedName name="_xlnm.Print_Titles" localSheetId="3">'ĐĂK CHUM 1(3)'!$7:$8</definedName>
    <definedName name="_xlnm.Print_Titles" localSheetId="4">'ĐĂK CHUM II(4)'!$7:$8</definedName>
    <definedName name="_xlnm.Print_Titles" localSheetId="17">'ĐĂK HÀ(17)'!$7:$8</definedName>
    <definedName name="_xlnm.Print_Titles" localSheetId="6">'ĐĂK KA(6)'!$7:$8</definedName>
    <definedName name="_xlnm.Print_Titles" localSheetId="8">'ĐĂK NEANG(8)'!$7:$8</definedName>
    <definedName name="_xlnm.Print_Titles" localSheetId="15">'ĐĂK PƠ TRANG(15)'!$7:$8</definedName>
    <definedName name="_xlnm.Print_Titles" localSheetId="10">'ĐĂK SIÊNG(10)'!$7:$8</definedName>
    <definedName name="_xlnm.Print_Titles" localSheetId="14">'KON LING(14)'!$7:$8</definedName>
    <definedName name="_xlnm.Print_Titles" localSheetId="16">'KON PIA(16)'!$7:$8</definedName>
    <definedName name="_xlnm.Print_Titles" localSheetId="11">'KON TUN(11)'!$7:$8</definedName>
    <definedName name="_xlnm.Print_Titles" localSheetId="2">'LONG LEO(2)'!$7:$8</definedName>
    <definedName name="_xlnm.Print_Titles" localSheetId="12">'MÔ PẢ(12)'!$7:$8</definedName>
    <definedName name="_xlnm.Print_Titles" localSheetId="9">'NGỌC LEANG(9)'!$7:$8</definedName>
    <definedName name="_xlnm.Print_Titles" localSheetId="0">'PL 01'!$4:$5</definedName>
    <definedName name="_xlnm.Print_Titles" localSheetId="5">'TU CẤP(5)'!$7:$8</definedName>
    <definedName name="_xlnm.Print_Titles" localSheetId="1">'TUMO RONG (1)'!$7:$8</definedName>
    <definedName name="_xlnm.Print_Titles" localSheetId="13">'TY TU(13)'!$7:$8</definedName>
    <definedName name="_xlnm.Print_Titles" localSheetId="7">'VĂN SANG(7)'!$7:$8</definedName>
    <definedName name="Print_Titles_MI" localSheetId="18">#REF!</definedName>
    <definedName name="Print_Titles_MI">#REF!</definedName>
    <definedName name="PRINTA" localSheetId="18">#REF!</definedName>
    <definedName name="PRINTA">#REF!</definedName>
    <definedName name="PRINTA_2" localSheetId="18">#REF!</definedName>
    <definedName name="PRINTA_2">#REF!</definedName>
    <definedName name="PRINTB" localSheetId="18">#REF!</definedName>
    <definedName name="PRINTB">#REF!</definedName>
    <definedName name="PRINTB_2" localSheetId="18">#REF!</definedName>
    <definedName name="PRINTB_2">#REF!</definedName>
    <definedName name="PRINTC" localSheetId="18">#REF!</definedName>
    <definedName name="PRINTC">#REF!</definedName>
    <definedName name="PRINTC_2" localSheetId="18">#REF!</definedName>
    <definedName name="PRINTC_2">#REF!</definedName>
    <definedName name="ProdForm">#REF!</definedName>
    <definedName name="Product">#REF!</definedName>
    <definedName name="PROPOSAL" localSheetId="18">#REF!</definedName>
    <definedName name="PROPOSAL">#REF!</definedName>
    <definedName name="PT_Duong" localSheetId="18">#REF!</definedName>
    <definedName name="PT_Duong">#REF!</definedName>
    <definedName name="ptdg" localSheetId="18">#REF!</definedName>
    <definedName name="ptdg">#REF!</definedName>
    <definedName name="PTDG_cau" localSheetId="18">#REF!</definedName>
    <definedName name="PTDG_cau">#REF!</definedName>
    <definedName name="pvd" localSheetId="18">#REF!</definedName>
    <definedName name="pvd">#REF!</definedName>
    <definedName name="q" localSheetId="18">{"Book1","LuongT6.05.xls"}</definedName>
    <definedName name="q">#REF!</definedName>
    <definedName name="QTRON" localSheetId="18">#REF!</definedName>
    <definedName name="QTRON">#REF!</definedName>
    <definedName name="ra11p" localSheetId="18">#REF!</definedName>
    <definedName name="ra11p">#REF!</definedName>
    <definedName name="ra13p" localSheetId="18">#REF!</definedName>
    <definedName name="ra13p">#REF!</definedName>
    <definedName name="rate">14000</definedName>
    <definedName name="RCArea">#REF!</definedName>
    <definedName name="RECOUT">#REF!</definedName>
    <definedName name="RECOUT_2">NA()</definedName>
    <definedName name="RFP003A" localSheetId="18">#REF!</definedName>
    <definedName name="RFP003A">#REF!</definedName>
    <definedName name="RFP003B" localSheetId="18">#REF!</definedName>
    <definedName name="RFP003B">#REF!</definedName>
    <definedName name="RFP003C" localSheetId="18">#REF!</definedName>
    <definedName name="RFP003C">#REF!</definedName>
    <definedName name="RFP003D" localSheetId="18">#REF!</definedName>
    <definedName name="RFP003D">#REF!</definedName>
    <definedName name="RFP003E" localSheetId="18">#REF!</definedName>
    <definedName name="RFP003E">#REF!</definedName>
    <definedName name="RFP003F" localSheetId="18">#REF!</definedName>
    <definedName name="RFP003F">#REF!</definedName>
    <definedName name="SCH" localSheetId="18">#REF!</definedName>
    <definedName name="SCH">#REF!</definedName>
    <definedName name="sd1p" localSheetId="18">#REF!</definedName>
    <definedName name="sd1p">#REF!</definedName>
    <definedName name="SDMONG" localSheetId="18">#REF!</definedName>
    <definedName name="SDMONG">#REF!</definedName>
    <definedName name="sht1p" localSheetId="18">#REF!</definedName>
    <definedName name="sht1p">#REF!</definedName>
    <definedName name="SHTTK">#REF!</definedName>
    <definedName name="SIZE" localSheetId="18">#REF!</definedName>
    <definedName name="SIZE">#REF!</definedName>
    <definedName name="SL_CRD" localSheetId="18">#REF!</definedName>
    <definedName name="SL_CRD">#REF!</definedName>
    <definedName name="SL_CRS" localSheetId="18">#REF!</definedName>
    <definedName name="SL_CRS">#REF!</definedName>
    <definedName name="SL_CS" localSheetId="18">#REF!</definedName>
    <definedName name="SL_CS">#REF!</definedName>
    <definedName name="SL_DD" localSheetId="18">#REF!</definedName>
    <definedName name="SL_DD">#REF!</definedName>
    <definedName name="SNKC">#REF!</definedName>
    <definedName name="soc3p" localSheetId="18">#REF!</definedName>
    <definedName name="soc3p">#REF!</definedName>
    <definedName name="solieu">#REF!</definedName>
    <definedName name="SORT" localSheetId="18">#REF!</definedName>
    <definedName name="SORT">#REF!</definedName>
    <definedName name="SPEC" localSheetId="18">#REF!</definedName>
    <definedName name="SPEC">#REF!</definedName>
    <definedName name="SpecialPrice">#REF!</definedName>
    <definedName name="SPECSUMMARY" localSheetId="18">#REF!</definedName>
    <definedName name="SPECSUMMARY">#REF!</definedName>
    <definedName name="SPSCO" localSheetId="18">#REF!</definedName>
    <definedName name="SPSCO">#REF!</definedName>
    <definedName name="SPSNO" localSheetId="18">#REF!</definedName>
    <definedName name="SPSNO">#REF!</definedName>
    <definedName name="st1p" localSheetId="18">#REF!</definedName>
    <definedName name="st1p">#REF!</definedName>
    <definedName name="Start_1" localSheetId="18">#REF!</definedName>
    <definedName name="Start_1">#REF!</definedName>
    <definedName name="Start_10" localSheetId="18">#REF!</definedName>
    <definedName name="Start_10">#REF!</definedName>
    <definedName name="Start_11" localSheetId="18">#REF!</definedName>
    <definedName name="Start_11">#REF!</definedName>
    <definedName name="Start_12" localSheetId="18">#REF!</definedName>
    <definedName name="Start_12">#REF!</definedName>
    <definedName name="Start_13" localSheetId="18">#REF!</definedName>
    <definedName name="Start_13">#REF!</definedName>
    <definedName name="Start_2" localSheetId="18">#REF!</definedName>
    <definedName name="Start_2">#REF!</definedName>
    <definedName name="Start_3" localSheetId="18">#REF!</definedName>
    <definedName name="Start_3">#REF!</definedName>
    <definedName name="Start_4" localSheetId="18">#REF!</definedName>
    <definedName name="Start_4">#REF!</definedName>
    <definedName name="Start_5" localSheetId="18">#REF!</definedName>
    <definedName name="Start_5">#REF!</definedName>
    <definedName name="Start_6" localSheetId="18">#REF!</definedName>
    <definedName name="Start_6">#REF!</definedName>
    <definedName name="Start_7" localSheetId="18">#REF!</definedName>
    <definedName name="Start_7">#REF!</definedName>
    <definedName name="Start_8" localSheetId="18">#REF!</definedName>
    <definedName name="Start_8">#REF!</definedName>
    <definedName name="Start_9" localSheetId="18">#REF!</definedName>
    <definedName name="Start_9">#REF!</definedName>
    <definedName name="STBCPC1" localSheetId="18">#REF!</definedName>
    <definedName name="STBCPC1">#REF!</definedName>
    <definedName name="STBCPC2" localSheetId="18">#REF!</definedName>
    <definedName name="STBCPC2">#REF!</definedName>
    <definedName name="STBCPT1" localSheetId="18">#REF!</definedName>
    <definedName name="STBCPT1">#REF!</definedName>
    <definedName name="STBCPT2" localSheetId="18">#REF!</definedName>
    <definedName name="STBCPT2">#REF!</definedName>
    <definedName name="STTK">#REF!</definedName>
    <definedName name="sub" localSheetId="18">#REF!</definedName>
    <definedName name="sub">#REF!</definedName>
    <definedName name="SUMMARY" localSheetId="18">#REF!</definedName>
    <definedName name="SUMMARY">#REF!</definedName>
    <definedName name="SUMMARY_2" localSheetId="18">#REF!</definedName>
    <definedName name="SUMMARY_2">#REF!</definedName>
    <definedName name="sur" localSheetId="18">#REF!</definedName>
    <definedName name="sur">#REF!</definedName>
    <definedName name="t" localSheetId="18">{"'Sheet1'!$L$16"}</definedName>
    <definedName name="T">#REF!</definedName>
    <definedName name="t101p" localSheetId="18">#REF!</definedName>
    <definedName name="t101p">#REF!</definedName>
    <definedName name="t103p" localSheetId="18">#REF!</definedName>
    <definedName name="t103p">#REF!</definedName>
    <definedName name="t10nc1p" localSheetId="18">#REF!</definedName>
    <definedName name="t10nc1p">#REF!</definedName>
    <definedName name="T10vc" localSheetId="18">#REF!</definedName>
    <definedName name="T10vc">#REF!</definedName>
    <definedName name="t10vl1p" localSheetId="18">#REF!</definedName>
    <definedName name="t10vl1p">#REF!</definedName>
    <definedName name="t121p" localSheetId="18">#REF!</definedName>
    <definedName name="t121p">#REF!</definedName>
    <definedName name="t123p" localSheetId="18">#REF!</definedName>
    <definedName name="t123p">#REF!</definedName>
    <definedName name="T12vc" localSheetId="18">#REF!</definedName>
    <definedName name="T12vc">#REF!</definedName>
    <definedName name="t141p" localSheetId="18">#REF!</definedName>
    <definedName name="t141p">#REF!</definedName>
    <definedName name="t143p" localSheetId="18">#REF!</definedName>
    <definedName name="t143p">#REF!</definedName>
    <definedName name="t14nc3p" localSheetId="18">#REF!</definedName>
    <definedName name="t14nc3p">#REF!</definedName>
    <definedName name="t14vl3p" localSheetId="18">#REF!</definedName>
    <definedName name="t14vl3p">#REF!</definedName>
    <definedName name="TAM" localSheetId="18">#REF!</definedName>
    <definedName name="TAM">#REF!</definedName>
    <definedName name="Taptrung" localSheetId="18">#REF!</definedName>
    <definedName name="Taptrung">#REF!</definedName>
    <definedName name="TaxTV">10%</definedName>
    <definedName name="TaxXL">5%</definedName>
    <definedName name="TBA" localSheetId="18">#REF!</definedName>
    <definedName name="TBA">#REF!</definedName>
    <definedName name="TBH">#REF!</definedName>
    <definedName name="tbl_ProdInfo">#REF!</definedName>
    <definedName name="tbtram" localSheetId="18">#REF!</definedName>
    <definedName name="tbtram">#REF!</definedName>
    <definedName name="TBXD" localSheetId="18">#REF!</definedName>
    <definedName name="TBXD">#REF!</definedName>
    <definedName name="TC" localSheetId="18">#REF!</definedName>
    <definedName name="TC">#REF!</definedName>
    <definedName name="TC_NHANH1" localSheetId="18">#REF!</definedName>
    <definedName name="TC_NHANH1">#REF!</definedName>
    <definedName name="TD12vl" localSheetId="18">#REF!</definedName>
    <definedName name="TD12vl">#REF!</definedName>
    <definedName name="td1p" localSheetId="18">#REF!</definedName>
    <definedName name="td1p">#REF!</definedName>
    <definedName name="TD1p1nc" localSheetId="18">#REF!</definedName>
    <definedName name="TD1p1nc">#REF!</definedName>
    <definedName name="td1p1vc" localSheetId="18">#REF!</definedName>
    <definedName name="td1p1vc">#REF!</definedName>
    <definedName name="TD1p1vl" localSheetId="18">#REF!</definedName>
    <definedName name="TD1p1vl">#REF!</definedName>
    <definedName name="TD1p2nc" localSheetId="18">#REF!</definedName>
    <definedName name="TD1p2nc">#REF!</definedName>
    <definedName name="TD1p2vc" localSheetId="18">#REF!</definedName>
    <definedName name="TD1p2vc">#REF!</definedName>
    <definedName name="TD1p2vl" localSheetId="18">#REF!</definedName>
    <definedName name="TD1p2vl">#REF!</definedName>
    <definedName name="td3p" localSheetId="18">#REF!</definedName>
    <definedName name="td3p">#REF!</definedName>
    <definedName name="TDctnc" localSheetId="18">#REF!</definedName>
    <definedName name="TDctnc">#REF!</definedName>
    <definedName name="TDctvc" localSheetId="18">#REF!</definedName>
    <definedName name="TDctvc">#REF!</definedName>
    <definedName name="TDctvl" localSheetId="18">#REF!</definedName>
    <definedName name="TDctvl">#REF!</definedName>
    <definedName name="TDmnc" localSheetId="18">#REF!</definedName>
    <definedName name="TDmnc">#REF!</definedName>
    <definedName name="TDmvc" localSheetId="18">#REF!</definedName>
    <definedName name="TDmvc">#REF!</definedName>
    <definedName name="TDmvl" localSheetId="18">#REF!</definedName>
    <definedName name="TDmvl">#REF!</definedName>
    <definedName name="tdnc1p" localSheetId="18">#REF!</definedName>
    <definedName name="tdnc1p">#REF!</definedName>
    <definedName name="tdtr2cnc" localSheetId="18">#REF!</definedName>
    <definedName name="tdtr2cnc">#REF!</definedName>
    <definedName name="tdtr2cvl" localSheetId="18">#REF!</definedName>
    <definedName name="tdtr2cvl">#REF!</definedName>
    <definedName name="tdvl1p" localSheetId="18">#REF!</definedName>
    <definedName name="tdvl1p">#REF!</definedName>
    <definedName name="th_da_son">#REF!</definedName>
    <definedName name="tham" localSheetId="18">{"'Sheet1'!$L$16"}</definedName>
    <definedName name="tham">{"'Sheet1'!$L$16"}</definedName>
    <definedName name="THGO1pnc" localSheetId="18">#REF!</definedName>
    <definedName name="THGO1pnc">#REF!</definedName>
    <definedName name="thht" localSheetId="18">#REF!</definedName>
    <definedName name="thht">#REF!</definedName>
    <definedName name="THI">#REF!</definedName>
    <definedName name="THI_2" localSheetId="18">#REF!</definedName>
    <definedName name="THI_2">#REF!</definedName>
    <definedName name="thkp3" localSheetId="18">#REF!</definedName>
    <definedName name="thkp3">#REF!</definedName>
    <definedName name="thßngbaovon">#REF!</definedName>
    <definedName name="THT" localSheetId="18">#REF!</definedName>
    <definedName name="THT">#REF!</definedName>
    <definedName name="thtt" localSheetId="18">#REF!</definedName>
    <definedName name="thtt">#REF!</definedName>
    <definedName name="Thuysan_2" localSheetId="18">#REF!</definedName>
    <definedName name="Thuysan_2">#REF!</definedName>
    <definedName name="Tien" localSheetId="18">#REF!</definedName>
    <definedName name="Tien">#REF!</definedName>
    <definedName name="Tinhoc_2" localSheetId="18">#REF!</definedName>
    <definedName name="Tinhoc_2">#REF!</definedName>
    <definedName name="TITAN">#REF!</definedName>
    <definedName name="TK10.7.2008" localSheetId="18">{"'Sheet1'!$L$16"}</definedName>
    <definedName name="TK10.7.2008">{"'Sheet1'!$L$16"}</definedName>
    <definedName name="TLAC120" localSheetId="18">#REF!</definedName>
    <definedName name="TLAC120">#REF!</definedName>
    <definedName name="TLAC35" localSheetId="18">#REF!</definedName>
    <definedName name="TLAC35">#REF!</definedName>
    <definedName name="TLAC50" localSheetId="18">#REF!</definedName>
    <definedName name="TLAC50">#REF!</definedName>
    <definedName name="TLAC70" localSheetId="18">#REF!</definedName>
    <definedName name="TLAC70">#REF!</definedName>
    <definedName name="TLAC95" localSheetId="18">#REF!</definedName>
    <definedName name="TLAC95">#REF!</definedName>
    <definedName name="Tle" localSheetId="18">#REF!</definedName>
    <definedName name="Tle">#REF!</definedName>
    <definedName name="TONGDUTOAN" localSheetId="18">#REF!</definedName>
    <definedName name="TONGDUTOAN">#REF!</definedName>
    <definedName name="TPLRP" localSheetId="18">#REF!</definedName>
    <definedName name="TPLRP">#REF!</definedName>
    <definedName name="Tra_DM_su_dung" localSheetId="18">#REF!</definedName>
    <definedName name="Tra_DM_su_dung">#REF!</definedName>
    <definedName name="Tra_don_gia_KS" localSheetId="18">#REF!</definedName>
    <definedName name="Tra_don_gia_KS">#REF!</definedName>
    <definedName name="Tra_DTCT" localSheetId="18">#REF!</definedName>
    <definedName name="Tra_DTCT">#REF!</definedName>
    <definedName name="Tra_tim_hang_mucPT_trung" localSheetId="18">#REF!</definedName>
    <definedName name="Tra_tim_hang_mucPT_trung">#REF!</definedName>
    <definedName name="Tra_TL" localSheetId="18">#REF!</definedName>
    <definedName name="Tra_TL">#REF!</definedName>
    <definedName name="Tra_ty_le2" localSheetId="18">#REF!</definedName>
    <definedName name="Tra_ty_le2">#REF!</definedName>
    <definedName name="Tra_ty_le3" localSheetId="18">#REF!</definedName>
    <definedName name="Tra_ty_le3">#REF!</definedName>
    <definedName name="Tra_ty_le4" localSheetId="18">#REF!</definedName>
    <definedName name="Tra_ty_le4">#REF!</definedName>
    <definedName name="Tra_ty_le5" localSheetId="18">#REF!</definedName>
    <definedName name="Tra_ty_le5">#REF!</definedName>
    <definedName name="TRA_VAT_LIEU" localSheetId="18">#REF!</definedName>
    <definedName name="TRA_VAT_LIEU">#REF!</definedName>
    <definedName name="TRA_VL" localSheetId="18">#REF!</definedName>
    <definedName name="TRA_VL">#REF!</definedName>
    <definedName name="TRADE2" localSheetId="18">#REF!</definedName>
    <definedName name="TRADE2">#REF!</definedName>
    <definedName name="TRAM" localSheetId="18">#REF!</definedName>
    <definedName name="TRAM">#REF!</definedName>
    <definedName name="TRAVL" localSheetId="18">#REF!</definedName>
    <definedName name="TRAVL">#REF!</definedName>
    <definedName name="TRON" localSheetId="18">#REF!</definedName>
    <definedName name="TRON">#REF!</definedName>
    <definedName name="Tru" localSheetId="18">#REF!</definedName>
    <definedName name="Tru">#REF!</definedName>
    <definedName name="Trusoxa_2" localSheetId="18">#REF!</definedName>
    <definedName name="Trusoxa_2">#REF!</definedName>
    <definedName name="Truyenhinh_2" localSheetId="18">#REF!</definedName>
    <definedName name="Truyenhinh_2">#REF!</definedName>
    <definedName name="TT_1P" localSheetId="18">#REF!</definedName>
    <definedName name="TT_1P">#REF!</definedName>
    <definedName name="TT_3p" localSheetId="18">#REF!</definedName>
    <definedName name="TT_3p">#REF!</definedName>
    <definedName name="ttbt">#REF!</definedName>
    <definedName name="tthi" localSheetId="18">#REF!</definedName>
    <definedName name="tthi">#REF!</definedName>
    <definedName name="TTHUE">#REF!</definedName>
    <definedName name="ttronmk" localSheetId="18">#REF!</definedName>
    <definedName name="ttronmk">#REF!</definedName>
    <definedName name="ttttt" localSheetId="18">{"'Sheet1'!$L$16"}</definedName>
    <definedName name="ttttt">{"'Sheet1'!$L$16"}</definedName>
    <definedName name="TTTTTTTTT" localSheetId="18">{"'Sheet1'!$L$16"}</definedName>
    <definedName name="TTTTTTTTT">{"'Sheet1'!$L$16"}</definedName>
    <definedName name="ttttttttttt" localSheetId="18">{"'Sheet1'!$L$16"}</definedName>
    <definedName name="ttttttttttt">{"'Sheet1'!$L$16"}</definedName>
    <definedName name="tv75nc" localSheetId="18">#REF!</definedName>
    <definedName name="tv75nc">#REF!</definedName>
    <definedName name="tv75vl" localSheetId="18">#REF!</definedName>
    <definedName name="tv75vl">#REF!</definedName>
    <definedName name="ty_le" localSheetId="18">#REF!</definedName>
    <definedName name="ty_le">#REF!</definedName>
    <definedName name="ty_le_BTN" localSheetId="18">#REF!</definedName>
    <definedName name="ty_le_BTN">#REF!</definedName>
    <definedName name="Ty_le1" localSheetId="18">#REF!</definedName>
    <definedName name="Ty_le1">#REF!</definedName>
    <definedName name="u" localSheetId="18">{"'Sheet1'!$L$16"}</definedName>
    <definedName name="u">{"'Sheet1'!$L$16"}</definedName>
    <definedName name="ư" localSheetId="18">{"'Sheet1'!$L$16"}</definedName>
    <definedName name="ư">{"'Sheet1'!$L$16"}</definedName>
    <definedName name="v" localSheetId="18">{"'Sheet1'!$L$16"}</definedName>
    <definedName name="v">{"'Sheet1'!$L$16"}</definedName>
    <definedName name="Value0" localSheetId="18">#REF!</definedName>
    <definedName name="Value0">#REF!</definedName>
    <definedName name="Value1" localSheetId="18">#REF!</definedName>
    <definedName name="Value1">#REF!</definedName>
    <definedName name="Value10" localSheetId="18">#REF!</definedName>
    <definedName name="Value10">#REF!</definedName>
    <definedName name="Value11" localSheetId="18">#REF!</definedName>
    <definedName name="Value11">#REF!</definedName>
    <definedName name="Value12" localSheetId="18">#REF!</definedName>
    <definedName name="Value12">#REF!</definedName>
    <definedName name="Value13" localSheetId="18">#REF!</definedName>
    <definedName name="Value13">#REF!</definedName>
    <definedName name="Value14" localSheetId="18">#REF!</definedName>
    <definedName name="Value14">#REF!</definedName>
    <definedName name="Value15" localSheetId="18">#REF!</definedName>
    <definedName name="Value15">#REF!</definedName>
    <definedName name="Value16" localSheetId="18">#REF!</definedName>
    <definedName name="Value16">#REF!</definedName>
    <definedName name="Value17" localSheetId="18">#REF!</definedName>
    <definedName name="Value17">#REF!</definedName>
    <definedName name="Value18" localSheetId="18">#REF!</definedName>
    <definedName name="Value18">#REF!</definedName>
    <definedName name="Value19" localSheetId="18">#REF!</definedName>
    <definedName name="Value19">#REF!</definedName>
    <definedName name="Value2" localSheetId="18">#REF!</definedName>
    <definedName name="Value2">#REF!</definedName>
    <definedName name="Value20" localSheetId="18">#REF!</definedName>
    <definedName name="Value20">#REF!</definedName>
    <definedName name="Value21" localSheetId="18">#REF!</definedName>
    <definedName name="Value21">#REF!</definedName>
    <definedName name="Value22" localSheetId="18">#REF!</definedName>
    <definedName name="Value22">#REF!</definedName>
    <definedName name="Value23" localSheetId="18">#REF!</definedName>
    <definedName name="Value23">#REF!</definedName>
    <definedName name="Value24" localSheetId="18">#REF!</definedName>
    <definedName name="Value24">#REF!</definedName>
    <definedName name="Value25" localSheetId="18">#REF!</definedName>
    <definedName name="Value25">#REF!</definedName>
    <definedName name="Value26" localSheetId="18">#REF!</definedName>
    <definedName name="Value26">#REF!</definedName>
    <definedName name="Value27" localSheetId="18">#REF!</definedName>
    <definedName name="Value27">#REF!</definedName>
    <definedName name="Value28" localSheetId="18">#REF!</definedName>
    <definedName name="Value28">#REF!</definedName>
    <definedName name="Value29" localSheetId="18">#REF!</definedName>
    <definedName name="Value29">#REF!</definedName>
    <definedName name="Value3" localSheetId="18">#REF!</definedName>
    <definedName name="Value3">#REF!</definedName>
    <definedName name="Value30" localSheetId="18">#REF!</definedName>
    <definedName name="Value30">#REF!</definedName>
    <definedName name="Value31" localSheetId="18">#REF!</definedName>
    <definedName name="Value31">#REF!</definedName>
    <definedName name="Value32" localSheetId="18">#REF!</definedName>
    <definedName name="Value32">#REF!</definedName>
    <definedName name="Value33" localSheetId="18">#REF!</definedName>
    <definedName name="Value33">#REF!</definedName>
    <definedName name="Value34" localSheetId="18">#REF!</definedName>
    <definedName name="Value34">#REF!</definedName>
    <definedName name="Value35" localSheetId="18">#REF!</definedName>
    <definedName name="Value35">#REF!</definedName>
    <definedName name="Value36" localSheetId="18">#REF!</definedName>
    <definedName name="Value36">#REF!</definedName>
    <definedName name="Value37" localSheetId="18">#REF!</definedName>
    <definedName name="Value37">#REF!</definedName>
    <definedName name="Value38" localSheetId="18">#REF!</definedName>
    <definedName name="Value38">#REF!</definedName>
    <definedName name="Value39" localSheetId="18">#REF!</definedName>
    <definedName name="Value39">#REF!</definedName>
    <definedName name="Value4" localSheetId="18">#REF!</definedName>
    <definedName name="Value4">#REF!</definedName>
    <definedName name="Value40" localSheetId="18">#REF!</definedName>
    <definedName name="Value40">#REF!</definedName>
    <definedName name="Value41" localSheetId="18">#REF!</definedName>
    <definedName name="Value41">#REF!</definedName>
    <definedName name="Value42" localSheetId="18">#REF!</definedName>
    <definedName name="Value42">#REF!</definedName>
    <definedName name="Value43" localSheetId="18">#REF!</definedName>
    <definedName name="Value43">#REF!</definedName>
    <definedName name="Value44" localSheetId="18">#REF!</definedName>
    <definedName name="Value44">#REF!</definedName>
    <definedName name="Value45" localSheetId="18">#REF!</definedName>
    <definedName name="Value45">#REF!</definedName>
    <definedName name="Value46" localSheetId="18">#REF!</definedName>
    <definedName name="Value46">#REF!</definedName>
    <definedName name="Value47" localSheetId="18">#REF!</definedName>
    <definedName name="Value47">#REF!</definedName>
    <definedName name="Value48" localSheetId="18">#REF!</definedName>
    <definedName name="Value48">#REF!</definedName>
    <definedName name="Value49" localSheetId="18">#REF!</definedName>
    <definedName name="Value49">#REF!</definedName>
    <definedName name="Value5" localSheetId="18">#REF!</definedName>
    <definedName name="Value5">#REF!</definedName>
    <definedName name="Value50" localSheetId="18">#REF!</definedName>
    <definedName name="Value50">#REF!</definedName>
    <definedName name="Value51" localSheetId="18">#REF!</definedName>
    <definedName name="Value51">#REF!</definedName>
    <definedName name="Value52" localSheetId="18">#REF!</definedName>
    <definedName name="Value52">#REF!</definedName>
    <definedName name="Value53" localSheetId="18">#REF!</definedName>
    <definedName name="Value53">#REF!</definedName>
    <definedName name="Value54" localSheetId="18">#REF!</definedName>
    <definedName name="Value54">#REF!</definedName>
    <definedName name="Value55" localSheetId="18">#REF!</definedName>
    <definedName name="Value55">#REF!</definedName>
    <definedName name="Value6" localSheetId="18">#REF!</definedName>
    <definedName name="Value6">#REF!</definedName>
    <definedName name="Value7" localSheetId="18">#REF!</definedName>
    <definedName name="Value7">#REF!</definedName>
    <definedName name="Value8" localSheetId="18">#REF!</definedName>
    <definedName name="Value8">#REF!</definedName>
    <definedName name="Value9" localSheetId="18">#REF!</definedName>
    <definedName name="Value9">#REF!</definedName>
    <definedName name="VARIINST" localSheetId="18">#REF!</definedName>
    <definedName name="VARIINST">#REF!</definedName>
    <definedName name="VARIPURC" localSheetId="18">#REF!</definedName>
    <definedName name="VARIPURC">#REF!</definedName>
    <definedName name="VatTu" localSheetId="18">#REF!</definedName>
    <definedName name="VatTu">#REF!</definedName>
    <definedName name="Váût_liãûu" localSheetId="18">#REF!</definedName>
    <definedName name="Váût_liãûu">#REF!</definedName>
    <definedName name="vbtchongnuocm300" localSheetId="18">#REF!</definedName>
    <definedName name="vbtchongnuocm300">#REF!</definedName>
    <definedName name="vbtm150" localSheetId="18">#REF!</definedName>
    <definedName name="vbtm150">#REF!</definedName>
    <definedName name="vbtm300" localSheetId="18">#REF!</definedName>
    <definedName name="vbtm300">#REF!</definedName>
    <definedName name="vbtm400" localSheetId="18">#REF!</definedName>
    <definedName name="vbtm400">#REF!</definedName>
    <definedName name="vccot">#REF!</definedName>
    <definedName name="VCDD1P" localSheetId="18">#REF!</definedName>
    <definedName name="VCDD1P">#REF!</definedName>
    <definedName name="VCDDCT3p" localSheetId="18">#REF!</definedName>
    <definedName name="VCDDCT3p">#REF!</definedName>
    <definedName name="VCDDMBA" localSheetId="18">#REF!</definedName>
    <definedName name="VCDDMBA">#REF!</definedName>
    <definedName name="Vcdn3" localSheetId="18">#REF!</definedName>
    <definedName name="Vcdn3">#REF!</definedName>
    <definedName name="VCHT" localSheetId="18">#REF!</definedName>
    <definedName name="VCHT">#REF!</definedName>
    <definedName name="Vckcung" localSheetId="18">#REF!</definedName>
    <definedName name="Vckcung">#REF!</definedName>
    <definedName name="vctb">#REF!</definedName>
    <definedName name="VCTT" localSheetId="18">#REF!</definedName>
    <definedName name="VCTT">#REF!</definedName>
    <definedName name="vd3p" localSheetId="18">#REF!</definedName>
    <definedName name="vd3p">#REF!</definedName>
    <definedName name="Vhdn3" localSheetId="18">#REF!</definedName>
    <definedName name="Vhdn3">#REF!</definedName>
    <definedName name="vkcauthang" localSheetId="18">#REF!</definedName>
    <definedName name="vkcauthang">#REF!</definedName>
    <definedName name="vksan" localSheetId="18">#REF!</definedName>
    <definedName name="vksan">#REF!</definedName>
    <definedName name="vl" localSheetId="18">#REF!</definedName>
    <definedName name="vl">#REF!</definedName>
    <definedName name="VL_RC1" localSheetId="18">#REF!</definedName>
    <definedName name="VL_RC1">#REF!</definedName>
    <definedName name="VL_RC2" localSheetId="18">#REF!</definedName>
    <definedName name="VL_RC2">#REF!</definedName>
    <definedName name="VL_Rnha" localSheetId="18">#REF!</definedName>
    <definedName name="VL_Rnha">#REF!</definedName>
    <definedName name="VL_RS" localSheetId="18">#REF!</definedName>
    <definedName name="VL_RS">#REF!</definedName>
    <definedName name="vl1p" localSheetId="18">#REF!</definedName>
    <definedName name="vl1p">#REF!</definedName>
    <definedName name="vl3p" localSheetId="18">#REF!</definedName>
    <definedName name="vl3p">#REF!</definedName>
    <definedName name="Vlcap0.7">#REF!</definedName>
    <definedName name="VLcap1">#REF!</definedName>
    <definedName name="VLCT3p" localSheetId="18">#REF!</definedName>
    <definedName name="VLCT3p">#REF!</definedName>
    <definedName name="vldn400" localSheetId="18">#REF!</definedName>
    <definedName name="vldn400">#REF!</definedName>
    <definedName name="vldn600" localSheetId="18">#REF!</definedName>
    <definedName name="vldn600">#REF!</definedName>
    <definedName name="VLM">#REF!</definedName>
    <definedName name="vltram" localSheetId="18">#REF!</definedName>
    <definedName name="vltram">#REF!</definedName>
    <definedName name="voc">#REF!</definedName>
    <definedName name="Vonnuocngoai" localSheetId="18">#REF!</definedName>
    <definedName name="Vonnuocngoai">#REF!</definedName>
    <definedName name="vr3p" localSheetId="18">#REF!</definedName>
    <definedName name="vr3p">#REF!</definedName>
    <definedName name="vt" localSheetId="18">#REF!</definedName>
    <definedName name="vt">#REF!</definedName>
    <definedName name="VungTL" localSheetId="18">#REF!</definedName>
    <definedName name="VungTL">#REF!</definedName>
    <definedName name="Vuonquocgia_2" localSheetId="18">#REF!</definedName>
    <definedName name="Vuonquocgia_2">#REF!</definedName>
    <definedName name="W" localSheetId="18">#REF!</definedName>
    <definedName name="W">#REF!</definedName>
    <definedName name="wrn.Bang._.ke._.nhan._.hang." localSheetId="18">{#N/A,#N/A,FALSE,"Ke khai NH"}</definedName>
    <definedName name="wrn.Bang._.ke._.nhan._.hang.">{#N/A,#N/A,FALSE,"Ke khai NH"}</definedName>
    <definedName name="wrn.Che._.do._.duoc._.huong." localSheetId="18">{#N/A,#N/A,FALSE,"BN (2)"}</definedName>
    <definedName name="wrn.Che._.do._.duoc._.huong.">{#N/A,#N/A,FALSE,"BN (2)"}</definedName>
    <definedName name="wrn.chi._.tiÆt." localSheetId="18">{#N/A,#N/A,FALSE,"Chi tiÆt"}</definedName>
    <definedName name="wrn.chi._.tiÆt.">{#N/A,#N/A,FALSE,"Chi tiÆt"}</definedName>
    <definedName name="wrn.Giáy._.bao._.no." localSheetId="18">{#N/A,#N/A,FALSE,"BN"}</definedName>
    <definedName name="wrn.Giáy._.bao._.no.">{#N/A,#N/A,FALSE,"BN"}</definedName>
    <definedName name="wrn.vd." localSheetId="18">{#N/A,#N/A,TRUE,"BT M200 da 10x20"}</definedName>
    <definedName name="wrn.vd.">{#N/A,#N/A,TRUE,"BT M200 da 10x20"}</definedName>
    <definedName name="X" localSheetId="18">#REF!</definedName>
    <definedName name="X">#REF!</definedName>
    <definedName name="x1pind" localSheetId="18">#REF!</definedName>
    <definedName name="x1pind">#REF!</definedName>
    <definedName name="X1pINDvc" localSheetId="18">#REF!</definedName>
    <definedName name="X1pINDvc">#REF!</definedName>
    <definedName name="x1ping" localSheetId="18">#REF!</definedName>
    <definedName name="x1ping">#REF!</definedName>
    <definedName name="X1pINGvc" localSheetId="18">#REF!</definedName>
    <definedName name="X1pINGvc">#REF!</definedName>
    <definedName name="x1pint" localSheetId="18">#REF!</definedName>
    <definedName name="x1pint">#REF!</definedName>
    <definedName name="XCCT">0.5</definedName>
    <definedName name="XE" localSheetId="18">#REF!</definedName>
    <definedName name="XE">#REF!</definedName>
    <definedName name="xfco" localSheetId="18">#REF!</definedName>
    <definedName name="xfco">#REF!</definedName>
    <definedName name="xfco3p" localSheetId="18">#REF!</definedName>
    <definedName name="xfco3p">#REF!</definedName>
    <definedName name="xfcotnc" localSheetId="18">#REF!</definedName>
    <definedName name="xfcotnc">#REF!</definedName>
    <definedName name="xfcotvl" localSheetId="18">#REF!</definedName>
    <definedName name="xfcotvl">#REF!</definedName>
    <definedName name="XFCOvc" localSheetId="18">#REF!</definedName>
    <definedName name="XFCOvc">#REF!</definedName>
    <definedName name="xh" localSheetId="18">#REF!</definedName>
    <definedName name="xh">#REF!</definedName>
    <definedName name="xhn" localSheetId="18">#REF!</definedName>
    <definedName name="xhn">#REF!</definedName>
    <definedName name="xig" localSheetId="18">#REF!</definedName>
    <definedName name="xig">#REF!</definedName>
    <definedName name="xig1p" localSheetId="18">#REF!</definedName>
    <definedName name="xig1p">#REF!</definedName>
    <definedName name="xig3p" localSheetId="18">#REF!</definedName>
    <definedName name="xig3p">#REF!</definedName>
    <definedName name="xignc3p" localSheetId="18">#REF!</definedName>
    <definedName name="xignc3p">#REF!</definedName>
    <definedName name="XIGvc" localSheetId="18">#REF!</definedName>
    <definedName name="XIGvc">#REF!</definedName>
    <definedName name="xigvl3p" localSheetId="18">#REF!</definedName>
    <definedName name="xigvl3p">#REF!</definedName>
    <definedName name="xin" localSheetId="18">#REF!</definedName>
    <definedName name="xin">#REF!</definedName>
    <definedName name="xin1903p" localSheetId="18">#REF!</definedName>
    <definedName name="xin1903p">#REF!</definedName>
    <definedName name="XIN190vc" localSheetId="18">#REF!</definedName>
    <definedName name="XIN190vc">#REF!</definedName>
    <definedName name="xin2903p" localSheetId="18">#REF!</definedName>
    <definedName name="xin2903p">#REF!</definedName>
    <definedName name="xin290nc3p" localSheetId="18">#REF!</definedName>
    <definedName name="xin290nc3p">#REF!</definedName>
    <definedName name="xin290vl3p" localSheetId="18">#REF!</definedName>
    <definedName name="xin290vl3p">#REF!</definedName>
    <definedName name="xin3p" localSheetId="18">#REF!</definedName>
    <definedName name="xin3p">#REF!</definedName>
    <definedName name="xind" localSheetId="18">#REF!</definedName>
    <definedName name="xind">#REF!</definedName>
    <definedName name="xind1p" localSheetId="18">#REF!</definedName>
    <definedName name="xind1p">#REF!</definedName>
    <definedName name="xind3p" localSheetId="18">#REF!</definedName>
    <definedName name="xind3p">#REF!</definedName>
    <definedName name="xindnc1p" localSheetId="18">#REF!</definedName>
    <definedName name="xindnc1p">#REF!</definedName>
    <definedName name="XINDvc" localSheetId="18">#REF!</definedName>
    <definedName name="XINDvc">#REF!</definedName>
    <definedName name="xindvl1p" localSheetId="18">#REF!</definedName>
    <definedName name="xindvl1p">#REF!</definedName>
    <definedName name="xing1p" localSheetId="18">#REF!</definedName>
    <definedName name="xing1p">#REF!</definedName>
    <definedName name="xingnc1p" localSheetId="18">#REF!</definedName>
    <definedName name="xingnc1p">#REF!</definedName>
    <definedName name="xingvl1p" localSheetId="18">#REF!</definedName>
    <definedName name="xingvl1p">#REF!</definedName>
    <definedName name="xinnc3p" localSheetId="18">#REF!</definedName>
    <definedName name="xinnc3p">#REF!</definedName>
    <definedName name="xint1p" localSheetId="18">#REF!</definedName>
    <definedName name="xint1p">#REF!</definedName>
    <definedName name="XINvc" localSheetId="18">#REF!</definedName>
    <definedName name="XINvc">#REF!</definedName>
    <definedName name="xinvl3p" localSheetId="18">#REF!</definedName>
    <definedName name="xinvl3p">#REF!</definedName>
    <definedName name="xit" localSheetId="18">#REF!</definedName>
    <definedName name="xit">#REF!</definedName>
    <definedName name="xit1p" localSheetId="18">#REF!</definedName>
    <definedName name="xit1p">#REF!</definedName>
    <definedName name="xit2nc3p" localSheetId="18">#REF!</definedName>
    <definedName name="xit2nc3p">#REF!</definedName>
    <definedName name="xit2vl3p" localSheetId="18">#REF!</definedName>
    <definedName name="xit2vl3p">#REF!</definedName>
    <definedName name="xit3p" localSheetId="18">#REF!</definedName>
    <definedName name="xit3p">#REF!</definedName>
    <definedName name="xitnc3p" localSheetId="18">#REF!</definedName>
    <definedName name="xitnc3p">#REF!</definedName>
    <definedName name="XITvc" localSheetId="18">#REF!</definedName>
    <definedName name="XITvc">#REF!</definedName>
    <definedName name="xitvl3p" localSheetId="18">#REF!</definedName>
    <definedName name="xitvl3p">#REF!</definedName>
    <definedName name="xmcax" localSheetId="18">#REF!</definedName>
    <definedName name="xmcax">#REF!</definedName>
    <definedName name="xn" localSheetId="18">#REF!</definedName>
    <definedName name="xn">#REF!</definedName>
    <definedName name="XSKT_2" localSheetId="18">#REF!</definedName>
    <definedName name="XSKT_2">#REF!</definedName>
    <definedName name="y" localSheetId="18">#REF!</definedName>
    <definedName name="y">#REF!</definedName>
    <definedName name="Yte_2" localSheetId="18">#REF!</definedName>
    <definedName name="Yte_2">#REF!</definedName>
    <definedName name="z" localSheetId="18">#REF!</definedName>
    <definedName name="z">#REF!</definedName>
    <definedName name="zdhdh" localSheetId="18">{"'Sheet1'!$L$16"}</definedName>
    <definedName name="zdhdh">{"'Sheet1'!$L$16"}</definedName>
    <definedName name="ZXD" localSheetId="18">#REF!</definedName>
    <definedName name="ZXD">#REF!</definedName>
    <definedName name="ZYX" localSheetId="18">#REF!</definedName>
    <definedName name="ZYX">#REF!</definedName>
    <definedName name="ZZZ" localSheetId="18">#REF!</definedName>
    <definedName name="ZZZ">#REF!</definedName>
    <definedName name="전" localSheetId="18">#REF!</definedName>
    <definedName name="전">#REF!</definedName>
    <definedName name="주택사업본부" localSheetId="18">#REF!</definedName>
    <definedName name="주택사업본부">#REF!</definedName>
    <definedName name="철구사업본부" localSheetId="18">#REF!</definedName>
    <definedName name="철구사업본부">#REF!</definedName>
  </definedNames>
  <calcPr calcId="191029"/>
</workbook>
</file>

<file path=xl/calcChain.xml><?xml version="1.0" encoding="utf-8"?>
<calcChain xmlns="http://schemas.openxmlformats.org/spreadsheetml/2006/main">
  <c r="F11" i="2" l="1"/>
  <c r="F12" i="2"/>
  <c r="F9" i="2"/>
  <c r="G93" i="21"/>
  <c r="G92" i="21"/>
  <c r="G91" i="21"/>
  <c r="G90" i="21"/>
  <c r="G89" i="21"/>
  <c r="G43" i="21"/>
  <c r="G93" i="20"/>
  <c r="G92" i="20"/>
  <c r="G91" i="20"/>
  <c r="G90" i="20"/>
  <c r="G89" i="20"/>
  <c r="G43" i="20"/>
  <c r="G93" i="19"/>
  <c r="G91" i="19"/>
  <c r="G90" i="19"/>
  <c r="G89" i="19"/>
  <c r="G43" i="19"/>
  <c r="G93" i="18"/>
  <c r="G92" i="18"/>
  <c r="G91" i="18"/>
  <c r="G90" i="18"/>
  <c r="G43" i="18"/>
  <c r="G93" i="17"/>
  <c r="G91" i="17"/>
  <c r="G90" i="17"/>
  <c r="G89" i="17"/>
  <c r="G43" i="17"/>
  <c r="G93" i="16"/>
  <c r="G92" i="16"/>
  <c r="G91" i="16"/>
  <c r="G90" i="16"/>
  <c r="G89" i="16"/>
  <c r="G43" i="16"/>
  <c r="G93" i="15"/>
  <c r="G92" i="15"/>
  <c r="G91" i="15"/>
  <c r="G90" i="15"/>
  <c r="G89" i="15"/>
  <c r="G43" i="15"/>
  <c r="G93" i="23"/>
  <c r="G91" i="23"/>
  <c r="G90" i="23"/>
  <c r="G89" i="23"/>
  <c r="G43" i="23"/>
  <c r="G93" i="14"/>
  <c r="G91" i="14"/>
  <c r="G90" i="14"/>
  <c r="G89" i="14"/>
  <c r="G43" i="14"/>
  <c r="G93" i="13"/>
  <c r="G91" i="13"/>
  <c r="G90" i="13"/>
  <c r="G89" i="13"/>
  <c r="G43" i="13"/>
  <c r="G93" i="22"/>
  <c r="G91" i="22"/>
  <c r="G90" i="22"/>
  <c r="G89" i="22"/>
  <c r="G43" i="22"/>
  <c r="G93" i="12"/>
  <c r="G91" i="12"/>
  <c r="G89" i="12"/>
  <c r="G90" i="12"/>
  <c r="G43" i="12"/>
  <c r="G93" i="10"/>
  <c r="G91" i="10"/>
  <c r="G90" i="10"/>
  <c r="G89" i="10"/>
  <c r="G43" i="10"/>
  <c r="G93" i="9"/>
  <c r="G91" i="9"/>
  <c r="G90" i="9"/>
  <c r="G89" i="9"/>
  <c r="G43" i="9"/>
  <c r="G93" i="8"/>
  <c r="G91" i="8"/>
  <c r="G90" i="8"/>
  <c r="G89" i="8"/>
  <c r="G43" i="8"/>
  <c r="G93" i="7"/>
  <c r="G91" i="7"/>
  <c r="G90" i="7"/>
  <c r="G89" i="7"/>
  <c r="G43" i="7"/>
  <c r="G93" i="6"/>
  <c r="G92" i="6"/>
  <c r="G91" i="6"/>
  <c r="G90" i="6"/>
  <c r="G89" i="6"/>
  <c r="G43" i="6"/>
  <c r="H10" i="18"/>
  <c r="H11" i="18"/>
  <c r="H12" i="18"/>
  <c r="H13" i="18"/>
  <c r="H14" i="18"/>
  <c r="H15" i="18"/>
  <c r="H17" i="18"/>
  <c r="H19" i="18"/>
  <c r="H20" i="18"/>
  <c r="H21" i="18"/>
  <c r="H22" i="18"/>
  <c r="H23" i="18"/>
  <c r="H24" i="18"/>
  <c r="H26" i="18"/>
  <c r="H28" i="18"/>
  <c r="H29" i="18"/>
  <c r="H30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H48" i="18"/>
  <c r="H49" i="18"/>
  <c r="H50" i="18"/>
  <c r="H52" i="18"/>
  <c r="H53" i="18"/>
  <c r="H55" i="18"/>
  <c r="H56" i="18"/>
  <c r="H57" i="18"/>
  <c r="H58" i="18"/>
  <c r="H59" i="18"/>
  <c r="H60" i="18"/>
  <c r="H61" i="18"/>
  <c r="H62" i="18"/>
  <c r="H63" i="18"/>
  <c r="H67" i="18"/>
  <c r="H71" i="18"/>
  <c r="H72" i="18"/>
  <c r="H73" i="18"/>
  <c r="H74" i="18"/>
  <c r="H75" i="18"/>
  <c r="H81" i="18"/>
  <c r="H82" i="18"/>
  <c r="H83" i="18"/>
  <c r="H87" i="18"/>
  <c r="H88" i="18"/>
  <c r="H90" i="18"/>
  <c r="H91" i="18"/>
  <c r="H92" i="18"/>
  <c r="H93" i="18"/>
  <c r="H9" i="18"/>
  <c r="H53" i="19"/>
  <c r="H10" i="19"/>
  <c r="H11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6" i="19"/>
  <c r="H28" i="19"/>
  <c r="H29" i="19"/>
  <c r="H30" i="19"/>
  <c r="H34" i="19"/>
  <c r="H35" i="19"/>
  <c r="H36" i="19"/>
  <c r="H37" i="19"/>
  <c r="H38" i="19"/>
  <c r="H39" i="19"/>
  <c r="H40" i="19"/>
  <c r="H41" i="19"/>
  <c r="H42" i="19"/>
  <c r="H43" i="19"/>
  <c r="H44" i="19"/>
  <c r="H45" i="19"/>
  <c r="H46" i="19"/>
  <c r="H47" i="19"/>
  <c r="H48" i="19"/>
  <c r="H49" i="19"/>
  <c r="H50" i="19"/>
  <c r="H52" i="19"/>
  <c r="H55" i="19"/>
  <c r="H56" i="19"/>
  <c r="H57" i="19"/>
  <c r="H58" i="19"/>
  <c r="H59" i="19"/>
  <c r="H60" i="19"/>
  <c r="H61" i="19"/>
  <c r="H62" i="19"/>
  <c r="H63" i="19"/>
  <c r="H67" i="19"/>
  <c r="H71" i="19"/>
  <c r="H72" i="19"/>
  <c r="H73" i="19"/>
  <c r="H74" i="19"/>
  <c r="H75" i="19"/>
  <c r="H81" i="19"/>
  <c r="H82" i="19"/>
  <c r="H83" i="19"/>
  <c r="H87" i="19"/>
  <c r="H88" i="19"/>
  <c r="H89" i="19"/>
  <c r="H90" i="19"/>
  <c r="H91" i="19"/>
  <c r="H93" i="19"/>
  <c r="H9" i="19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8" i="20"/>
  <c r="H29" i="20"/>
  <c r="H30" i="20"/>
  <c r="H34" i="20"/>
  <c r="H35" i="20"/>
  <c r="H36" i="20"/>
  <c r="H37" i="20"/>
  <c r="H38" i="20"/>
  <c r="H39" i="20"/>
  <c r="H40" i="20"/>
  <c r="H41" i="20"/>
  <c r="H42" i="20"/>
  <c r="H43" i="20"/>
  <c r="H44" i="20"/>
  <c r="H45" i="20"/>
  <c r="H46" i="20"/>
  <c r="H47" i="20"/>
  <c r="H48" i="20"/>
  <c r="H49" i="20"/>
  <c r="H50" i="20"/>
  <c r="H51" i="20"/>
  <c r="H52" i="20"/>
  <c r="H53" i="20"/>
  <c r="H55" i="20"/>
  <c r="H56" i="20"/>
  <c r="H57" i="20"/>
  <c r="H58" i="20"/>
  <c r="H59" i="20"/>
  <c r="H60" i="20"/>
  <c r="H61" i="20"/>
  <c r="H62" i="20"/>
  <c r="H63" i="20"/>
  <c r="H64" i="20"/>
  <c r="H65" i="20"/>
  <c r="H67" i="20"/>
  <c r="H71" i="20"/>
  <c r="H72" i="20"/>
  <c r="H73" i="20"/>
  <c r="H74" i="20"/>
  <c r="H75" i="20"/>
  <c r="H81" i="20"/>
  <c r="H82" i="20"/>
  <c r="H83" i="20"/>
  <c r="H87" i="20"/>
  <c r="H88" i="20"/>
  <c r="H89" i="20"/>
  <c r="H90" i="20"/>
  <c r="H91" i="20"/>
  <c r="H92" i="20"/>
  <c r="H93" i="20"/>
  <c r="H94" i="20"/>
  <c r="H95" i="20"/>
  <c r="H96" i="20"/>
  <c r="H97" i="20"/>
  <c r="H98" i="20"/>
  <c r="H9" i="20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5" i="21"/>
  <c r="H26" i="21"/>
  <c r="H27" i="21"/>
  <c r="H28" i="21"/>
  <c r="H29" i="21"/>
  <c r="H30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7" i="21"/>
  <c r="H48" i="21"/>
  <c r="H49" i="21"/>
  <c r="H50" i="21"/>
  <c r="H51" i="21"/>
  <c r="H52" i="21"/>
  <c r="H53" i="21"/>
  <c r="H55" i="21"/>
  <c r="H56" i="21"/>
  <c r="H57" i="21"/>
  <c r="H58" i="21"/>
  <c r="H59" i="21"/>
  <c r="H60" i="21"/>
  <c r="H61" i="21"/>
  <c r="H62" i="21"/>
  <c r="H63" i="21"/>
  <c r="H64" i="21"/>
  <c r="H65" i="21"/>
  <c r="H67" i="21"/>
  <c r="H71" i="21"/>
  <c r="H72" i="21"/>
  <c r="H73" i="21"/>
  <c r="H74" i="21"/>
  <c r="H75" i="21"/>
  <c r="H81" i="21"/>
  <c r="H82" i="21"/>
  <c r="H83" i="21"/>
  <c r="H87" i="21"/>
  <c r="H88" i="21"/>
  <c r="H89" i="21"/>
  <c r="H90" i="21"/>
  <c r="H91" i="21"/>
  <c r="H92" i="21"/>
  <c r="H93" i="21"/>
  <c r="H94" i="21"/>
  <c r="H95" i="21"/>
  <c r="H96" i="21"/>
  <c r="H98" i="21"/>
  <c r="H9" i="21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4" i="17"/>
  <c r="H35" i="17"/>
  <c r="H36" i="17"/>
  <c r="H38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5" i="17"/>
  <c r="H56" i="17"/>
  <c r="H57" i="17"/>
  <c r="H58" i="17"/>
  <c r="H59" i="17"/>
  <c r="H60" i="17"/>
  <c r="H61" i="17"/>
  <c r="H62" i="17"/>
  <c r="H63" i="17"/>
  <c r="H64" i="17"/>
  <c r="H65" i="17"/>
  <c r="H67" i="17"/>
  <c r="H71" i="17"/>
  <c r="H72" i="17"/>
  <c r="H73" i="17"/>
  <c r="H74" i="17"/>
  <c r="H75" i="17"/>
  <c r="H81" i="17"/>
  <c r="H82" i="17"/>
  <c r="H83" i="17"/>
  <c r="H87" i="17"/>
  <c r="H88" i="17"/>
  <c r="H89" i="17"/>
  <c r="H90" i="17"/>
  <c r="H91" i="17"/>
  <c r="H93" i="17"/>
  <c r="H94" i="17"/>
  <c r="H95" i="17"/>
  <c r="H96" i="17"/>
  <c r="H97" i="17"/>
  <c r="H9" i="17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8" i="16"/>
  <c r="H29" i="16"/>
  <c r="H30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5" i="16"/>
  <c r="H56" i="16"/>
  <c r="H57" i="16"/>
  <c r="H58" i="16"/>
  <c r="H59" i="16"/>
  <c r="H60" i="16"/>
  <c r="H61" i="16"/>
  <c r="H62" i="16"/>
  <c r="H63" i="16"/>
  <c r="H64" i="16"/>
  <c r="H65" i="16"/>
  <c r="H67" i="16"/>
  <c r="H71" i="16"/>
  <c r="H72" i="16"/>
  <c r="H73" i="16"/>
  <c r="H74" i="16"/>
  <c r="H75" i="16"/>
  <c r="H81" i="16"/>
  <c r="H82" i="16"/>
  <c r="H83" i="16"/>
  <c r="H87" i="16"/>
  <c r="H88" i="16"/>
  <c r="H89" i="16"/>
  <c r="H90" i="16"/>
  <c r="H91" i="16"/>
  <c r="H92" i="16"/>
  <c r="H93" i="16"/>
  <c r="H94" i="16"/>
  <c r="H95" i="16"/>
  <c r="H9" i="16"/>
  <c r="H10" i="15"/>
  <c r="H11" i="15"/>
  <c r="H14" i="15"/>
  <c r="H17" i="15"/>
  <c r="H20" i="15"/>
  <c r="H23" i="15"/>
  <c r="H28" i="15"/>
  <c r="H29" i="15"/>
  <c r="H30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H47" i="15"/>
  <c r="H48" i="15"/>
  <c r="H49" i="15"/>
  <c r="H50" i="15"/>
  <c r="H51" i="15"/>
  <c r="H52" i="15"/>
  <c r="H53" i="15"/>
  <c r="H55" i="15"/>
  <c r="H56" i="15"/>
  <c r="H57" i="15"/>
  <c r="H58" i="15"/>
  <c r="H59" i="15"/>
  <c r="H60" i="15"/>
  <c r="H61" i="15"/>
  <c r="H62" i="15"/>
  <c r="H63" i="15"/>
  <c r="H67" i="15"/>
  <c r="H68" i="15"/>
  <c r="H70" i="15"/>
  <c r="H71" i="15"/>
  <c r="H72" i="15"/>
  <c r="H73" i="15"/>
  <c r="H74" i="15"/>
  <c r="H75" i="15"/>
  <c r="H76" i="15"/>
  <c r="H77" i="15"/>
  <c r="H81" i="15"/>
  <c r="H82" i="15"/>
  <c r="H83" i="15"/>
  <c r="H87" i="15"/>
  <c r="H88" i="15"/>
  <c r="H89" i="15"/>
  <c r="H90" i="15"/>
  <c r="H91" i="15"/>
  <c r="H92" i="15"/>
  <c r="H93" i="15"/>
  <c r="H94" i="15"/>
  <c r="H95" i="15"/>
  <c r="H96" i="15"/>
  <c r="H97" i="15"/>
  <c r="H98" i="15"/>
  <c r="H9" i="15"/>
  <c r="H10" i="23"/>
  <c r="H11" i="23"/>
  <c r="H14" i="23"/>
  <c r="H17" i="23"/>
  <c r="H20" i="23"/>
  <c r="H23" i="23"/>
  <c r="H26" i="23"/>
  <c r="H28" i="23"/>
  <c r="H29" i="23"/>
  <c r="H30" i="23"/>
  <c r="H34" i="23"/>
  <c r="H35" i="23"/>
  <c r="H36" i="23"/>
  <c r="H37" i="23"/>
  <c r="H38" i="23"/>
  <c r="H39" i="23"/>
  <c r="H40" i="23"/>
  <c r="H41" i="23"/>
  <c r="H42" i="23"/>
  <c r="H43" i="23"/>
  <c r="H44" i="23"/>
  <c r="H45" i="23"/>
  <c r="H46" i="23"/>
  <c r="H47" i="23"/>
  <c r="H48" i="23"/>
  <c r="H49" i="23"/>
  <c r="H50" i="23"/>
  <c r="H52" i="23"/>
  <c r="H53" i="23"/>
  <c r="H55" i="23"/>
  <c r="H56" i="23"/>
  <c r="H57" i="23"/>
  <c r="H58" i="23"/>
  <c r="H59" i="23"/>
  <c r="H60" i="23"/>
  <c r="H61" i="23"/>
  <c r="H62" i="23"/>
  <c r="H63" i="23"/>
  <c r="H67" i="23"/>
  <c r="H68" i="23"/>
  <c r="H69" i="23"/>
  <c r="H70" i="23"/>
  <c r="H71" i="23"/>
  <c r="H72" i="23"/>
  <c r="H73" i="23"/>
  <c r="H74" i="23"/>
  <c r="H75" i="23"/>
  <c r="H81" i="23"/>
  <c r="H82" i="23"/>
  <c r="H83" i="23"/>
  <c r="H87" i="23"/>
  <c r="H88" i="23"/>
  <c r="H89" i="23"/>
  <c r="H90" i="23"/>
  <c r="H91" i="23"/>
  <c r="H93" i="23"/>
  <c r="H9" i="23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8" i="14"/>
  <c r="H29" i="14"/>
  <c r="H30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2" i="14"/>
  <c r="H53" i="14"/>
  <c r="H55" i="14"/>
  <c r="H56" i="14"/>
  <c r="H57" i="14"/>
  <c r="H58" i="14"/>
  <c r="H59" i="14"/>
  <c r="H60" i="14"/>
  <c r="H61" i="14"/>
  <c r="H62" i="14"/>
  <c r="H63" i="14"/>
  <c r="H67" i="14"/>
  <c r="H68" i="14"/>
  <c r="H70" i="14"/>
  <c r="H71" i="14"/>
  <c r="H72" i="14"/>
  <c r="H73" i="14"/>
  <c r="H74" i="14"/>
  <c r="H75" i="14"/>
  <c r="H76" i="14"/>
  <c r="H77" i="14"/>
  <c r="H81" i="14"/>
  <c r="H82" i="14"/>
  <c r="H83" i="14"/>
  <c r="H87" i="14"/>
  <c r="H88" i="14"/>
  <c r="H89" i="14"/>
  <c r="H90" i="14"/>
  <c r="H91" i="14"/>
  <c r="H93" i="14"/>
  <c r="H94" i="14"/>
  <c r="H95" i="14"/>
  <c r="H9" i="14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8" i="13"/>
  <c r="H29" i="13"/>
  <c r="H30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2" i="13"/>
  <c r="H53" i="13"/>
  <c r="H55" i="13"/>
  <c r="H56" i="13"/>
  <c r="H57" i="13"/>
  <c r="H58" i="13"/>
  <c r="H59" i="13"/>
  <c r="H60" i="13"/>
  <c r="H61" i="13"/>
  <c r="H62" i="13"/>
  <c r="H63" i="13"/>
  <c r="H67" i="13"/>
  <c r="H71" i="13"/>
  <c r="H72" i="13"/>
  <c r="H73" i="13"/>
  <c r="H74" i="13"/>
  <c r="H75" i="13"/>
  <c r="H81" i="13"/>
  <c r="H82" i="13"/>
  <c r="H83" i="13"/>
  <c r="H87" i="13"/>
  <c r="H88" i="13"/>
  <c r="H89" i="13"/>
  <c r="H90" i="13"/>
  <c r="H91" i="13"/>
  <c r="H93" i="13"/>
  <c r="H96" i="13"/>
  <c r="H97" i="13"/>
  <c r="H98" i="13"/>
  <c r="H9" i="13"/>
  <c r="H90" i="22"/>
  <c r="H14" i="22"/>
  <c r="H15" i="22"/>
  <c r="H16" i="22"/>
  <c r="H17" i="22"/>
  <c r="H18" i="22"/>
  <c r="H19" i="22"/>
  <c r="H20" i="22"/>
  <c r="H21" i="22"/>
  <c r="H22" i="22"/>
  <c r="H23" i="22"/>
  <c r="H24" i="22"/>
  <c r="H26" i="22"/>
  <c r="H28" i="22"/>
  <c r="H29" i="22"/>
  <c r="H30" i="22"/>
  <c r="H34" i="22"/>
  <c r="H35" i="22"/>
  <c r="H36" i="22"/>
  <c r="H37" i="22"/>
  <c r="H38" i="22"/>
  <c r="H39" i="22"/>
  <c r="H41" i="22"/>
  <c r="H43" i="22"/>
  <c r="H44" i="22"/>
  <c r="H45" i="22"/>
  <c r="H46" i="22"/>
  <c r="H47" i="22"/>
  <c r="H48" i="22"/>
  <c r="H49" i="22"/>
  <c r="H50" i="22"/>
  <c r="H52" i="22"/>
  <c r="H53" i="22"/>
  <c r="H55" i="22"/>
  <c r="H56" i="22"/>
  <c r="H57" i="22"/>
  <c r="H58" i="22"/>
  <c r="H59" i="22"/>
  <c r="H60" i="22"/>
  <c r="H61" i="22"/>
  <c r="H62" i="22"/>
  <c r="H63" i="22"/>
  <c r="H67" i="22"/>
  <c r="H71" i="22"/>
  <c r="H72" i="22"/>
  <c r="H73" i="22"/>
  <c r="H74" i="22"/>
  <c r="H75" i="22"/>
  <c r="H81" i="22"/>
  <c r="H82" i="22"/>
  <c r="H83" i="22"/>
  <c r="H87" i="22"/>
  <c r="H88" i="22"/>
  <c r="H89" i="22"/>
  <c r="H91" i="22"/>
  <c r="H93" i="22"/>
  <c r="H96" i="22"/>
  <c r="H98" i="22"/>
  <c r="H10" i="22"/>
  <c r="H11" i="22"/>
  <c r="H12" i="22"/>
  <c r="H13" i="22"/>
  <c r="H9" i="22"/>
  <c r="H10" i="12"/>
  <c r="H11" i="12"/>
  <c r="H12" i="12"/>
  <c r="H13" i="12"/>
  <c r="H14" i="12"/>
  <c r="H15" i="12"/>
  <c r="H16" i="12"/>
  <c r="H17" i="12"/>
  <c r="H18" i="12"/>
  <c r="H19" i="12"/>
  <c r="H21" i="12"/>
  <c r="H22" i="12"/>
  <c r="H23" i="12"/>
  <c r="H24" i="12"/>
  <c r="H28" i="12"/>
  <c r="H29" i="12"/>
  <c r="H30" i="12"/>
  <c r="H34" i="12"/>
  <c r="H35" i="12"/>
  <c r="H36" i="12"/>
  <c r="H37" i="12"/>
  <c r="H38" i="12"/>
  <c r="H39" i="12"/>
  <c r="H41" i="12"/>
  <c r="H43" i="12"/>
  <c r="H44" i="12"/>
  <c r="H45" i="12"/>
  <c r="H46" i="12"/>
  <c r="H47" i="12"/>
  <c r="H48" i="12"/>
  <c r="H49" i="12"/>
  <c r="H50" i="12"/>
  <c r="H52" i="12"/>
  <c r="H53" i="12"/>
  <c r="H55" i="12"/>
  <c r="H56" i="12"/>
  <c r="H57" i="12"/>
  <c r="H58" i="12"/>
  <c r="H59" i="12"/>
  <c r="H60" i="12"/>
  <c r="H61" i="12"/>
  <c r="H62" i="12"/>
  <c r="H63" i="12"/>
  <c r="H67" i="12"/>
  <c r="H68" i="12"/>
  <c r="H69" i="12"/>
  <c r="H71" i="12"/>
  <c r="H72" i="12"/>
  <c r="H73" i="12"/>
  <c r="H74" i="12"/>
  <c r="H75" i="12"/>
  <c r="H81" i="12"/>
  <c r="H82" i="12"/>
  <c r="H83" i="12"/>
  <c r="H87" i="12"/>
  <c r="H88" i="12"/>
  <c r="H89" i="12"/>
  <c r="H90" i="12"/>
  <c r="H91" i="12"/>
  <c r="H93" i="12"/>
  <c r="H96" i="12"/>
  <c r="H98" i="12"/>
  <c r="H9" i="12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8" i="10"/>
  <c r="H30" i="10"/>
  <c r="H34" i="10"/>
  <c r="H35" i="10"/>
  <c r="H36" i="10"/>
  <c r="H37" i="10"/>
  <c r="H38" i="10"/>
  <c r="H39" i="10"/>
  <c r="H41" i="10"/>
  <c r="H43" i="10"/>
  <c r="H44" i="10"/>
  <c r="H45" i="10"/>
  <c r="H46" i="10"/>
  <c r="H47" i="10"/>
  <c r="H48" i="10"/>
  <c r="H49" i="10"/>
  <c r="H50" i="10"/>
  <c r="H52" i="10"/>
  <c r="H53" i="10"/>
  <c r="H55" i="10"/>
  <c r="H56" i="10"/>
  <c r="H57" i="10"/>
  <c r="H58" i="10"/>
  <c r="H59" i="10"/>
  <c r="H60" i="10"/>
  <c r="H61" i="10"/>
  <c r="H62" i="10"/>
  <c r="H63" i="10"/>
  <c r="H67" i="10"/>
  <c r="H71" i="10"/>
  <c r="H72" i="10"/>
  <c r="H73" i="10"/>
  <c r="H74" i="10"/>
  <c r="H75" i="10"/>
  <c r="H81" i="10"/>
  <c r="H82" i="10"/>
  <c r="H83" i="10"/>
  <c r="H87" i="10"/>
  <c r="H88" i="10"/>
  <c r="H89" i="10"/>
  <c r="H90" i="10"/>
  <c r="H91" i="10"/>
  <c r="H93" i="10"/>
  <c r="H9" i="10"/>
  <c r="H45" i="9"/>
  <c r="H46" i="9"/>
  <c r="H47" i="9"/>
  <c r="H48" i="9"/>
  <c r="H49" i="9"/>
  <c r="H50" i="9"/>
  <c r="H52" i="9"/>
  <c r="H53" i="9"/>
  <c r="H55" i="9"/>
  <c r="H56" i="9"/>
  <c r="H57" i="9"/>
  <c r="H58" i="9"/>
  <c r="H59" i="9"/>
  <c r="H60" i="9"/>
  <c r="H61" i="9"/>
  <c r="H62" i="9"/>
  <c r="H63" i="9"/>
  <c r="H67" i="9"/>
  <c r="H68" i="9"/>
  <c r="H70" i="9"/>
  <c r="H71" i="9"/>
  <c r="H72" i="9"/>
  <c r="H73" i="9"/>
  <c r="H74" i="9"/>
  <c r="H75" i="9"/>
  <c r="H81" i="9"/>
  <c r="H83" i="9"/>
  <c r="H87" i="9"/>
  <c r="H88" i="9"/>
  <c r="H89" i="9"/>
  <c r="H90" i="9"/>
  <c r="H91" i="9"/>
  <c r="H93" i="9"/>
  <c r="H96" i="9"/>
  <c r="H98" i="9"/>
  <c r="H43" i="9"/>
  <c r="H44" i="9"/>
  <c r="H41" i="9"/>
  <c r="H35" i="9"/>
  <c r="H36" i="9"/>
  <c r="H37" i="9"/>
  <c r="H38" i="9"/>
  <c r="H39" i="9"/>
  <c r="H34" i="9"/>
  <c r="H27" i="9"/>
  <c r="H28" i="9"/>
  <c r="H29" i="9"/>
  <c r="H30" i="9"/>
  <c r="H21" i="9"/>
  <c r="H22" i="9"/>
  <c r="H23" i="9"/>
  <c r="H24" i="9"/>
  <c r="H25" i="9"/>
  <c r="H26" i="9"/>
  <c r="H18" i="9"/>
  <c r="H19" i="9"/>
  <c r="H20" i="9"/>
  <c r="H14" i="9"/>
  <c r="H15" i="9"/>
  <c r="H16" i="9"/>
  <c r="H17" i="9"/>
  <c r="H10" i="9"/>
  <c r="H11" i="9"/>
  <c r="H12" i="9"/>
  <c r="H13" i="9"/>
  <c r="H9" i="9"/>
  <c r="H96" i="8"/>
  <c r="H97" i="8"/>
  <c r="H90" i="8"/>
  <c r="H91" i="8"/>
  <c r="H93" i="8"/>
  <c r="H88" i="8"/>
  <c r="H89" i="8"/>
  <c r="H83" i="8"/>
  <c r="H87" i="8"/>
  <c r="H81" i="8"/>
  <c r="H82" i="8"/>
  <c r="H75" i="8"/>
  <c r="H76" i="8"/>
  <c r="H77" i="8"/>
  <c r="H72" i="8"/>
  <c r="H73" i="8"/>
  <c r="H74" i="8"/>
  <c r="H69" i="8"/>
  <c r="H70" i="8"/>
  <c r="H71" i="8"/>
  <c r="H65" i="8"/>
  <c r="H67" i="8"/>
  <c r="H68" i="8"/>
  <c r="H61" i="8"/>
  <c r="H62" i="8"/>
  <c r="H63" i="8"/>
  <c r="H64" i="8"/>
  <c r="H56" i="8"/>
  <c r="H57" i="8"/>
  <c r="H58" i="8"/>
  <c r="H59" i="8"/>
  <c r="H60" i="8"/>
  <c r="H52" i="8"/>
  <c r="H53" i="8"/>
  <c r="H55" i="8"/>
  <c r="H48" i="8"/>
  <c r="H49" i="8"/>
  <c r="H50" i="8"/>
  <c r="H46" i="8"/>
  <c r="H47" i="8"/>
  <c r="H43" i="8"/>
  <c r="H44" i="8"/>
  <c r="H45" i="8"/>
  <c r="H38" i="8"/>
  <c r="H39" i="8"/>
  <c r="H41" i="8"/>
  <c r="H35" i="8"/>
  <c r="H36" i="8"/>
  <c r="H37" i="8"/>
  <c r="H34" i="8"/>
  <c r="H29" i="8"/>
  <c r="H30" i="8"/>
  <c r="H26" i="8"/>
  <c r="H27" i="8"/>
  <c r="H28" i="8"/>
  <c r="H23" i="8"/>
  <c r="H24" i="8"/>
  <c r="H25" i="8"/>
  <c r="H20" i="8"/>
  <c r="H21" i="8"/>
  <c r="H22" i="8"/>
  <c r="H19" i="8"/>
  <c r="H17" i="8"/>
  <c r="H18" i="8"/>
  <c r="H14" i="8"/>
  <c r="H15" i="8"/>
  <c r="H16" i="8"/>
  <c r="H10" i="8"/>
  <c r="H11" i="8"/>
  <c r="H12" i="8"/>
  <c r="H13" i="8"/>
  <c r="H9" i="8"/>
  <c r="H23" i="7"/>
  <c r="H24" i="7"/>
  <c r="H28" i="7"/>
  <c r="H29" i="7"/>
  <c r="H30" i="7"/>
  <c r="H34" i="7"/>
  <c r="H35" i="7"/>
  <c r="H36" i="7"/>
  <c r="H37" i="7"/>
  <c r="H38" i="7"/>
  <c r="H39" i="7"/>
  <c r="H41" i="7"/>
  <c r="H43" i="7"/>
  <c r="H44" i="7"/>
  <c r="H45" i="7"/>
  <c r="H46" i="7"/>
  <c r="H47" i="7"/>
  <c r="H48" i="7"/>
  <c r="H49" i="7"/>
  <c r="H50" i="7"/>
  <c r="H52" i="7"/>
  <c r="H53" i="7"/>
  <c r="H55" i="7"/>
  <c r="H56" i="7"/>
  <c r="H57" i="7"/>
  <c r="H58" i="7"/>
  <c r="H59" i="7"/>
  <c r="H60" i="7"/>
  <c r="H61" i="7"/>
  <c r="H62" i="7"/>
  <c r="H63" i="7"/>
  <c r="H67" i="7"/>
  <c r="H71" i="7"/>
  <c r="H72" i="7"/>
  <c r="H73" i="7"/>
  <c r="H74" i="7"/>
  <c r="H75" i="7"/>
  <c r="H81" i="7"/>
  <c r="H82" i="7"/>
  <c r="H83" i="7"/>
  <c r="H87" i="7"/>
  <c r="H88" i="7"/>
  <c r="H89" i="7"/>
  <c r="H90" i="7"/>
  <c r="H91" i="7"/>
  <c r="H93" i="7"/>
  <c r="H96" i="7"/>
  <c r="H97" i="7"/>
  <c r="H22" i="7"/>
  <c r="H17" i="7"/>
  <c r="H18" i="7"/>
  <c r="H19" i="7"/>
  <c r="H20" i="7"/>
  <c r="H16" i="7"/>
  <c r="H10" i="7"/>
  <c r="H13" i="7"/>
  <c r="H9" i="7"/>
  <c r="H23" i="6"/>
  <c r="H24" i="6"/>
  <c r="H26" i="6"/>
  <c r="H28" i="6"/>
  <c r="H29" i="6"/>
  <c r="H30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2" i="6"/>
  <c r="H53" i="6"/>
  <c r="H55" i="6"/>
  <c r="H56" i="6"/>
  <c r="H57" i="6"/>
  <c r="H58" i="6"/>
  <c r="H59" i="6"/>
  <c r="H60" i="6"/>
  <c r="H61" i="6"/>
  <c r="H62" i="6"/>
  <c r="H63" i="6"/>
  <c r="H67" i="6"/>
  <c r="H68" i="6"/>
  <c r="H69" i="6"/>
  <c r="H70" i="6"/>
  <c r="H71" i="6"/>
  <c r="H72" i="6"/>
  <c r="H73" i="6"/>
  <c r="H74" i="6"/>
  <c r="H75" i="6"/>
  <c r="H76" i="6"/>
  <c r="H77" i="6"/>
  <c r="H81" i="6"/>
  <c r="H82" i="6"/>
  <c r="H83" i="6"/>
  <c r="H87" i="6"/>
  <c r="H88" i="6"/>
  <c r="H89" i="6"/>
  <c r="H90" i="6"/>
  <c r="H91" i="6"/>
  <c r="H92" i="6"/>
  <c r="H93" i="6"/>
  <c r="H96" i="6"/>
  <c r="H98" i="6"/>
  <c r="H20" i="6"/>
  <c r="H21" i="6"/>
  <c r="H22" i="6"/>
  <c r="H19" i="6"/>
  <c r="H16" i="6"/>
  <c r="H13" i="6"/>
  <c r="H10" i="6"/>
  <c r="H9" i="6"/>
  <c r="I93" i="2"/>
  <c r="I88" i="2"/>
  <c r="H76" i="2"/>
  <c r="E73" i="6"/>
  <c r="F72" i="2"/>
  <c r="E61" i="6"/>
  <c r="E57" i="6"/>
  <c r="F57" i="2"/>
  <c r="F56" i="2"/>
  <c r="I40" i="2"/>
  <c r="F28" i="6"/>
  <c r="F54" i="2"/>
  <c r="F55" i="2"/>
  <c r="F94" i="17"/>
  <c r="F98" i="2"/>
  <c r="I90" i="2"/>
  <c r="F70" i="2"/>
  <c r="I71" i="2"/>
  <c r="I69" i="2"/>
  <c r="I68" i="2"/>
  <c r="I67" i="2"/>
  <c r="I64" i="2"/>
  <c r="I63" i="2"/>
  <c r="I52" i="2"/>
  <c r="I49" i="2"/>
  <c r="I45" i="2"/>
  <c r="F18" i="22"/>
  <c r="F71" i="2"/>
  <c r="E56" i="12"/>
  <c r="E56" i="10"/>
  <c r="F56" i="7"/>
  <c r="E52" i="9"/>
  <c r="E48" i="12"/>
  <c r="E48" i="10"/>
  <c r="E48" i="9"/>
  <c r="E48" i="8"/>
  <c r="F96" i="22"/>
  <c r="G96" i="22"/>
  <c r="F94" i="22"/>
  <c r="G94" i="22"/>
  <c r="F88" i="22"/>
  <c r="G88" i="22"/>
  <c r="F83" i="22"/>
  <c r="F81" i="22" s="1"/>
  <c r="G83" i="22"/>
  <c r="G73" i="22" s="1"/>
  <c r="E83" i="22"/>
  <c r="F76" i="22"/>
  <c r="G76" i="22"/>
  <c r="F74" i="22"/>
  <c r="G74" i="22"/>
  <c r="F73" i="22"/>
  <c r="F72" i="22"/>
  <c r="G72" i="22"/>
  <c r="F68" i="22"/>
  <c r="G68" i="22"/>
  <c r="F64" i="22"/>
  <c r="G64" i="22"/>
  <c r="F61" i="22"/>
  <c r="F57" i="22" s="1"/>
  <c r="G61" i="22"/>
  <c r="F58" i="22"/>
  <c r="G58" i="22"/>
  <c r="F52" i="22"/>
  <c r="G52" i="22"/>
  <c r="F49" i="22"/>
  <c r="F47" i="22" s="1"/>
  <c r="G49" i="22"/>
  <c r="G47" i="22"/>
  <c r="F45" i="22"/>
  <c r="G45" i="22"/>
  <c r="F42" i="22"/>
  <c r="G42" i="22"/>
  <c r="F39" i="22"/>
  <c r="G39" i="22"/>
  <c r="F36" i="22"/>
  <c r="G36" i="22"/>
  <c r="F30" i="22"/>
  <c r="F29" i="22"/>
  <c r="G29" i="22"/>
  <c r="F28" i="22"/>
  <c r="G28" i="22"/>
  <c r="G30" i="22" s="1"/>
  <c r="F24" i="22"/>
  <c r="G24" i="22"/>
  <c r="F21" i="22"/>
  <c r="F20" i="22"/>
  <c r="G20" i="22"/>
  <c r="F19" i="22"/>
  <c r="F13" i="22" s="1"/>
  <c r="G19" i="22"/>
  <c r="G21" i="22" s="1"/>
  <c r="G18" i="22"/>
  <c r="F14" i="22"/>
  <c r="G14" i="22"/>
  <c r="F96" i="13"/>
  <c r="G96" i="13"/>
  <c r="F94" i="13"/>
  <c r="G94" i="13"/>
  <c r="F88" i="13"/>
  <c r="G88" i="13"/>
  <c r="F83" i="13"/>
  <c r="G83" i="13"/>
  <c r="E83" i="13"/>
  <c r="F81" i="13"/>
  <c r="G81" i="13"/>
  <c r="E76" i="13"/>
  <c r="F76" i="13"/>
  <c r="G76" i="13"/>
  <c r="E75" i="13"/>
  <c r="F74" i="13"/>
  <c r="G74" i="13"/>
  <c r="F73" i="13"/>
  <c r="G73" i="13"/>
  <c r="F72" i="13"/>
  <c r="G72" i="13"/>
  <c r="F68" i="13"/>
  <c r="F64" i="13"/>
  <c r="F61" i="13"/>
  <c r="G61" i="13"/>
  <c r="F58" i="13"/>
  <c r="G58" i="13"/>
  <c r="G57" i="13"/>
  <c r="G55" i="13"/>
  <c r="G46" i="13" s="1"/>
  <c r="F52" i="13"/>
  <c r="G52" i="13"/>
  <c r="F49" i="13"/>
  <c r="G49" i="13"/>
  <c r="E48" i="13"/>
  <c r="F47" i="13"/>
  <c r="G47" i="13"/>
  <c r="F45" i="13"/>
  <c r="G45" i="13"/>
  <c r="F42" i="13"/>
  <c r="G42" i="13"/>
  <c r="F39" i="13"/>
  <c r="G39" i="13"/>
  <c r="F36" i="13"/>
  <c r="G36" i="13"/>
  <c r="F29" i="13"/>
  <c r="G29" i="13"/>
  <c r="F28" i="13"/>
  <c r="F30" i="13" s="1"/>
  <c r="G28" i="13"/>
  <c r="G30" i="13" s="1"/>
  <c r="F20" i="13"/>
  <c r="G20" i="13"/>
  <c r="G14" i="13" s="1"/>
  <c r="F19" i="13"/>
  <c r="F21" i="13" s="1"/>
  <c r="G19" i="13"/>
  <c r="G13" i="13" s="1"/>
  <c r="F18" i="13"/>
  <c r="G18" i="13"/>
  <c r="F14" i="13"/>
  <c r="F96" i="14"/>
  <c r="G96" i="14"/>
  <c r="F94" i="14"/>
  <c r="G94" i="14"/>
  <c r="F88" i="14"/>
  <c r="G88" i="14"/>
  <c r="E83" i="14"/>
  <c r="F83" i="14"/>
  <c r="G83" i="14"/>
  <c r="G81" i="14" s="1"/>
  <c r="F81" i="14"/>
  <c r="E76" i="14"/>
  <c r="F76" i="14"/>
  <c r="G76" i="14"/>
  <c r="E75" i="14"/>
  <c r="F74" i="14"/>
  <c r="G74" i="14"/>
  <c r="F73" i="14"/>
  <c r="E73" i="14"/>
  <c r="F72" i="14"/>
  <c r="G72" i="14"/>
  <c r="E68" i="14"/>
  <c r="F68" i="14"/>
  <c r="G68" i="14"/>
  <c r="F64" i="14"/>
  <c r="G64" i="14"/>
  <c r="F61" i="14"/>
  <c r="G61" i="14"/>
  <c r="F58" i="14"/>
  <c r="G58" i="14"/>
  <c r="F57" i="14"/>
  <c r="F55" i="14" s="1"/>
  <c r="F46" i="14" s="1"/>
  <c r="G57" i="14"/>
  <c r="G55" i="14" s="1"/>
  <c r="E56" i="14"/>
  <c r="F52" i="14"/>
  <c r="G52" i="14"/>
  <c r="F49" i="14"/>
  <c r="G49" i="14"/>
  <c r="G47" i="14" s="1"/>
  <c r="F47" i="14"/>
  <c r="F45" i="14"/>
  <c r="G45" i="14"/>
  <c r="F42" i="14"/>
  <c r="G42" i="14"/>
  <c r="F39" i="14"/>
  <c r="G39" i="14"/>
  <c r="F36" i="14"/>
  <c r="G36" i="14"/>
  <c r="F30" i="14"/>
  <c r="F29" i="14"/>
  <c r="G29" i="14"/>
  <c r="F28" i="14"/>
  <c r="G28" i="14"/>
  <c r="G30" i="14" s="1"/>
  <c r="F24" i="14"/>
  <c r="G24" i="14"/>
  <c r="E24" i="14"/>
  <c r="F21" i="14"/>
  <c r="F20" i="14"/>
  <c r="F14" i="14" s="1"/>
  <c r="F15" i="14" s="1"/>
  <c r="F12" i="14" s="1"/>
  <c r="F11" i="14" s="1"/>
  <c r="G20" i="14"/>
  <c r="F19" i="14"/>
  <c r="G19" i="14"/>
  <c r="G21" i="14" s="1"/>
  <c r="F18" i="14"/>
  <c r="G18" i="14"/>
  <c r="G14" i="14"/>
  <c r="F13" i="14"/>
  <c r="F10" i="14" s="1"/>
  <c r="F96" i="23"/>
  <c r="G96" i="23"/>
  <c r="F94" i="23"/>
  <c r="G94" i="23"/>
  <c r="F88" i="23"/>
  <c r="G88" i="23"/>
  <c r="E83" i="23"/>
  <c r="F83" i="23"/>
  <c r="F81" i="23" s="1"/>
  <c r="G83" i="23"/>
  <c r="G73" i="23" s="1"/>
  <c r="E76" i="23"/>
  <c r="F76" i="23"/>
  <c r="F74" i="23" s="1"/>
  <c r="G76" i="23"/>
  <c r="E72" i="23"/>
  <c r="F72" i="23"/>
  <c r="E69" i="23"/>
  <c r="F68" i="23"/>
  <c r="G68" i="23"/>
  <c r="E64" i="23"/>
  <c r="F64" i="23"/>
  <c r="G64" i="23"/>
  <c r="F61" i="23"/>
  <c r="G61" i="23"/>
  <c r="F58" i="23"/>
  <c r="F57" i="23" s="1"/>
  <c r="G58" i="23"/>
  <c r="F52" i="23"/>
  <c r="G52" i="23"/>
  <c r="F49" i="23"/>
  <c r="G49" i="23"/>
  <c r="E48" i="23"/>
  <c r="F47" i="23"/>
  <c r="G47" i="23"/>
  <c r="F45" i="23"/>
  <c r="G45" i="23"/>
  <c r="F42" i="23"/>
  <c r="G42" i="23"/>
  <c r="F39" i="23"/>
  <c r="G39" i="23"/>
  <c r="F36" i="23"/>
  <c r="G36" i="23"/>
  <c r="F30" i="23"/>
  <c r="F29" i="23"/>
  <c r="G29" i="23"/>
  <c r="F28" i="23"/>
  <c r="F10" i="23" s="1"/>
  <c r="G28" i="23"/>
  <c r="G10" i="23" s="1"/>
  <c r="F21" i="23"/>
  <c r="G21" i="23"/>
  <c r="F20" i="23"/>
  <c r="G20" i="23"/>
  <c r="F19" i="23"/>
  <c r="G19" i="23"/>
  <c r="F18" i="23"/>
  <c r="G18" i="23"/>
  <c r="F14" i="23"/>
  <c r="G14" i="23"/>
  <c r="F13" i="23"/>
  <c r="F15" i="23" s="1"/>
  <c r="F12" i="23" s="1"/>
  <c r="G13" i="23"/>
  <c r="G15" i="23" s="1"/>
  <c r="G12" i="23" s="1"/>
  <c r="F96" i="16"/>
  <c r="G96" i="16"/>
  <c r="F94" i="16"/>
  <c r="G94" i="16"/>
  <c r="F88" i="16"/>
  <c r="G88" i="16"/>
  <c r="E83" i="16"/>
  <c r="F83" i="16"/>
  <c r="F81" i="16" s="1"/>
  <c r="G83" i="16"/>
  <c r="G73" i="16" s="1"/>
  <c r="E76" i="16"/>
  <c r="F76" i="16"/>
  <c r="F74" i="16" s="1"/>
  <c r="G76" i="16"/>
  <c r="E73" i="16"/>
  <c r="F72" i="16"/>
  <c r="F68" i="16"/>
  <c r="G68" i="16"/>
  <c r="F64" i="16"/>
  <c r="G64" i="16"/>
  <c r="F61" i="16"/>
  <c r="G61" i="16"/>
  <c r="E58" i="16"/>
  <c r="F58" i="16"/>
  <c r="G58" i="16"/>
  <c r="E56" i="16"/>
  <c r="F52" i="16"/>
  <c r="G52" i="16"/>
  <c r="F49" i="16"/>
  <c r="G49" i="16"/>
  <c r="G47" i="16" s="1"/>
  <c r="F47" i="16"/>
  <c r="F45" i="16"/>
  <c r="G45" i="16"/>
  <c r="F42" i="16"/>
  <c r="G42" i="16"/>
  <c r="F39" i="16"/>
  <c r="G39" i="16"/>
  <c r="F36" i="16"/>
  <c r="G36" i="16"/>
  <c r="F29" i="16"/>
  <c r="G29" i="16"/>
  <c r="F28" i="16"/>
  <c r="F30" i="16" s="1"/>
  <c r="G28" i="16"/>
  <c r="G30" i="16" s="1"/>
  <c r="F27" i="16"/>
  <c r="G27" i="16"/>
  <c r="F24" i="16"/>
  <c r="G24" i="16"/>
  <c r="F20" i="16"/>
  <c r="G20" i="16"/>
  <c r="F19" i="16"/>
  <c r="F21" i="16" s="1"/>
  <c r="G19" i="16"/>
  <c r="G21" i="16" s="1"/>
  <c r="F18" i="16"/>
  <c r="G18" i="16"/>
  <c r="F14" i="16"/>
  <c r="G14" i="16"/>
  <c r="F96" i="17"/>
  <c r="G96" i="17"/>
  <c r="G94" i="17"/>
  <c r="F88" i="17"/>
  <c r="G88" i="17"/>
  <c r="E83" i="17"/>
  <c r="F83" i="17"/>
  <c r="F81" i="17" s="1"/>
  <c r="G83" i="17"/>
  <c r="G73" i="17" s="1"/>
  <c r="E76" i="17"/>
  <c r="F76" i="17"/>
  <c r="G76" i="17"/>
  <c r="F68" i="17"/>
  <c r="G68" i="17"/>
  <c r="F64" i="17"/>
  <c r="G64" i="17"/>
  <c r="E61" i="17"/>
  <c r="F61" i="17"/>
  <c r="G61" i="17"/>
  <c r="E58" i="17"/>
  <c r="F58" i="17"/>
  <c r="F57" i="17" s="1"/>
  <c r="F55" i="17" s="1"/>
  <c r="G58" i="17"/>
  <c r="F52" i="17"/>
  <c r="G52" i="17"/>
  <c r="F49" i="17"/>
  <c r="G49" i="17"/>
  <c r="G47" i="17" s="1"/>
  <c r="F47" i="17"/>
  <c r="F45" i="17"/>
  <c r="G45" i="17"/>
  <c r="F42" i="17"/>
  <c r="G42" i="17"/>
  <c r="F39" i="17"/>
  <c r="G39" i="17"/>
  <c r="F36" i="17"/>
  <c r="G36" i="17"/>
  <c r="F30" i="17"/>
  <c r="F29" i="17"/>
  <c r="G29" i="17"/>
  <c r="F28" i="17"/>
  <c r="G28" i="17"/>
  <c r="G30" i="17" s="1"/>
  <c r="F27" i="17"/>
  <c r="G27" i="17"/>
  <c r="F24" i="17"/>
  <c r="G24" i="17"/>
  <c r="F20" i="17"/>
  <c r="F14" i="17" s="1"/>
  <c r="G20" i="17"/>
  <c r="F19" i="17"/>
  <c r="F21" i="17" s="1"/>
  <c r="G19" i="17"/>
  <c r="G21" i="17" s="1"/>
  <c r="F18" i="17"/>
  <c r="G18" i="17"/>
  <c r="E18" i="17"/>
  <c r="E18" i="18"/>
  <c r="G14" i="17"/>
  <c r="F96" i="18"/>
  <c r="G96" i="18"/>
  <c r="E94" i="18"/>
  <c r="F94" i="18"/>
  <c r="G94" i="18"/>
  <c r="F88" i="18"/>
  <c r="G88" i="18"/>
  <c r="F83" i="18"/>
  <c r="F73" i="18" s="1"/>
  <c r="F71" i="18" s="1"/>
  <c r="F67" i="18" s="1"/>
  <c r="G83" i="18"/>
  <c r="G73" i="18" s="1"/>
  <c r="G71" i="18" s="1"/>
  <c r="G67" i="18" s="1"/>
  <c r="E83" i="18"/>
  <c r="F81" i="18"/>
  <c r="E76" i="18"/>
  <c r="F76" i="18"/>
  <c r="F74" i="18" s="1"/>
  <c r="G76" i="18"/>
  <c r="G74" i="18"/>
  <c r="F72" i="18"/>
  <c r="G72" i="18"/>
  <c r="F68" i="18"/>
  <c r="G68" i="18"/>
  <c r="F64" i="18"/>
  <c r="G64" i="18"/>
  <c r="F61" i="18"/>
  <c r="F57" i="18" s="1"/>
  <c r="F55" i="18" s="1"/>
  <c r="G61" i="18"/>
  <c r="E58" i="18"/>
  <c r="F58" i="18"/>
  <c r="G58" i="18"/>
  <c r="F52" i="18"/>
  <c r="G52" i="18"/>
  <c r="F49" i="18"/>
  <c r="F47" i="18" s="1"/>
  <c r="G49" i="18"/>
  <c r="G47" i="18" s="1"/>
  <c r="E48" i="18"/>
  <c r="F45" i="18"/>
  <c r="G45" i="18"/>
  <c r="F42" i="18"/>
  <c r="G42" i="18"/>
  <c r="F39" i="18"/>
  <c r="G39" i="18"/>
  <c r="F36" i="18"/>
  <c r="G36" i="18"/>
  <c r="F30" i="18"/>
  <c r="F29" i="18"/>
  <c r="G29" i="18"/>
  <c r="F28" i="18"/>
  <c r="G28" i="18"/>
  <c r="G30" i="18" s="1"/>
  <c r="F24" i="18"/>
  <c r="G24" i="18"/>
  <c r="F20" i="18"/>
  <c r="G20" i="18"/>
  <c r="F19" i="18"/>
  <c r="F21" i="18" s="1"/>
  <c r="G19" i="18"/>
  <c r="G21" i="18" s="1"/>
  <c r="F18" i="18"/>
  <c r="G18" i="18"/>
  <c r="F14" i="18"/>
  <c r="G14" i="18"/>
  <c r="F96" i="19"/>
  <c r="G96" i="19"/>
  <c r="F94" i="19"/>
  <c r="G94" i="19"/>
  <c r="F88" i="19"/>
  <c r="G88" i="19"/>
  <c r="F83" i="19"/>
  <c r="F81" i="19" s="1"/>
  <c r="G83" i="19"/>
  <c r="G73" i="19" s="1"/>
  <c r="G81" i="19"/>
  <c r="F76" i="19"/>
  <c r="G76" i="19"/>
  <c r="E76" i="19"/>
  <c r="F72" i="19"/>
  <c r="F68" i="19"/>
  <c r="G68" i="19"/>
  <c r="F64" i="19"/>
  <c r="G64" i="19"/>
  <c r="F61" i="19"/>
  <c r="G61" i="19"/>
  <c r="F58" i="19"/>
  <c r="F57" i="19" s="1"/>
  <c r="F55" i="19" s="1"/>
  <c r="G58" i="19"/>
  <c r="G57" i="19" s="1"/>
  <c r="G55" i="19" s="1"/>
  <c r="E56" i="19"/>
  <c r="F52" i="19"/>
  <c r="G52" i="19"/>
  <c r="F49" i="19"/>
  <c r="F47" i="19" s="1"/>
  <c r="G49" i="19"/>
  <c r="G47" i="19" s="1"/>
  <c r="F45" i="19"/>
  <c r="G45" i="19"/>
  <c r="F42" i="19"/>
  <c r="G42" i="19"/>
  <c r="F39" i="19"/>
  <c r="G39" i="19"/>
  <c r="F36" i="19"/>
  <c r="G36" i="19"/>
  <c r="F29" i="19"/>
  <c r="G29" i="19"/>
  <c r="F28" i="19"/>
  <c r="F30" i="19" s="1"/>
  <c r="G28" i="19"/>
  <c r="G30" i="19" s="1"/>
  <c r="F20" i="19"/>
  <c r="G20" i="19"/>
  <c r="F19" i="19"/>
  <c r="F13" i="19" s="1"/>
  <c r="G19" i="19"/>
  <c r="G13" i="19" s="1"/>
  <c r="F18" i="19"/>
  <c r="G18" i="19"/>
  <c r="F14" i="19"/>
  <c r="G14" i="19"/>
  <c r="F96" i="20"/>
  <c r="G96" i="20"/>
  <c r="F94" i="20"/>
  <c r="G94" i="20"/>
  <c r="F88" i="20"/>
  <c r="G88" i="20"/>
  <c r="F83" i="20"/>
  <c r="G83" i="20"/>
  <c r="G81" i="20" s="1"/>
  <c r="E83" i="20"/>
  <c r="F81" i="20"/>
  <c r="E76" i="20"/>
  <c r="F76" i="20"/>
  <c r="F74" i="20" s="1"/>
  <c r="G76" i="20"/>
  <c r="G74" i="20"/>
  <c r="F73" i="20"/>
  <c r="F71" i="20" s="1"/>
  <c r="G73" i="20"/>
  <c r="F72" i="20"/>
  <c r="G72" i="20"/>
  <c r="E72" i="20"/>
  <c r="F68" i="20"/>
  <c r="G68" i="20"/>
  <c r="F64" i="20"/>
  <c r="G64" i="20"/>
  <c r="F61" i="20"/>
  <c r="G61" i="20"/>
  <c r="F58" i="20"/>
  <c r="F57" i="20" s="1"/>
  <c r="F55" i="20" s="1"/>
  <c r="G58" i="20"/>
  <c r="F52" i="20"/>
  <c r="G52" i="20"/>
  <c r="F49" i="20"/>
  <c r="F47" i="20" s="1"/>
  <c r="G49" i="20"/>
  <c r="G47" i="20" s="1"/>
  <c r="F45" i="20"/>
  <c r="G45" i="20"/>
  <c r="F42" i="20"/>
  <c r="G42" i="20"/>
  <c r="F39" i="20"/>
  <c r="G39" i="20"/>
  <c r="F36" i="20"/>
  <c r="G36" i="20"/>
  <c r="F30" i="20"/>
  <c r="F29" i="20"/>
  <c r="G29" i="20"/>
  <c r="F28" i="20"/>
  <c r="G28" i="20"/>
  <c r="G30" i="20" s="1"/>
  <c r="F21" i="20"/>
  <c r="F20" i="20"/>
  <c r="G20" i="20"/>
  <c r="F19" i="20"/>
  <c r="F13" i="20" s="1"/>
  <c r="G19" i="20"/>
  <c r="G13" i="20" s="1"/>
  <c r="F18" i="20"/>
  <c r="G18" i="20"/>
  <c r="F14" i="20"/>
  <c r="G14" i="20"/>
  <c r="G102" i="2"/>
  <c r="H102" i="2"/>
  <c r="G99" i="2"/>
  <c r="H99" i="2"/>
  <c r="H98" i="2" s="1"/>
  <c r="G96" i="2"/>
  <c r="I96" i="2" s="1"/>
  <c r="H96" i="2"/>
  <c r="H95" i="2" s="1"/>
  <c r="G94" i="2"/>
  <c r="I94" i="2" s="1"/>
  <c r="H94" i="2"/>
  <c r="G93" i="2"/>
  <c r="H93" i="2"/>
  <c r="G91" i="2"/>
  <c r="I91" i="2" s="1"/>
  <c r="H91" i="2"/>
  <c r="G89" i="2"/>
  <c r="I89" i="2" s="1"/>
  <c r="H89" i="2"/>
  <c r="G88" i="2"/>
  <c r="H88" i="2"/>
  <c r="G86" i="2"/>
  <c r="G82" i="2" s="1"/>
  <c r="H86" i="2"/>
  <c r="G85" i="2"/>
  <c r="H85" i="2"/>
  <c r="G84" i="2"/>
  <c r="H84" i="2"/>
  <c r="G83" i="2"/>
  <c r="H83" i="2"/>
  <c r="G81" i="2"/>
  <c r="G79" i="2"/>
  <c r="H79" i="2"/>
  <c r="G78" i="2"/>
  <c r="H78" i="2"/>
  <c r="G77" i="2"/>
  <c r="H77" i="2"/>
  <c r="G76" i="2"/>
  <c r="G75" i="2" s="1"/>
  <c r="G69" i="2"/>
  <c r="H69" i="2"/>
  <c r="G68" i="2"/>
  <c r="H68" i="2"/>
  <c r="G65" i="2"/>
  <c r="H65" i="2"/>
  <c r="G64" i="2"/>
  <c r="H64" i="2"/>
  <c r="G62" i="2"/>
  <c r="H62" i="2"/>
  <c r="G61" i="2"/>
  <c r="H61" i="2"/>
  <c r="G59" i="2"/>
  <c r="H59" i="2"/>
  <c r="G58" i="2"/>
  <c r="H58" i="2"/>
  <c r="G53" i="2"/>
  <c r="H53" i="2"/>
  <c r="G52" i="2"/>
  <c r="G49" i="2" s="1"/>
  <c r="H52" i="2"/>
  <c r="H49" i="2" s="1"/>
  <c r="H51" i="2" s="1"/>
  <c r="G48" i="2"/>
  <c r="I48" i="2" s="1"/>
  <c r="H48" i="2"/>
  <c r="G47" i="2"/>
  <c r="I47" i="2" s="1"/>
  <c r="H47" i="2"/>
  <c r="G45" i="2"/>
  <c r="G40" i="2"/>
  <c r="G42" i="2" s="1"/>
  <c r="H40" i="2"/>
  <c r="H42" i="2" s="1"/>
  <c r="G37" i="2"/>
  <c r="G39" i="2" s="1"/>
  <c r="H37" i="2"/>
  <c r="G34" i="2"/>
  <c r="G36" i="2" s="1"/>
  <c r="H34" i="2"/>
  <c r="G31" i="2"/>
  <c r="G33" i="2" s="1"/>
  <c r="G27" i="2" s="1"/>
  <c r="H31" i="2"/>
  <c r="G28" i="2"/>
  <c r="H28" i="2"/>
  <c r="G22" i="2"/>
  <c r="G24" i="2" s="1"/>
  <c r="H22" i="2"/>
  <c r="H24" i="2" s="1"/>
  <c r="G19" i="2"/>
  <c r="G21" i="2" s="1"/>
  <c r="H19" i="2"/>
  <c r="G13" i="2"/>
  <c r="G15" i="2" s="1"/>
  <c r="H13" i="2"/>
  <c r="H15" i="2" s="1"/>
  <c r="F96" i="15"/>
  <c r="G96" i="15"/>
  <c r="F94" i="15"/>
  <c r="G94" i="15"/>
  <c r="F88" i="15"/>
  <c r="G88" i="15"/>
  <c r="E83" i="15"/>
  <c r="F83" i="15"/>
  <c r="G83" i="15"/>
  <c r="F81" i="15"/>
  <c r="G81" i="15"/>
  <c r="E76" i="15"/>
  <c r="F76" i="15"/>
  <c r="F74" i="15" s="1"/>
  <c r="G76" i="15"/>
  <c r="G74" i="15" s="1"/>
  <c r="F72" i="15"/>
  <c r="G72" i="15"/>
  <c r="F68" i="15"/>
  <c r="G68" i="15"/>
  <c r="F64" i="15"/>
  <c r="G64" i="15"/>
  <c r="F61" i="15"/>
  <c r="G61" i="15"/>
  <c r="F58" i="15"/>
  <c r="G58" i="15"/>
  <c r="E57" i="15"/>
  <c r="F52" i="15"/>
  <c r="G52" i="15"/>
  <c r="F49" i="15"/>
  <c r="F47" i="15" s="1"/>
  <c r="G49" i="15"/>
  <c r="G47" i="15" s="1"/>
  <c r="F45" i="15"/>
  <c r="G45" i="15"/>
  <c r="F42" i="15"/>
  <c r="G42" i="15"/>
  <c r="F39" i="15"/>
  <c r="G39" i="15"/>
  <c r="F36" i="15"/>
  <c r="G36" i="15"/>
  <c r="F29" i="15"/>
  <c r="G29" i="15"/>
  <c r="F28" i="15"/>
  <c r="F30" i="15" s="1"/>
  <c r="G28" i="15"/>
  <c r="G30" i="15" s="1"/>
  <c r="F27" i="15"/>
  <c r="G27" i="15"/>
  <c r="F24" i="15"/>
  <c r="G24" i="15"/>
  <c r="F21" i="15"/>
  <c r="G21" i="15"/>
  <c r="F20" i="15"/>
  <c r="F14" i="15" s="1"/>
  <c r="G20" i="15"/>
  <c r="G14" i="15" s="1"/>
  <c r="F19" i="15"/>
  <c r="F13" i="15" s="1"/>
  <c r="G19" i="15"/>
  <c r="G13" i="15"/>
  <c r="F96" i="21"/>
  <c r="G96" i="21"/>
  <c r="F94" i="21"/>
  <c r="G94" i="21"/>
  <c r="F88" i="21"/>
  <c r="G88" i="21"/>
  <c r="F83" i="21"/>
  <c r="F81" i="21" s="1"/>
  <c r="G83" i="21"/>
  <c r="G81" i="21" s="1"/>
  <c r="E83" i="21"/>
  <c r="E76" i="21"/>
  <c r="F76" i="21"/>
  <c r="F74" i="21" s="1"/>
  <c r="G76" i="21"/>
  <c r="G74" i="21" s="1"/>
  <c r="F72" i="21"/>
  <c r="G72" i="21"/>
  <c r="F68" i="21"/>
  <c r="G68" i="21"/>
  <c r="F64" i="21"/>
  <c r="G64" i="21"/>
  <c r="F61" i="21"/>
  <c r="G61" i="21"/>
  <c r="E58" i="21"/>
  <c r="F58" i="21"/>
  <c r="G58" i="21"/>
  <c r="E56" i="21"/>
  <c r="F52" i="21"/>
  <c r="G52" i="21"/>
  <c r="F49" i="21"/>
  <c r="F47" i="21" s="1"/>
  <c r="G49" i="21"/>
  <c r="G47" i="21" s="1"/>
  <c r="F45" i="21"/>
  <c r="G45" i="21"/>
  <c r="F42" i="21"/>
  <c r="G42" i="21"/>
  <c r="F39" i="21"/>
  <c r="G39" i="21"/>
  <c r="F36" i="21"/>
  <c r="G36" i="21"/>
  <c r="F29" i="21"/>
  <c r="G29" i="21"/>
  <c r="F28" i="21"/>
  <c r="F30" i="21" s="1"/>
  <c r="G28" i="21"/>
  <c r="G30" i="21" s="1"/>
  <c r="F27" i="21"/>
  <c r="G27" i="21"/>
  <c r="F21" i="21"/>
  <c r="F20" i="21"/>
  <c r="G20" i="21"/>
  <c r="F19" i="21"/>
  <c r="G19" i="21"/>
  <c r="G13" i="21" s="1"/>
  <c r="F18" i="21"/>
  <c r="G18" i="21"/>
  <c r="F14" i="21"/>
  <c r="G14" i="21"/>
  <c r="F13" i="21"/>
  <c r="F96" i="12"/>
  <c r="G96" i="12"/>
  <c r="F94" i="12"/>
  <c r="G94" i="12"/>
  <c r="F88" i="12"/>
  <c r="G88" i="12"/>
  <c r="F83" i="12"/>
  <c r="F81" i="12" s="1"/>
  <c r="G83" i="12"/>
  <c r="G81" i="12" s="1"/>
  <c r="E83" i="12"/>
  <c r="E76" i="12"/>
  <c r="F76" i="12"/>
  <c r="F72" i="12"/>
  <c r="G68" i="12"/>
  <c r="F68" i="12"/>
  <c r="F64" i="12"/>
  <c r="G64" i="12"/>
  <c r="F61" i="12"/>
  <c r="G61" i="12"/>
  <c r="F58" i="12"/>
  <c r="G58" i="12"/>
  <c r="F52" i="12"/>
  <c r="G52" i="12"/>
  <c r="F49" i="12"/>
  <c r="F47" i="12" s="1"/>
  <c r="G49" i="12"/>
  <c r="F45" i="12"/>
  <c r="G45" i="12"/>
  <c r="F42" i="12"/>
  <c r="G42" i="12"/>
  <c r="F39" i="12"/>
  <c r="G39" i="12"/>
  <c r="F36" i="12"/>
  <c r="G36" i="12"/>
  <c r="G30" i="12" s="1"/>
  <c r="G29" i="12" s="1"/>
  <c r="F30" i="12"/>
  <c r="F28" i="12"/>
  <c r="G28" i="12"/>
  <c r="F24" i="12"/>
  <c r="F21" i="12" s="1"/>
  <c r="G24" i="12"/>
  <c r="G21" i="12"/>
  <c r="F19" i="12"/>
  <c r="F13" i="12" s="1"/>
  <c r="G19" i="12"/>
  <c r="G13" i="12" s="1"/>
  <c r="G10" i="12" s="1"/>
  <c r="F18" i="12"/>
  <c r="G18" i="12"/>
  <c r="F96" i="10"/>
  <c r="G96" i="10"/>
  <c r="F94" i="10"/>
  <c r="G94" i="10"/>
  <c r="F88" i="10"/>
  <c r="G88" i="10"/>
  <c r="E83" i="10"/>
  <c r="F83" i="10"/>
  <c r="F73" i="10" s="1"/>
  <c r="G83" i="10"/>
  <c r="E76" i="10"/>
  <c r="F76" i="10"/>
  <c r="G76" i="10"/>
  <c r="E75" i="10"/>
  <c r="F74" i="10"/>
  <c r="F72" i="10"/>
  <c r="F68" i="10"/>
  <c r="G68" i="10"/>
  <c r="F64" i="10"/>
  <c r="G64" i="10"/>
  <c r="F61" i="10"/>
  <c r="G61" i="10"/>
  <c r="F58" i="10"/>
  <c r="F57" i="10" s="1"/>
  <c r="G58" i="10"/>
  <c r="F52" i="10"/>
  <c r="G52" i="10"/>
  <c r="F49" i="10"/>
  <c r="F47" i="10" s="1"/>
  <c r="G49" i="10"/>
  <c r="G47" i="10" s="1"/>
  <c r="F45" i="10"/>
  <c r="G45" i="10"/>
  <c r="F42" i="10"/>
  <c r="G42" i="10"/>
  <c r="F39" i="10"/>
  <c r="G39" i="10"/>
  <c r="F36" i="10"/>
  <c r="G36" i="10"/>
  <c r="F30" i="10"/>
  <c r="G30" i="10"/>
  <c r="F28" i="10"/>
  <c r="G28" i="10"/>
  <c r="F27" i="10"/>
  <c r="G27" i="10"/>
  <c r="F24" i="10"/>
  <c r="G24" i="10"/>
  <c r="G21" i="10" s="1"/>
  <c r="F19" i="10"/>
  <c r="G19" i="10"/>
  <c r="G13" i="10" s="1"/>
  <c r="F18" i="10"/>
  <c r="G18" i="10"/>
  <c r="F13" i="10"/>
  <c r="E96" i="9"/>
  <c r="F96" i="9"/>
  <c r="G96" i="9"/>
  <c r="F94" i="9"/>
  <c r="G94" i="9"/>
  <c r="F88" i="9"/>
  <c r="G88" i="9"/>
  <c r="F83" i="9"/>
  <c r="F73" i="9" s="1"/>
  <c r="G83" i="9"/>
  <c r="G81" i="9" s="1"/>
  <c r="E83" i="9"/>
  <c r="F81" i="9"/>
  <c r="F76" i="9"/>
  <c r="G76" i="9"/>
  <c r="F74" i="9"/>
  <c r="F72" i="9"/>
  <c r="F68" i="9"/>
  <c r="G68" i="9"/>
  <c r="F64" i="9"/>
  <c r="G64" i="9"/>
  <c r="F61" i="9"/>
  <c r="F57" i="9" s="1"/>
  <c r="F55" i="9" s="1"/>
  <c r="G61" i="9"/>
  <c r="F58" i="9"/>
  <c r="G58" i="9"/>
  <c r="E57" i="9"/>
  <c r="F52" i="9"/>
  <c r="G52" i="9"/>
  <c r="F49" i="9"/>
  <c r="F47" i="9" s="1"/>
  <c r="G49" i="9"/>
  <c r="G47" i="9" s="1"/>
  <c r="F45" i="9"/>
  <c r="G45" i="9"/>
  <c r="F42" i="9"/>
  <c r="G42" i="9"/>
  <c r="F39" i="9"/>
  <c r="G39" i="9"/>
  <c r="F36" i="9"/>
  <c r="G36" i="9"/>
  <c r="G30" i="9" s="1"/>
  <c r="F30" i="9"/>
  <c r="F28" i="9"/>
  <c r="G28" i="9"/>
  <c r="F27" i="9"/>
  <c r="G27" i="9"/>
  <c r="F24" i="9"/>
  <c r="F21" i="9" s="1"/>
  <c r="G24" i="9"/>
  <c r="G21" i="9"/>
  <c r="G15" i="9" s="1"/>
  <c r="G12" i="9" s="1"/>
  <c r="F19" i="9"/>
  <c r="F13" i="9" s="1"/>
  <c r="G19" i="9"/>
  <c r="G13" i="9" s="1"/>
  <c r="F18" i="9"/>
  <c r="G18" i="9"/>
  <c r="F96" i="8"/>
  <c r="G96" i="8"/>
  <c r="F94" i="8"/>
  <c r="G94" i="8"/>
  <c r="F88" i="8"/>
  <c r="G88" i="8"/>
  <c r="E88" i="8"/>
  <c r="F83" i="8"/>
  <c r="F81" i="8" s="1"/>
  <c r="G83" i="8"/>
  <c r="G81" i="8" s="1"/>
  <c r="F76" i="8"/>
  <c r="G76" i="8"/>
  <c r="E76" i="8"/>
  <c r="F68" i="8"/>
  <c r="G68" i="8"/>
  <c r="F64" i="8"/>
  <c r="G64" i="8"/>
  <c r="F61" i="8"/>
  <c r="G61" i="8"/>
  <c r="F58" i="8"/>
  <c r="G58" i="8"/>
  <c r="F52" i="8"/>
  <c r="G52" i="8"/>
  <c r="F49" i="8"/>
  <c r="G49" i="8"/>
  <c r="G47" i="8" s="1"/>
  <c r="F47" i="8"/>
  <c r="F45" i="8"/>
  <c r="G45" i="8"/>
  <c r="F42" i="8"/>
  <c r="G42" i="8"/>
  <c r="F39" i="8"/>
  <c r="G39" i="8"/>
  <c r="F36" i="8"/>
  <c r="G36" i="8"/>
  <c r="G30" i="8" s="1"/>
  <c r="F30" i="8"/>
  <c r="F28" i="8"/>
  <c r="G28" i="8"/>
  <c r="F27" i="8"/>
  <c r="G27" i="8"/>
  <c r="F24" i="8"/>
  <c r="F21" i="8" s="1"/>
  <c r="G24" i="8"/>
  <c r="F19" i="8"/>
  <c r="F13" i="8" s="1"/>
  <c r="G19" i="8"/>
  <c r="G13" i="8" s="1"/>
  <c r="F18" i="8"/>
  <c r="G18" i="8"/>
  <c r="F96" i="7"/>
  <c r="G96" i="7"/>
  <c r="F94" i="7"/>
  <c r="G94" i="7"/>
  <c r="F88" i="7"/>
  <c r="G88" i="7"/>
  <c r="F83" i="7"/>
  <c r="F81" i="7" s="1"/>
  <c r="G83" i="7"/>
  <c r="G73" i="7" s="1"/>
  <c r="F76" i="7"/>
  <c r="G76" i="7"/>
  <c r="F74" i="7"/>
  <c r="G74" i="7"/>
  <c r="F72" i="7"/>
  <c r="G72" i="7"/>
  <c r="F68" i="7"/>
  <c r="G68" i="7"/>
  <c r="F64" i="7"/>
  <c r="G64" i="7"/>
  <c r="F61" i="7"/>
  <c r="G61" i="7"/>
  <c r="F58" i="7"/>
  <c r="G58" i="7"/>
  <c r="E56" i="7"/>
  <c r="F52" i="7"/>
  <c r="G52" i="7"/>
  <c r="F49" i="7"/>
  <c r="F47" i="7" s="1"/>
  <c r="G49" i="7"/>
  <c r="G47" i="7" s="1"/>
  <c r="E48" i="7"/>
  <c r="F45" i="7"/>
  <c r="G45" i="7"/>
  <c r="F42" i="7"/>
  <c r="G42" i="7"/>
  <c r="F39" i="7"/>
  <c r="G39" i="7"/>
  <c r="F36" i="7"/>
  <c r="F30" i="7" s="1"/>
  <c r="G36" i="7"/>
  <c r="G30" i="7" s="1"/>
  <c r="F28" i="7"/>
  <c r="G28" i="7"/>
  <c r="G21" i="7"/>
  <c r="F24" i="7"/>
  <c r="F21" i="7" s="1"/>
  <c r="H21" i="7" s="1"/>
  <c r="G24" i="7"/>
  <c r="F19" i="7"/>
  <c r="F13" i="7" s="1"/>
  <c r="G19" i="7"/>
  <c r="F18" i="7"/>
  <c r="G18" i="7"/>
  <c r="G13" i="7"/>
  <c r="G10" i="7" s="1"/>
  <c r="F96" i="6"/>
  <c r="G96" i="6"/>
  <c r="F94" i="6"/>
  <c r="G94" i="6"/>
  <c r="F88" i="6"/>
  <c r="G88" i="6"/>
  <c r="F83" i="6"/>
  <c r="G83" i="6"/>
  <c r="F81" i="6"/>
  <c r="G81" i="6"/>
  <c r="F76" i="6"/>
  <c r="F74" i="6" s="1"/>
  <c r="G76" i="6"/>
  <c r="G74" i="6" s="1"/>
  <c r="F72" i="6"/>
  <c r="G72" i="6"/>
  <c r="F68" i="6"/>
  <c r="G68" i="6"/>
  <c r="E68" i="6"/>
  <c r="E69" i="6"/>
  <c r="F64" i="6"/>
  <c r="G64" i="6"/>
  <c r="E64" i="6"/>
  <c r="F61" i="6"/>
  <c r="G61" i="6"/>
  <c r="G55" i="6" s="1"/>
  <c r="F58" i="6"/>
  <c r="G58" i="6"/>
  <c r="F57" i="6"/>
  <c r="F55" i="6" s="1"/>
  <c r="E55" i="6"/>
  <c r="F52" i="6"/>
  <c r="G52" i="6"/>
  <c r="E52" i="6"/>
  <c r="F49" i="6"/>
  <c r="F47" i="6" s="1"/>
  <c r="G49" i="6"/>
  <c r="G47" i="6" s="1"/>
  <c r="E48" i="6"/>
  <c r="F45" i="6"/>
  <c r="G45" i="6"/>
  <c r="F42" i="6"/>
  <c r="G42" i="6"/>
  <c r="F39" i="6"/>
  <c r="G39" i="6"/>
  <c r="F36" i="6"/>
  <c r="F30" i="6" s="1"/>
  <c r="G36" i="6"/>
  <c r="G30" i="6" s="1"/>
  <c r="G28" i="6"/>
  <c r="F27" i="6"/>
  <c r="F21" i="6" s="1"/>
  <c r="G27" i="6"/>
  <c r="G21" i="6" s="1"/>
  <c r="F24" i="6"/>
  <c r="G24" i="6"/>
  <c r="F19" i="6"/>
  <c r="F13" i="6" s="1"/>
  <c r="G19" i="6"/>
  <c r="G13" i="6" s="1"/>
  <c r="F18" i="6"/>
  <c r="G18" i="6"/>
  <c r="G103" i="2"/>
  <c r="H103" i="2"/>
  <c r="G98" i="2"/>
  <c r="G95" i="2"/>
  <c r="G21" i="21" l="1"/>
  <c r="G21" i="20"/>
  <c r="G57" i="18"/>
  <c r="G55" i="18" s="1"/>
  <c r="H46" i="2"/>
  <c r="G57" i="16"/>
  <c r="G55" i="16" s="1"/>
  <c r="G30" i="23"/>
  <c r="G11" i="23" s="1"/>
  <c r="G13" i="14"/>
  <c r="G15" i="14" s="1"/>
  <c r="G12" i="14" s="1"/>
  <c r="G11" i="14" s="1"/>
  <c r="G81" i="22"/>
  <c r="G57" i="22"/>
  <c r="G55" i="22" s="1"/>
  <c r="G57" i="9"/>
  <c r="G55" i="9" s="1"/>
  <c r="G57" i="8"/>
  <c r="G21" i="8"/>
  <c r="G81" i="7"/>
  <c r="H67" i="2"/>
  <c r="H82" i="2"/>
  <c r="G73" i="10"/>
  <c r="F73" i="19"/>
  <c r="G81" i="18"/>
  <c r="F73" i="17"/>
  <c r="F73" i="16"/>
  <c r="F73" i="15"/>
  <c r="G73" i="15"/>
  <c r="G71" i="15" s="1"/>
  <c r="G67" i="15" s="1"/>
  <c r="F73" i="23"/>
  <c r="G81" i="23"/>
  <c r="G73" i="14"/>
  <c r="F81" i="10"/>
  <c r="F71" i="9"/>
  <c r="F67" i="9" s="1"/>
  <c r="G73" i="9"/>
  <c r="F73" i="8"/>
  <c r="G73" i="8"/>
  <c r="G71" i="7"/>
  <c r="G57" i="17"/>
  <c r="G55" i="17" s="1"/>
  <c r="F57" i="16"/>
  <c r="F55" i="16" s="1"/>
  <c r="G57" i="23"/>
  <c r="G55" i="23" s="1"/>
  <c r="G46" i="23" s="1"/>
  <c r="F57" i="12"/>
  <c r="G57" i="10"/>
  <c r="G55" i="10" s="1"/>
  <c r="G60" i="2"/>
  <c r="H57" i="2"/>
  <c r="G57" i="2"/>
  <c r="G57" i="7"/>
  <c r="G55" i="7" s="1"/>
  <c r="H60" i="2"/>
  <c r="F46" i="17"/>
  <c r="G46" i="17"/>
  <c r="G46" i="16"/>
  <c r="F46" i="16"/>
  <c r="G46" i="14"/>
  <c r="G46" i="2"/>
  <c r="I46" i="2" s="1"/>
  <c r="H39" i="2"/>
  <c r="H36" i="2"/>
  <c r="G10" i="20"/>
  <c r="F10" i="20"/>
  <c r="G10" i="19"/>
  <c r="F10" i="19"/>
  <c r="F11" i="23"/>
  <c r="G25" i="2"/>
  <c r="G10" i="14"/>
  <c r="G10" i="13"/>
  <c r="F10" i="12"/>
  <c r="G10" i="10"/>
  <c r="F10" i="8"/>
  <c r="H25" i="2"/>
  <c r="G10" i="8"/>
  <c r="G29" i="7"/>
  <c r="H33" i="2"/>
  <c r="H27" i="2" s="1"/>
  <c r="G10" i="6"/>
  <c r="G15" i="19"/>
  <c r="G12" i="19" s="1"/>
  <c r="G11" i="19" s="1"/>
  <c r="G21" i="19"/>
  <c r="F15" i="19"/>
  <c r="F12" i="19" s="1"/>
  <c r="F11" i="19" s="1"/>
  <c r="F21" i="19"/>
  <c r="G13" i="18"/>
  <c r="F13" i="18"/>
  <c r="F15" i="18" s="1"/>
  <c r="F12" i="18" s="1"/>
  <c r="F11" i="18" s="1"/>
  <c r="G13" i="17"/>
  <c r="G10" i="17" s="1"/>
  <c r="F13" i="17"/>
  <c r="F10" i="17" s="1"/>
  <c r="G13" i="16"/>
  <c r="F13" i="16"/>
  <c r="F10" i="16" s="1"/>
  <c r="G21" i="13"/>
  <c r="F13" i="13"/>
  <c r="F15" i="13" s="1"/>
  <c r="F12" i="13" s="1"/>
  <c r="F11" i="13" s="1"/>
  <c r="G13" i="22"/>
  <c r="G10" i="22" s="1"/>
  <c r="F15" i="22"/>
  <c r="F12" i="22" s="1"/>
  <c r="F11" i="22" s="1"/>
  <c r="F21" i="10"/>
  <c r="H16" i="2"/>
  <c r="H10" i="2" s="1"/>
  <c r="G16" i="2"/>
  <c r="G10" i="2" s="1"/>
  <c r="H21" i="2"/>
  <c r="H18" i="2" s="1"/>
  <c r="H12" i="2" s="1"/>
  <c r="H9" i="2" s="1"/>
  <c r="H87" i="2"/>
  <c r="I95" i="2"/>
  <c r="G87" i="2"/>
  <c r="I87" i="2" s="1"/>
  <c r="G15" i="12"/>
  <c r="G12" i="12" s="1"/>
  <c r="G11" i="12" s="1"/>
  <c r="G15" i="20"/>
  <c r="G12" i="20" s="1"/>
  <c r="G11" i="20" s="1"/>
  <c r="F15" i="20"/>
  <c r="F12" i="20" s="1"/>
  <c r="F11" i="20" s="1"/>
  <c r="G15" i="17"/>
  <c r="G12" i="17" s="1"/>
  <c r="G11" i="17" s="1"/>
  <c r="F15" i="17"/>
  <c r="F12" i="17" s="1"/>
  <c r="F11" i="17" s="1"/>
  <c r="F15" i="16"/>
  <c r="F12" i="16" s="1"/>
  <c r="F11" i="16" s="1"/>
  <c r="G15" i="13"/>
  <c r="G12" i="13" s="1"/>
  <c r="G11" i="13" s="1"/>
  <c r="F10" i="13"/>
  <c r="G15" i="22"/>
  <c r="G12" i="22" s="1"/>
  <c r="G11" i="22" s="1"/>
  <c r="F10" i="22"/>
  <c r="G15" i="7"/>
  <c r="G12" i="7" s="1"/>
  <c r="G71" i="22"/>
  <c r="G67" i="22" s="1"/>
  <c r="F71" i="22"/>
  <c r="F67" i="22" s="1"/>
  <c r="F55" i="22"/>
  <c r="F46" i="22" s="1"/>
  <c r="G46" i="22"/>
  <c r="G71" i="13"/>
  <c r="G67" i="13" s="1"/>
  <c r="G9" i="13" s="1"/>
  <c r="F71" i="13"/>
  <c r="F67" i="13" s="1"/>
  <c r="F57" i="13"/>
  <c r="F55" i="13" s="1"/>
  <c r="F46" i="13" s="1"/>
  <c r="G71" i="14"/>
  <c r="G67" i="14" s="1"/>
  <c r="F71" i="14"/>
  <c r="F67" i="14" s="1"/>
  <c r="F9" i="14"/>
  <c r="F71" i="23"/>
  <c r="F67" i="23" s="1"/>
  <c r="G72" i="23"/>
  <c r="G71" i="23" s="1"/>
  <c r="G67" i="23" s="1"/>
  <c r="G74" i="23"/>
  <c r="F55" i="23"/>
  <c r="F46" i="23" s="1"/>
  <c r="G81" i="16"/>
  <c r="G72" i="16"/>
  <c r="G71" i="16" s="1"/>
  <c r="G67" i="16" s="1"/>
  <c r="G74" i="16"/>
  <c r="F71" i="16"/>
  <c r="F67" i="16" s="1"/>
  <c r="F9" i="16" s="1"/>
  <c r="G81" i="17"/>
  <c r="H81" i="2"/>
  <c r="G74" i="17"/>
  <c r="G72" i="17"/>
  <c r="G71" i="17" s="1"/>
  <c r="G67" i="17" s="1"/>
  <c r="G74" i="2"/>
  <c r="F74" i="17"/>
  <c r="F72" i="17"/>
  <c r="F71" i="17" s="1"/>
  <c r="F67" i="17" s="1"/>
  <c r="G46" i="18"/>
  <c r="G9" i="18" s="1"/>
  <c r="F46" i="18"/>
  <c r="F9" i="18" s="1"/>
  <c r="F71" i="19"/>
  <c r="F67" i="19" s="1"/>
  <c r="G72" i="19"/>
  <c r="G71" i="19" s="1"/>
  <c r="G67" i="19" s="1"/>
  <c r="G74" i="19"/>
  <c r="H74" i="2"/>
  <c r="F74" i="19"/>
  <c r="F46" i="19"/>
  <c r="G46" i="19"/>
  <c r="G71" i="20"/>
  <c r="G67" i="20" s="1"/>
  <c r="F67" i="20"/>
  <c r="F9" i="20" s="1"/>
  <c r="H63" i="2"/>
  <c r="G57" i="20"/>
  <c r="G55" i="20" s="1"/>
  <c r="G46" i="20" s="1"/>
  <c r="F46" i="20"/>
  <c r="G51" i="2"/>
  <c r="G80" i="2"/>
  <c r="H75" i="2"/>
  <c r="G67" i="2"/>
  <c r="G63" i="2"/>
  <c r="G18" i="2"/>
  <c r="F71" i="15"/>
  <c r="F67" i="15" s="1"/>
  <c r="G57" i="15"/>
  <c r="G55" i="15" s="1"/>
  <c r="G46" i="15" s="1"/>
  <c r="F57" i="15"/>
  <c r="F55" i="15"/>
  <c r="F46" i="15" s="1"/>
  <c r="F15" i="15"/>
  <c r="F12" i="15" s="1"/>
  <c r="F11" i="15" s="1"/>
  <c r="G10" i="15"/>
  <c r="G15" i="15"/>
  <c r="G12" i="15" s="1"/>
  <c r="G11" i="15" s="1"/>
  <c r="F10" i="15"/>
  <c r="G73" i="21"/>
  <c r="G71" i="21" s="1"/>
  <c r="G67" i="21" s="1"/>
  <c r="F73" i="21"/>
  <c r="F71" i="21" s="1"/>
  <c r="F67" i="21" s="1"/>
  <c r="F9" i="21" s="1"/>
  <c r="G57" i="21"/>
  <c r="G55" i="21" s="1"/>
  <c r="G46" i="21" s="1"/>
  <c r="F57" i="21"/>
  <c r="F55" i="21" s="1"/>
  <c r="F46" i="21" s="1"/>
  <c r="G15" i="21"/>
  <c r="G12" i="21" s="1"/>
  <c r="G11" i="21" s="1"/>
  <c r="F15" i="21"/>
  <c r="F12" i="21" s="1"/>
  <c r="F11" i="21" s="1"/>
  <c r="G10" i="21"/>
  <c r="F10" i="21"/>
  <c r="G73" i="12"/>
  <c r="F73" i="12"/>
  <c r="F71" i="12" s="1"/>
  <c r="F67" i="12" s="1"/>
  <c r="G72" i="12"/>
  <c r="G74" i="12"/>
  <c r="F74" i="12"/>
  <c r="G57" i="12"/>
  <c r="G55" i="12" s="1"/>
  <c r="F55" i="12"/>
  <c r="F46" i="12" s="1"/>
  <c r="F15" i="12"/>
  <c r="F12" i="12" s="1"/>
  <c r="F11" i="12" s="1"/>
  <c r="G81" i="10"/>
  <c r="G74" i="10"/>
  <c r="G72" i="10"/>
  <c r="F71" i="10"/>
  <c r="F67" i="10" s="1"/>
  <c r="F55" i="10"/>
  <c r="F46" i="10" s="1"/>
  <c r="F9" i="10" s="1"/>
  <c r="G46" i="10"/>
  <c r="G15" i="10"/>
  <c r="G12" i="10" s="1"/>
  <c r="G11" i="10" s="1"/>
  <c r="F15" i="10"/>
  <c r="F10" i="10"/>
  <c r="G74" i="9"/>
  <c r="G72" i="9"/>
  <c r="G71" i="9" s="1"/>
  <c r="G67" i="9" s="1"/>
  <c r="G46" i="9"/>
  <c r="F46" i="9"/>
  <c r="F9" i="9" s="1"/>
  <c r="G11" i="9"/>
  <c r="F10" i="9"/>
  <c r="F15" i="9"/>
  <c r="F12" i="9" s="1"/>
  <c r="F11" i="9" s="1"/>
  <c r="G14" i="9"/>
  <c r="G10" i="9"/>
  <c r="F14" i="9"/>
  <c r="G72" i="8"/>
  <c r="F72" i="8"/>
  <c r="F71" i="8" s="1"/>
  <c r="F67" i="8" s="1"/>
  <c r="F74" i="8"/>
  <c r="F57" i="8"/>
  <c r="F56" i="8"/>
  <c r="G55" i="2" s="1"/>
  <c r="I55" i="2" s="1"/>
  <c r="G15" i="8"/>
  <c r="G12" i="8" s="1"/>
  <c r="G11" i="8" s="1"/>
  <c r="F15" i="8"/>
  <c r="F12" i="8" s="1"/>
  <c r="F11" i="8" s="1"/>
  <c r="F73" i="7"/>
  <c r="F71" i="7" s="1"/>
  <c r="F67" i="7" s="1"/>
  <c r="G67" i="7"/>
  <c r="F57" i="7"/>
  <c r="F55" i="7" s="1"/>
  <c r="F46" i="7" s="1"/>
  <c r="G46" i="7"/>
  <c r="F15" i="7"/>
  <c r="F10" i="7"/>
  <c r="G14" i="7"/>
  <c r="G73" i="6"/>
  <c r="G71" i="6" s="1"/>
  <c r="G67" i="6" s="1"/>
  <c r="F73" i="6"/>
  <c r="F71" i="6"/>
  <c r="F67" i="6" s="1"/>
  <c r="G46" i="6"/>
  <c r="F46" i="6"/>
  <c r="G15" i="6"/>
  <c r="G12" i="6" s="1"/>
  <c r="F15" i="6"/>
  <c r="F12" i="6" s="1"/>
  <c r="F10" i="6"/>
  <c r="F14" i="6"/>
  <c r="G72" i="2"/>
  <c r="E93" i="15"/>
  <c r="E93" i="21"/>
  <c r="E93" i="20"/>
  <c r="E93" i="19"/>
  <c r="E93" i="18"/>
  <c r="E93" i="17"/>
  <c r="E93" i="16"/>
  <c r="E93" i="23"/>
  <c r="E93" i="14"/>
  <c r="E93" i="13"/>
  <c r="E93" i="22"/>
  <c r="E93" i="12"/>
  <c r="E93" i="10"/>
  <c r="E93" i="9"/>
  <c r="E93" i="8"/>
  <c r="E93" i="7"/>
  <c r="E93" i="6"/>
  <c r="E92" i="21"/>
  <c r="E92" i="20"/>
  <c r="E92" i="18"/>
  <c r="E92" i="16"/>
  <c r="E92" i="15"/>
  <c r="E92" i="6"/>
  <c r="E91" i="21"/>
  <c r="E91" i="20"/>
  <c r="E91" i="19"/>
  <c r="E91" i="18"/>
  <c r="E91" i="16"/>
  <c r="E91" i="15"/>
  <c r="E91" i="23"/>
  <c r="E91" i="14"/>
  <c r="E91" i="13"/>
  <c r="E91" i="22"/>
  <c r="E91" i="12"/>
  <c r="E91" i="10"/>
  <c r="E91" i="9"/>
  <c r="E91" i="8"/>
  <c r="E91" i="7"/>
  <c r="E91" i="6"/>
  <c r="E90" i="6"/>
  <c r="E90" i="21"/>
  <c r="E89" i="6"/>
  <c r="E89" i="21"/>
  <c r="E90" i="20"/>
  <c r="E90" i="19"/>
  <c r="E90" i="18"/>
  <c r="E90" i="17"/>
  <c r="E90" i="16"/>
  <c r="E90" i="15"/>
  <c r="E90" i="23"/>
  <c r="E90" i="14"/>
  <c r="E90" i="13"/>
  <c r="E90" i="22"/>
  <c r="E90" i="12"/>
  <c r="E90" i="10"/>
  <c r="E90" i="9"/>
  <c r="E90" i="8"/>
  <c r="E90" i="7"/>
  <c r="E89" i="20"/>
  <c r="E89" i="19"/>
  <c r="E89" i="17"/>
  <c r="E89" i="16"/>
  <c r="E89" i="15"/>
  <c r="E89" i="23"/>
  <c r="E89" i="14"/>
  <c r="E89" i="13"/>
  <c r="E89" i="22"/>
  <c r="E89" i="12"/>
  <c r="E89" i="10"/>
  <c r="E89" i="9"/>
  <c r="E89" i="8"/>
  <c r="E89" i="7"/>
  <c r="E70" i="9"/>
  <c r="E50" i="21"/>
  <c r="E53" i="15"/>
  <c r="E39" i="6"/>
  <c r="E22" i="7"/>
  <c r="E92" i="14"/>
  <c r="E51" i="21"/>
  <c r="E50" i="7"/>
  <c r="E29" i="13"/>
  <c r="E29" i="22"/>
  <c r="M5" i="2"/>
  <c r="M4" i="2"/>
  <c r="A5" i="6"/>
  <c r="A5" i="7" s="1"/>
  <c r="A5" i="8" s="1"/>
  <c r="A5" i="9" s="1"/>
  <c r="A5" i="10" s="1"/>
  <c r="A5" i="12" s="1"/>
  <c r="A5" i="22" s="1"/>
  <c r="A5" i="13" s="1"/>
  <c r="A5" i="14" s="1"/>
  <c r="A5" i="23" s="1"/>
  <c r="A5" i="15" s="1"/>
  <c r="A5" i="16" s="1"/>
  <c r="A5" i="17" s="1"/>
  <c r="A5" i="18" s="1"/>
  <c r="A5" i="19" s="1"/>
  <c r="A5" i="20" s="1"/>
  <c r="A5" i="21" s="1"/>
  <c r="E87" i="2"/>
  <c r="E67" i="2"/>
  <c r="E45" i="6"/>
  <c r="D45" i="6"/>
  <c r="E45" i="7"/>
  <c r="D45" i="7"/>
  <c r="E45" i="8"/>
  <c r="D45" i="8"/>
  <c r="E45" i="9"/>
  <c r="D45" i="9"/>
  <c r="E45" i="10"/>
  <c r="D45" i="10"/>
  <c r="E45" i="12"/>
  <c r="D45" i="12"/>
  <c r="F40" i="2"/>
  <c r="F42" i="2" s="1"/>
  <c r="E42" i="2"/>
  <c r="E45" i="22"/>
  <c r="D45" i="22"/>
  <c r="E45" i="13"/>
  <c r="D45" i="13"/>
  <c r="E45" i="14"/>
  <c r="D45" i="14"/>
  <c r="E45" i="23"/>
  <c r="D45" i="23"/>
  <c r="E45" i="15"/>
  <c r="D45" i="15"/>
  <c r="E45" i="16"/>
  <c r="D45" i="16"/>
  <c r="E45" i="17"/>
  <c r="D45" i="17"/>
  <c r="E45" i="18"/>
  <c r="D45" i="18"/>
  <c r="E45" i="19"/>
  <c r="D45" i="19"/>
  <c r="E45" i="20"/>
  <c r="D45" i="20"/>
  <c r="D45" i="21"/>
  <c r="D42" i="23"/>
  <c r="D42" i="15"/>
  <c r="D42" i="16"/>
  <c r="D42" i="17"/>
  <c r="D42" i="18"/>
  <c r="D42" i="19"/>
  <c r="D42" i="20"/>
  <c r="D42" i="21"/>
  <c r="F37" i="2"/>
  <c r="F39" i="2" s="1"/>
  <c r="D37" i="2"/>
  <c r="D39" i="2" s="1"/>
  <c r="E42" i="21"/>
  <c r="E42" i="20"/>
  <c r="E42" i="19"/>
  <c r="E42" i="18"/>
  <c r="E42" i="17"/>
  <c r="E42" i="16"/>
  <c r="E42" i="15"/>
  <c r="E42" i="23"/>
  <c r="E42" i="14"/>
  <c r="E42" i="13"/>
  <c r="E42" i="22"/>
  <c r="E42" i="12"/>
  <c r="E42" i="10"/>
  <c r="E42" i="9"/>
  <c r="E42" i="8"/>
  <c r="E42" i="7"/>
  <c r="E42" i="6"/>
  <c r="E39" i="10"/>
  <c r="E39" i="9"/>
  <c r="E39" i="8"/>
  <c r="E39" i="7"/>
  <c r="D39" i="6"/>
  <c r="D39" i="12"/>
  <c r="E39" i="12"/>
  <c r="D39" i="22"/>
  <c r="E39" i="22"/>
  <c r="E8" i="2"/>
  <c r="E99" i="2"/>
  <c r="E98" i="2" s="1"/>
  <c r="E103" i="2"/>
  <c r="F103" i="2"/>
  <c r="D103" i="2"/>
  <c r="G9" i="17" l="1"/>
  <c r="G9" i="14"/>
  <c r="H80" i="2"/>
  <c r="G71" i="10"/>
  <c r="G67" i="10" s="1"/>
  <c r="G71" i="8"/>
  <c r="G67" i="8" s="1"/>
  <c r="G14" i="8"/>
  <c r="G11" i="7"/>
  <c r="F11" i="7"/>
  <c r="H11" i="7" s="1"/>
  <c r="H15" i="7"/>
  <c r="G9" i="19"/>
  <c r="F9" i="12"/>
  <c r="G9" i="10"/>
  <c r="H56" i="2"/>
  <c r="G56" i="2"/>
  <c r="G54" i="2" s="1"/>
  <c r="I54" i="2" s="1"/>
  <c r="G9" i="16"/>
  <c r="F9" i="23"/>
  <c r="G44" i="2"/>
  <c r="I44" i="2" s="1"/>
  <c r="G9" i="9"/>
  <c r="F9" i="6"/>
  <c r="H8" i="2"/>
  <c r="F10" i="18"/>
  <c r="G15" i="18"/>
  <c r="G12" i="18" s="1"/>
  <c r="G11" i="18" s="1"/>
  <c r="G10" i="18"/>
  <c r="F9" i="17"/>
  <c r="G15" i="16"/>
  <c r="G12" i="16" s="1"/>
  <c r="G11" i="16" s="1"/>
  <c r="G10" i="16"/>
  <c r="G14" i="12"/>
  <c r="G12" i="2"/>
  <c r="G9" i="2" s="1"/>
  <c r="G8" i="2" s="1"/>
  <c r="F14" i="12"/>
  <c r="F12" i="7"/>
  <c r="H12" i="7" s="1"/>
  <c r="G7" i="2"/>
  <c r="F11" i="6"/>
  <c r="G74" i="8"/>
  <c r="G71" i="2"/>
  <c r="G47" i="12"/>
  <c r="H45" i="2"/>
  <c r="H44" i="2" s="1"/>
  <c r="G9" i="22"/>
  <c r="F9" i="22"/>
  <c r="F9" i="13"/>
  <c r="G9" i="23"/>
  <c r="H71" i="2"/>
  <c r="G73" i="2"/>
  <c r="G70" i="2"/>
  <c r="F9" i="19"/>
  <c r="H73" i="2"/>
  <c r="G9" i="20"/>
  <c r="G9" i="21"/>
  <c r="H72" i="2"/>
  <c r="H11" i="2"/>
  <c r="H7" i="2"/>
  <c r="F9" i="15"/>
  <c r="G9" i="15"/>
  <c r="G71" i="12"/>
  <c r="G67" i="12" s="1"/>
  <c r="G46" i="12"/>
  <c r="G14" i="10"/>
  <c r="F12" i="10"/>
  <c r="F11" i="10" s="1"/>
  <c r="F14" i="10"/>
  <c r="F55" i="8"/>
  <c r="F46" i="8" s="1"/>
  <c r="F9" i="8" s="1"/>
  <c r="G56" i="8"/>
  <c r="F14" i="8"/>
  <c r="F9" i="7"/>
  <c r="G9" i="7"/>
  <c r="F14" i="7"/>
  <c r="H14" i="7" s="1"/>
  <c r="G9" i="6"/>
  <c r="G14" i="6"/>
  <c r="G11" i="6"/>
  <c r="E39" i="2"/>
  <c r="D76" i="7"/>
  <c r="D76" i="6"/>
  <c r="D83" i="7"/>
  <c r="G66" i="2" l="1"/>
  <c r="I66" i="2" s="1"/>
  <c r="I70" i="2"/>
  <c r="G55" i="8"/>
  <c r="G46" i="8" s="1"/>
  <c r="G9" i="8" s="1"/>
  <c r="H55" i="2"/>
  <c r="H54" i="2" s="1"/>
  <c r="H43" i="2" s="1"/>
  <c r="G43" i="2"/>
  <c r="G11" i="2"/>
  <c r="H70" i="2"/>
  <c r="H66" i="2" s="1"/>
  <c r="G9" i="12"/>
  <c r="E75" i="20"/>
  <c r="E75" i="21"/>
  <c r="E75" i="7"/>
  <c r="E72" i="7" s="1"/>
  <c r="D82" i="20"/>
  <c r="D75" i="20"/>
  <c r="D75" i="21"/>
  <c r="D75" i="16"/>
  <c r="D75" i="15"/>
  <c r="D74" i="2" s="1"/>
  <c r="D75" i="23"/>
  <c r="D75" i="14"/>
  <c r="D75" i="13"/>
  <c r="D75" i="22"/>
  <c r="D75" i="12"/>
  <c r="D75" i="10"/>
  <c r="D75" i="9"/>
  <c r="D75" i="8"/>
  <c r="D69" i="8"/>
  <c r="D69" i="6"/>
  <c r="D62" i="18"/>
  <c r="D61" i="10"/>
  <c r="D53" i="6"/>
  <c r="D53" i="8"/>
  <c r="D53" i="9"/>
  <c r="D53" i="10"/>
  <c r="D53" i="12"/>
  <c r="D50" i="22"/>
  <c r="D53" i="14"/>
  <c r="D53" i="23"/>
  <c r="D53" i="15"/>
  <c r="D53" i="16"/>
  <c r="D53" i="17"/>
  <c r="D54" i="19"/>
  <c r="D51" i="20"/>
  <c r="D51" i="21"/>
  <c r="G6" i="2" l="1"/>
  <c r="H6" i="2"/>
  <c r="D15" i="2"/>
  <c r="D93" i="6"/>
  <c r="D92" i="6"/>
  <c r="D91" i="13"/>
  <c r="D91" i="12"/>
  <c r="D91" i="10"/>
  <c r="D91" i="8"/>
  <c r="D91" i="7"/>
  <c r="D91" i="6"/>
  <c r="D90" i="10"/>
  <c r="D90" i="8"/>
  <c r="D90" i="6"/>
  <c r="D89" i="6"/>
  <c r="D80" i="9"/>
  <c r="D76" i="9" s="1"/>
  <c r="E83" i="6"/>
  <c r="E81" i="6" s="1"/>
  <c r="D83" i="6"/>
  <c r="D86" i="2"/>
  <c r="D82" i="2" s="1"/>
  <c r="D90" i="17"/>
  <c r="D93" i="23"/>
  <c r="D91" i="23"/>
  <c r="D90" i="23"/>
  <c r="D93" i="13"/>
  <c r="D90" i="13"/>
  <c r="D89" i="13"/>
  <c r="D93" i="12"/>
  <c r="D90" i="12"/>
  <c r="D89" i="12"/>
  <c r="D93" i="7"/>
  <c r="D89" i="7"/>
  <c r="E98" i="20" l="1"/>
  <c r="E98" i="13"/>
  <c r="E98" i="22"/>
  <c r="E98" i="9"/>
  <c r="E98" i="6"/>
  <c r="E18" i="19"/>
  <c r="D18" i="19"/>
  <c r="E20" i="19"/>
  <c r="E14" i="19" s="1"/>
  <c r="D20" i="19"/>
  <c r="D14" i="19" s="1"/>
  <c r="E29" i="19"/>
  <c r="D29" i="19"/>
  <c r="E18" i="20"/>
  <c r="D18" i="20"/>
  <c r="E20" i="20"/>
  <c r="E14" i="20" s="1"/>
  <c r="D20" i="20"/>
  <c r="D14" i="20" s="1"/>
  <c r="E29" i="20"/>
  <c r="D29" i="20"/>
  <c r="E20" i="21"/>
  <c r="E14" i="21" s="1"/>
  <c r="D20" i="21"/>
  <c r="D14" i="21" s="1"/>
  <c r="E29" i="21"/>
  <c r="D29" i="21"/>
  <c r="E36" i="21"/>
  <c r="D36" i="21"/>
  <c r="E36" i="20"/>
  <c r="D36" i="20"/>
  <c r="E39" i="20"/>
  <c r="D39" i="20"/>
  <c r="D34" i="2"/>
  <c r="E36" i="19"/>
  <c r="D36" i="19"/>
  <c r="E39" i="19"/>
  <c r="D39" i="19"/>
  <c r="E39" i="18"/>
  <c r="D39" i="18"/>
  <c r="E36" i="18"/>
  <c r="D36" i="18"/>
  <c r="D29" i="18"/>
  <c r="E29" i="18"/>
  <c r="E24" i="18"/>
  <c r="D24" i="18"/>
  <c r="D14" i="18"/>
  <c r="E20" i="18"/>
  <c r="E14" i="18" s="1"/>
  <c r="D20" i="18"/>
  <c r="D18" i="18"/>
  <c r="E18" i="21"/>
  <c r="D18" i="21"/>
  <c r="E20" i="17"/>
  <c r="E14" i="17" s="1"/>
  <c r="D20" i="17"/>
  <c r="D14" i="17" s="1"/>
  <c r="E24" i="17"/>
  <c r="D24" i="17"/>
  <c r="E27" i="17"/>
  <c r="D27" i="17"/>
  <c r="E27" i="21"/>
  <c r="D27" i="21"/>
  <c r="E29" i="17"/>
  <c r="D29" i="17"/>
  <c r="E36" i="17"/>
  <c r="D36" i="17"/>
  <c r="E39" i="21"/>
  <c r="D39" i="21"/>
  <c r="E39" i="17"/>
  <c r="D39" i="17"/>
  <c r="E18" i="16"/>
  <c r="D18" i="16"/>
  <c r="E20" i="16"/>
  <c r="E14" i="16" s="1"/>
  <c r="D20" i="16"/>
  <c r="D14" i="16" s="1"/>
  <c r="E24" i="16"/>
  <c r="D24" i="16"/>
  <c r="E27" i="16"/>
  <c r="D27" i="16"/>
  <c r="E29" i="16"/>
  <c r="D29" i="16"/>
  <c r="E36" i="16"/>
  <c r="D36" i="16"/>
  <c r="E39" i="16"/>
  <c r="D39" i="16"/>
  <c r="E14" i="15"/>
  <c r="D14" i="15"/>
  <c r="E20" i="15"/>
  <c r="D20" i="15"/>
  <c r="E24" i="15"/>
  <c r="D24" i="15"/>
  <c r="E27" i="15"/>
  <c r="D27" i="15"/>
  <c r="E29" i="15"/>
  <c r="D29" i="15"/>
  <c r="E36" i="15"/>
  <c r="D36" i="15"/>
  <c r="E39" i="15"/>
  <c r="D39" i="15"/>
  <c r="E18" i="23" l="1"/>
  <c r="D18" i="23"/>
  <c r="E20" i="23"/>
  <c r="E14" i="23" s="1"/>
  <c r="D20" i="23"/>
  <c r="D14" i="23" s="1"/>
  <c r="E29" i="23"/>
  <c r="D29" i="23"/>
  <c r="E36" i="23"/>
  <c r="D36" i="23"/>
  <c r="E39" i="23"/>
  <c r="D39" i="23"/>
  <c r="E18" i="14"/>
  <c r="D18" i="14"/>
  <c r="E20" i="14"/>
  <c r="E14" i="14" s="1"/>
  <c r="D20" i="14"/>
  <c r="D14" i="14" s="1"/>
  <c r="E29" i="14"/>
  <c r="D29" i="14"/>
  <c r="E36" i="14"/>
  <c r="D36" i="14"/>
  <c r="E39" i="14"/>
  <c r="D39" i="14"/>
  <c r="E18" i="13"/>
  <c r="D18" i="13"/>
  <c r="E20" i="13"/>
  <c r="E14" i="13" s="1"/>
  <c r="D20" i="13"/>
  <c r="D14" i="13" s="1"/>
  <c r="D29" i="13"/>
  <c r="E36" i="13"/>
  <c r="D36" i="13"/>
  <c r="E39" i="13"/>
  <c r="D39" i="13"/>
  <c r="D14" i="22"/>
  <c r="E18" i="22"/>
  <c r="D18" i="22"/>
  <c r="E20" i="22"/>
  <c r="E14" i="22" s="1"/>
  <c r="D20" i="22"/>
  <c r="E24" i="22"/>
  <c r="D24" i="22"/>
  <c r="E36" i="22"/>
  <c r="D36" i="22"/>
  <c r="D19" i="22"/>
  <c r="D21" i="22" l="1"/>
  <c r="D36" i="2"/>
  <c r="D21" i="2"/>
  <c r="D24" i="2"/>
  <c r="E36" i="12"/>
  <c r="E30" i="12" s="1"/>
  <c r="D36" i="12"/>
  <c r="D30" i="12" s="1"/>
  <c r="E18" i="12"/>
  <c r="D18" i="12"/>
  <c r="E24" i="12"/>
  <c r="D24" i="12"/>
  <c r="E27" i="12"/>
  <c r="D27" i="12"/>
  <c r="E18" i="10"/>
  <c r="D18" i="10"/>
  <c r="E24" i="10"/>
  <c r="E21" i="10" s="1"/>
  <c r="D24" i="10"/>
  <c r="E27" i="10"/>
  <c r="D27" i="10"/>
  <c r="E36" i="10"/>
  <c r="E30" i="10" s="1"/>
  <c r="D36" i="10"/>
  <c r="D30" i="10" s="1"/>
  <c r="E36" i="9"/>
  <c r="E30" i="9" s="1"/>
  <c r="D36" i="9"/>
  <c r="D30" i="9" s="1"/>
  <c r="E18" i="9"/>
  <c r="D18" i="9"/>
  <c r="E24" i="9"/>
  <c r="D24" i="9"/>
  <c r="E27" i="9"/>
  <c r="D27" i="9"/>
  <c r="E36" i="8"/>
  <c r="E30" i="8" s="1"/>
  <c r="D36" i="8"/>
  <c r="D30" i="8" s="1"/>
  <c r="D36" i="7"/>
  <c r="D30" i="7" s="1"/>
  <c r="E18" i="8"/>
  <c r="D18" i="8"/>
  <c r="E24" i="8"/>
  <c r="E27" i="8"/>
  <c r="D24" i="8"/>
  <c r="D27" i="8"/>
  <c r="D27" i="7"/>
  <c r="D24" i="7"/>
  <c r="D24" i="6"/>
  <c r="E24" i="7"/>
  <c r="E27" i="7"/>
  <c r="E18" i="7"/>
  <c r="D18" i="7"/>
  <c r="D18" i="6"/>
  <c r="E36" i="7"/>
  <c r="E30" i="7" s="1"/>
  <c r="E36" i="6"/>
  <c r="E30" i="6" s="1"/>
  <c r="D36" i="6"/>
  <c r="D30" i="6" s="1"/>
  <c r="D28" i="6"/>
  <c r="E18" i="6"/>
  <c r="D19" i="6"/>
  <c r="E19" i="6"/>
  <c r="E24" i="6"/>
  <c r="D27" i="6"/>
  <c r="E27" i="6"/>
  <c r="E21" i="12" l="1"/>
  <c r="E15" i="12" s="1"/>
  <c r="E21" i="7"/>
  <c r="E15" i="7" s="1"/>
  <c r="E15" i="10"/>
  <c r="E12" i="10" s="1"/>
  <c r="E11" i="10" s="1"/>
  <c r="D21" i="9"/>
  <c r="D15" i="9" s="1"/>
  <c r="D12" i="9" s="1"/>
  <c r="D11" i="9" s="1"/>
  <c r="D21" i="7"/>
  <c r="D15" i="7" s="1"/>
  <c r="D11" i="7" s="1"/>
  <c r="D29" i="6"/>
  <c r="D21" i="10"/>
  <c r="D15" i="10"/>
  <c r="D12" i="10" s="1"/>
  <c r="D11" i="10" s="1"/>
  <c r="E21" i="8"/>
  <c r="E15" i="8" s="1"/>
  <c r="E12" i="8" s="1"/>
  <c r="E11" i="8" s="1"/>
  <c r="D18" i="2"/>
  <c r="D12" i="2" s="1"/>
  <c r="D21" i="12"/>
  <c r="D15" i="12" s="1"/>
  <c r="D12" i="12" s="1"/>
  <c r="D11" i="12" s="1"/>
  <c r="E21" i="9"/>
  <c r="E15" i="9" s="1"/>
  <c r="E12" i="9" s="1"/>
  <c r="E11" i="9" s="1"/>
  <c r="D21" i="8"/>
  <c r="D15" i="8" s="1"/>
  <c r="D12" i="8" s="1"/>
  <c r="D11" i="8" s="1"/>
  <c r="E21" i="6"/>
  <c r="E20" i="6" s="1"/>
  <c r="D21" i="6"/>
  <c r="D15" i="6" s="1"/>
  <c r="D12" i="7" l="1"/>
  <c r="E15" i="6"/>
  <c r="D12" i="6"/>
  <c r="D11" i="6"/>
  <c r="E12" i="7"/>
  <c r="E11" i="7"/>
  <c r="D9" i="2"/>
  <c r="E12" i="12"/>
  <c r="E11" i="12" s="1"/>
  <c r="E12" i="6" l="1"/>
  <c r="E11" i="6"/>
  <c r="D49" i="6"/>
  <c r="E53" i="21"/>
  <c r="E53" i="20"/>
  <c r="E53" i="19"/>
  <c r="E53" i="18"/>
  <c r="E53" i="17"/>
  <c r="E53" i="16"/>
  <c r="E53" i="23"/>
  <c r="E53" i="14"/>
  <c r="E53" i="13"/>
  <c r="E53" i="22"/>
  <c r="E53" i="12"/>
  <c r="E53" i="10"/>
  <c r="E53" i="9"/>
  <c r="E53" i="7"/>
  <c r="D53" i="2"/>
  <c r="D52" i="2"/>
  <c r="E49" i="6"/>
  <c r="D45" i="2"/>
  <c r="D48" i="2"/>
  <c r="D47" i="2"/>
  <c r="D102" i="2"/>
  <c r="D49" i="2" l="1"/>
  <c r="D51" i="2" s="1"/>
  <c r="D31" i="2" l="1"/>
  <c r="D33" i="2" s="1"/>
  <c r="D27" i="2" s="1"/>
  <c r="D8" i="2" s="1"/>
  <c r="F31" i="2"/>
  <c r="F33" i="2" s="1"/>
  <c r="F27" i="2" s="1"/>
  <c r="D28" i="2"/>
  <c r="F28" i="2"/>
  <c r="D99" i="2"/>
  <c r="D96" i="2"/>
  <c r="F88" i="2"/>
  <c r="E76" i="6"/>
  <c r="D78" i="2"/>
  <c r="D77" i="2"/>
  <c r="D76" i="2"/>
  <c r="D81" i="2"/>
  <c r="D79" i="2"/>
  <c r="D71" i="2" l="1"/>
  <c r="D75" i="2"/>
  <c r="D72" i="2" s="1"/>
  <c r="D98" i="2"/>
  <c r="D70" i="2" l="1"/>
  <c r="D72" i="9"/>
  <c r="E69" i="12"/>
  <c r="E69" i="8"/>
  <c r="D69" i="2"/>
  <c r="D68" i="2"/>
  <c r="D67" i="2" l="1"/>
  <c r="D94" i="2"/>
  <c r="D93" i="2"/>
  <c r="D91" i="2"/>
  <c r="D89" i="2"/>
  <c r="D88" i="2" l="1"/>
  <c r="D87" i="2" s="1"/>
  <c r="D65" i="2" l="1"/>
  <c r="D64" i="2"/>
  <c r="D62" i="2"/>
  <c r="D61" i="2"/>
  <c r="D59" i="2"/>
  <c r="D58" i="2"/>
  <c r="D55" i="2"/>
  <c r="D57" i="2" l="1"/>
  <c r="D60" i="2"/>
  <c r="D56" i="2" l="1"/>
  <c r="E47" i="6" l="1"/>
  <c r="F13" i="2" l="1"/>
  <c r="F99" i="2"/>
  <c r="F102" i="2"/>
  <c r="F96" i="2"/>
  <c r="F95" i="2" s="1"/>
  <c r="F89" i="2"/>
  <c r="F91" i="2"/>
  <c r="F93" i="2"/>
  <c r="F94" i="2"/>
  <c r="F83" i="2"/>
  <c r="F84" i="2"/>
  <c r="F85" i="2"/>
  <c r="F86" i="2"/>
  <c r="F76" i="2"/>
  <c r="F77" i="2"/>
  <c r="F78" i="2"/>
  <c r="F79" i="2"/>
  <c r="F68" i="2"/>
  <c r="F69" i="2"/>
  <c r="F64" i="2"/>
  <c r="F65" i="2"/>
  <c r="F61" i="2"/>
  <c r="F62" i="2"/>
  <c r="F59" i="2"/>
  <c r="F58" i="2"/>
  <c r="F52" i="2"/>
  <c r="F53" i="2"/>
  <c r="F48" i="2"/>
  <c r="F47" i="2"/>
  <c r="F25" i="2"/>
  <c r="F34" i="2"/>
  <c r="F22" i="2"/>
  <c r="F24" i="2" l="1"/>
  <c r="F16" i="2"/>
  <c r="F15" i="2"/>
  <c r="I13" i="2"/>
  <c r="F75" i="2"/>
  <c r="F87" i="2"/>
  <c r="F67" i="2"/>
  <c r="F36" i="2"/>
  <c r="F26" i="2"/>
  <c r="F82" i="2"/>
  <c r="F49" i="2"/>
  <c r="F51" i="2" s="1"/>
  <c r="F63" i="2"/>
  <c r="F60" i="2"/>
  <c r="F46" i="2"/>
  <c r="F19" i="2" l="1"/>
  <c r="E96" i="23"/>
  <c r="D96" i="23"/>
  <c r="E94" i="23"/>
  <c r="D94" i="23"/>
  <c r="E88" i="23"/>
  <c r="D88" i="23"/>
  <c r="E81" i="23"/>
  <c r="D83" i="23"/>
  <c r="D76" i="23"/>
  <c r="E75" i="23" s="1"/>
  <c r="D72" i="23"/>
  <c r="E68" i="23"/>
  <c r="D68" i="23"/>
  <c r="D64" i="23"/>
  <c r="E61" i="23"/>
  <c r="D61" i="23"/>
  <c r="E58" i="23"/>
  <c r="E56" i="23" s="1"/>
  <c r="D58" i="23"/>
  <c r="E52" i="23"/>
  <c r="D52" i="23"/>
  <c r="E49" i="23"/>
  <c r="D49" i="23"/>
  <c r="E28" i="23"/>
  <c r="E30" i="23" s="1"/>
  <c r="D28" i="23"/>
  <c r="D30" i="23" s="1"/>
  <c r="E19" i="23"/>
  <c r="D19" i="23"/>
  <c r="E96" i="22"/>
  <c r="D96" i="22"/>
  <c r="E94" i="22"/>
  <c r="D94" i="22"/>
  <c r="E88" i="22"/>
  <c r="D88" i="22"/>
  <c r="E81" i="22"/>
  <c r="D83" i="22"/>
  <c r="E76" i="22"/>
  <c r="D76" i="22"/>
  <c r="E75" i="22" s="1"/>
  <c r="D72" i="22"/>
  <c r="E68" i="22"/>
  <c r="D68" i="22"/>
  <c r="E64" i="22"/>
  <c r="D64" i="22"/>
  <c r="E61" i="22"/>
  <c r="D61" i="22"/>
  <c r="E58" i="22"/>
  <c r="E56" i="22" s="1"/>
  <c r="D58" i="22"/>
  <c r="E52" i="22"/>
  <c r="D52" i="22"/>
  <c r="E49" i="22"/>
  <c r="D49" i="22"/>
  <c r="E28" i="22"/>
  <c r="E30" i="22" s="1"/>
  <c r="D28" i="22"/>
  <c r="D30" i="22" s="1"/>
  <c r="E19" i="22"/>
  <c r="D13" i="22"/>
  <c r="D15" i="22" s="1"/>
  <c r="D12" i="22" s="1"/>
  <c r="E96" i="21"/>
  <c r="D96" i="21"/>
  <c r="E94" i="21"/>
  <c r="D94" i="21"/>
  <c r="E88" i="21"/>
  <c r="D88" i="21"/>
  <c r="D83" i="21"/>
  <c r="D76" i="21"/>
  <c r="D72" i="21"/>
  <c r="E68" i="21"/>
  <c r="D68" i="21"/>
  <c r="E64" i="21"/>
  <c r="D64" i="21"/>
  <c r="E61" i="21"/>
  <c r="D61" i="21"/>
  <c r="D58" i="21"/>
  <c r="E52" i="21"/>
  <c r="D52" i="21"/>
  <c r="E49" i="21"/>
  <c r="D49" i="21"/>
  <c r="E48" i="21" s="1"/>
  <c r="E28" i="21"/>
  <c r="E30" i="21" s="1"/>
  <c r="D28" i="21"/>
  <c r="D30" i="21" s="1"/>
  <c r="E19" i="21"/>
  <c r="D19" i="21"/>
  <c r="E96" i="20"/>
  <c r="D96" i="20"/>
  <c r="E94" i="20"/>
  <c r="D94" i="20"/>
  <c r="E88" i="20"/>
  <c r="D88" i="20"/>
  <c r="D83" i="20"/>
  <c r="D76" i="20"/>
  <c r="D72" i="20"/>
  <c r="E68" i="20"/>
  <c r="D68" i="20"/>
  <c r="E64" i="20"/>
  <c r="D64" i="20"/>
  <c r="E61" i="20"/>
  <c r="D61" i="20"/>
  <c r="E58" i="20"/>
  <c r="E56" i="20" s="1"/>
  <c r="D58" i="20"/>
  <c r="E52" i="20"/>
  <c r="D52" i="20"/>
  <c r="E49" i="20"/>
  <c r="D49" i="20"/>
  <c r="E48" i="20" s="1"/>
  <c r="E28" i="20"/>
  <c r="E30" i="20" s="1"/>
  <c r="D28" i="20"/>
  <c r="D30" i="20" s="1"/>
  <c r="E19" i="20"/>
  <c r="D19" i="20"/>
  <c r="E96" i="19"/>
  <c r="D96" i="19"/>
  <c r="E94" i="19"/>
  <c r="D94" i="19"/>
  <c r="E88" i="19"/>
  <c r="D88" i="19"/>
  <c r="E83" i="19"/>
  <c r="D83" i="19"/>
  <c r="D76" i="19"/>
  <c r="D72" i="19"/>
  <c r="E68" i="19"/>
  <c r="D68" i="19"/>
  <c r="E64" i="19"/>
  <c r="D64" i="19"/>
  <c r="E61" i="19"/>
  <c r="D61" i="19"/>
  <c r="E58" i="19"/>
  <c r="D58" i="19"/>
  <c r="E52" i="19"/>
  <c r="D52" i="19"/>
  <c r="E49" i="19"/>
  <c r="D49" i="19"/>
  <c r="E48" i="19" s="1"/>
  <c r="D47" i="19"/>
  <c r="E28" i="19"/>
  <c r="E30" i="19" s="1"/>
  <c r="D28" i="19"/>
  <c r="D30" i="19" s="1"/>
  <c r="E19" i="19"/>
  <c r="D19" i="19"/>
  <c r="E96" i="18"/>
  <c r="D96" i="18"/>
  <c r="D94" i="18"/>
  <c r="E88" i="18"/>
  <c r="D88" i="18"/>
  <c r="D83" i="18"/>
  <c r="E82" i="18" s="1"/>
  <c r="D76" i="18"/>
  <c r="D72" i="18"/>
  <c r="E68" i="18"/>
  <c r="D68" i="18"/>
  <c r="E64" i="18"/>
  <c r="D64" i="18"/>
  <c r="E61" i="18"/>
  <c r="D61" i="18"/>
  <c r="E56" i="18"/>
  <c r="D58" i="18"/>
  <c r="E52" i="18"/>
  <c r="D52" i="18"/>
  <c r="E49" i="18"/>
  <c r="D49" i="18"/>
  <c r="E28" i="18"/>
  <c r="E30" i="18" s="1"/>
  <c r="D28" i="18"/>
  <c r="D30" i="18" s="1"/>
  <c r="E19" i="18"/>
  <c r="D19" i="18"/>
  <c r="E96" i="17"/>
  <c r="D96" i="17"/>
  <c r="E94" i="17"/>
  <c r="D94" i="17"/>
  <c r="E88" i="17"/>
  <c r="D88" i="17"/>
  <c r="D83" i="17"/>
  <c r="D76" i="17"/>
  <c r="D72" i="17"/>
  <c r="E68" i="17"/>
  <c r="D68" i="17"/>
  <c r="E64" i="17"/>
  <c r="D64" i="17"/>
  <c r="D61" i="17"/>
  <c r="E56" i="17"/>
  <c r="D58" i="17"/>
  <c r="E52" i="17"/>
  <c r="D52" i="17"/>
  <c r="E49" i="17"/>
  <c r="D49" i="17"/>
  <c r="E48" i="17" s="1"/>
  <c r="E28" i="17"/>
  <c r="E30" i="17" s="1"/>
  <c r="D28" i="17"/>
  <c r="D30" i="17" s="1"/>
  <c r="E19" i="17"/>
  <c r="D19" i="17"/>
  <c r="E96" i="16"/>
  <c r="D96" i="16"/>
  <c r="E94" i="16"/>
  <c r="D94" i="16"/>
  <c r="E88" i="16"/>
  <c r="D88" i="16"/>
  <c r="D83" i="16"/>
  <c r="D76" i="16"/>
  <c r="D72" i="16"/>
  <c r="E68" i="16"/>
  <c r="D68" i="16"/>
  <c r="E64" i="16"/>
  <c r="D64" i="16"/>
  <c r="E61" i="16"/>
  <c r="D61" i="16"/>
  <c r="D58" i="16"/>
  <c r="E52" i="16"/>
  <c r="D52" i="16"/>
  <c r="E49" i="16"/>
  <c r="D49" i="16"/>
  <c r="E28" i="16"/>
  <c r="E30" i="16" s="1"/>
  <c r="D28" i="16"/>
  <c r="D30" i="16" s="1"/>
  <c r="E19" i="16"/>
  <c r="D19" i="16"/>
  <c r="E96" i="15"/>
  <c r="D96" i="15"/>
  <c r="E94" i="15"/>
  <c r="D94" i="15"/>
  <c r="E88" i="15"/>
  <c r="D88" i="15"/>
  <c r="E81" i="15"/>
  <c r="D83" i="15"/>
  <c r="D76" i="15"/>
  <c r="D72" i="15"/>
  <c r="E68" i="15"/>
  <c r="D68" i="15"/>
  <c r="E64" i="15"/>
  <c r="D64" i="15"/>
  <c r="E61" i="15"/>
  <c r="D61" i="15"/>
  <c r="E58" i="15"/>
  <c r="E56" i="15" s="1"/>
  <c r="D58" i="15"/>
  <c r="E52" i="15"/>
  <c r="D52" i="15"/>
  <c r="E49" i="15"/>
  <c r="D49" i="15"/>
  <c r="E28" i="15"/>
  <c r="E30" i="15" s="1"/>
  <c r="D28" i="15"/>
  <c r="D30" i="15" s="1"/>
  <c r="E19" i="15"/>
  <c r="D19" i="15"/>
  <c r="E96" i="14"/>
  <c r="D96" i="14"/>
  <c r="E94" i="14"/>
  <c r="D94" i="14"/>
  <c r="E88" i="14"/>
  <c r="D88" i="14"/>
  <c r="E81" i="14"/>
  <c r="D83" i="14"/>
  <c r="D76" i="14"/>
  <c r="D72" i="14"/>
  <c r="D68" i="14"/>
  <c r="E64" i="14"/>
  <c r="D64" i="14"/>
  <c r="E61" i="14"/>
  <c r="D61" i="14"/>
  <c r="E58" i="14"/>
  <c r="D58" i="14"/>
  <c r="E52" i="14"/>
  <c r="D52" i="14"/>
  <c r="E49" i="14"/>
  <c r="D49" i="14"/>
  <c r="E28" i="14"/>
  <c r="E30" i="14" s="1"/>
  <c r="D28" i="14"/>
  <c r="D30" i="14" s="1"/>
  <c r="E19" i="14"/>
  <c r="D19" i="14"/>
  <c r="E96" i="13"/>
  <c r="D96" i="13"/>
  <c r="E94" i="13"/>
  <c r="D94" i="13"/>
  <c r="E88" i="13"/>
  <c r="D88" i="13"/>
  <c r="E81" i="13"/>
  <c r="D83" i="13"/>
  <c r="D76" i="13"/>
  <c r="D72" i="13"/>
  <c r="E68" i="13"/>
  <c r="D68" i="13"/>
  <c r="E64" i="13"/>
  <c r="D64" i="13"/>
  <c r="E61" i="13"/>
  <c r="D61" i="13"/>
  <c r="E58" i="13"/>
  <c r="D58" i="13"/>
  <c r="E52" i="13"/>
  <c r="D52" i="13"/>
  <c r="E49" i="13"/>
  <c r="D49" i="13"/>
  <c r="E28" i="13"/>
  <c r="E30" i="13" s="1"/>
  <c r="D28" i="13"/>
  <c r="D30" i="13" s="1"/>
  <c r="E19" i="13"/>
  <c r="D19" i="13"/>
  <c r="E96" i="12"/>
  <c r="D96" i="12"/>
  <c r="E94" i="12"/>
  <c r="D94" i="12"/>
  <c r="E88" i="12"/>
  <c r="D88" i="12"/>
  <c r="D83" i="12"/>
  <c r="D76" i="12"/>
  <c r="D72" i="12"/>
  <c r="E68" i="12"/>
  <c r="D68" i="12"/>
  <c r="E64" i="12"/>
  <c r="D64" i="12"/>
  <c r="E61" i="12"/>
  <c r="D61" i="12"/>
  <c r="E58" i="12"/>
  <c r="D58" i="12"/>
  <c r="E52" i="12"/>
  <c r="D52" i="12"/>
  <c r="E49" i="12"/>
  <c r="D49" i="12"/>
  <c r="E28" i="12"/>
  <c r="E29" i="12" s="1"/>
  <c r="D28" i="12"/>
  <c r="D29" i="12" s="1"/>
  <c r="E19" i="12"/>
  <c r="D19" i="12"/>
  <c r="D13" i="12" s="1"/>
  <c r="E96" i="10"/>
  <c r="D96" i="10"/>
  <c r="E94" i="10"/>
  <c r="D94" i="10"/>
  <c r="E88" i="10"/>
  <c r="D88" i="10"/>
  <c r="D83" i="10"/>
  <c r="D76" i="10"/>
  <c r="D72" i="10"/>
  <c r="E68" i="10"/>
  <c r="D68" i="10"/>
  <c r="E64" i="10"/>
  <c r="D64" i="10"/>
  <c r="E61" i="10"/>
  <c r="E58" i="10"/>
  <c r="D58" i="10"/>
  <c r="E52" i="10"/>
  <c r="D52" i="10"/>
  <c r="E49" i="10"/>
  <c r="D49" i="10"/>
  <c r="E28" i="10"/>
  <c r="E29" i="10" s="1"/>
  <c r="D28" i="10"/>
  <c r="D29" i="10" s="1"/>
  <c r="E19" i="10"/>
  <c r="D19" i="10"/>
  <c r="D13" i="10" s="1"/>
  <c r="D96" i="9"/>
  <c r="E94" i="9"/>
  <c r="D94" i="9"/>
  <c r="E88" i="9"/>
  <c r="D88" i="9"/>
  <c r="D83" i="9"/>
  <c r="E76" i="9"/>
  <c r="E68" i="9"/>
  <c r="D68" i="9"/>
  <c r="E64" i="9"/>
  <c r="D64" i="9"/>
  <c r="E61" i="9"/>
  <c r="D61" i="9"/>
  <c r="E58" i="9"/>
  <c r="D58" i="9"/>
  <c r="D52" i="9"/>
  <c r="E49" i="9"/>
  <c r="D49" i="9"/>
  <c r="E28" i="9"/>
  <c r="E29" i="9" s="1"/>
  <c r="D28" i="9"/>
  <c r="D29" i="9" s="1"/>
  <c r="E19" i="9"/>
  <c r="D19" i="9"/>
  <c r="D13" i="9" s="1"/>
  <c r="E96" i="8"/>
  <c r="D96" i="8"/>
  <c r="E94" i="8"/>
  <c r="D94" i="8"/>
  <c r="D88" i="8"/>
  <c r="E83" i="8"/>
  <c r="D83" i="8"/>
  <c r="D76" i="8"/>
  <c r="E75" i="8" s="1"/>
  <c r="D72" i="8"/>
  <c r="E68" i="8"/>
  <c r="D68" i="8"/>
  <c r="E64" i="8"/>
  <c r="D64" i="8"/>
  <c r="E61" i="8"/>
  <c r="D61" i="8"/>
  <c r="E58" i="8"/>
  <c r="E56" i="8" s="1"/>
  <c r="D58" i="8"/>
  <c r="E52" i="8"/>
  <c r="D52" i="8"/>
  <c r="E49" i="8"/>
  <c r="D49" i="8"/>
  <c r="E28" i="8"/>
  <c r="E29" i="8" s="1"/>
  <c r="D28" i="8"/>
  <c r="D29" i="8" s="1"/>
  <c r="E19" i="8"/>
  <c r="D19" i="8"/>
  <c r="D13" i="8" s="1"/>
  <c r="F21" i="2" l="1"/>
  <c r="F18" i="2" s="1"/>
  <c r="D57" i="20"/>
  <c r="D55" i="20" s="1"/>
  <c r="E47" i="19"/>
  <c r="D47" i="17"/>
  <c r="D11" i="22"/>
  <c r="E13" i="22"/>
  <c r="E21" i="22"/>
  <c r="E13" i="23"/>
  <c r="E15" i="23" s="1"/>
  <c r="E12" i="23" s="1"/>
  <c r="E11" i="23" s="1"/>
  <c r="E21" i="23"/>
  <c r="D13" i="23"/>
  <c r="D15" i="23" s="1"/>
  <c r="D12" i="23" s="1"/>
  <c r="D11" i="23" s="1"/>
  <c r="D21" i="23"/>
  <c r="D47" i="23"/>
  <c r="D73" i="23"/>
  <c r="D71" i="23" s="1"/>
  <c r="D67" i="23" s="1"/>
  <c r="D13" i="16"/>
  <c r="D15" i="16" s="1"/>
  <c r="D12" i="16" s="1"/>
  <c r="D11" i="16" s="1"/>
  <c r="D21" i="16"/>
  <c r="E13" i="16"/>
  <c r="E21" i="16"/>
  <c r="D13" i="17"/>
  <c r="D15" i="17" s="1"/>
  <c r="D12" i="17" s="1"/>
  <c r="D11" i="17" s="1"/>
  <c r="D21" i="17"/>
  <c r="E13" i="17"/>
  <c r="E15" i="17" s="1"/>
  <c r="E12" i="17" s="1"/>
  <c r="E11" i="17" s="1"/>
  <c r="E21" i="17"/>
  <c r="D57" i="17"/>
  <c r="D55" i="17" s="1"/>
  <c r="D46" i="17" s="1"/>
  <c r="D13" i="18"/>
  <c r="D15" i="18" s="1"/>
  <c r="D12" i="18" s="1"/>
  <c r="D11" i="18" s="1"/>
  <c r="D21" i="18"/>
  <c r="E13" i="18"/>
  <c r="E10" i="18" s="1"/>
  <c r="E21" i="18"/>
  <c r="D73" i="18"/>
  <c r="D71" i="18" s="1"/>
  <c r="D67" i="18" s="1"/>
  <c r="D13" i="19"/>
  <c r="D15" i="19" s="1"/>
  <c r="D12" i="19" s="1"/>
  <c r="D11" i="19" s="1"/>
  <c r="D21" i="19"/>
  <c r="E13" i="19"/>
  <c r="E15" i="19" s="1"/>
  <c r="E12" i="19" s="1"/>
  <c r="E11" i="19" s="1"/>
  <c r="E21" i="19"/>
  <c r="E47" i="20"/>
  <c r="D13" i="20"/>
  <c r="D15" i="20" s="1"/>
  <c r="D12" i="20" s="1"/>
  <c r="D11" i="20" s="1"/>
  <c r="D21" i="20"/>
  <c r="E13" i="20"/>
  <c r="E21" i="20"/>
  <c r="D13" i="21"/>
  <c r="D15" i="21" s="1"/>
  <c r="D12" i="21" s="1"/>
  <c r="D11" i="21" s="1"/>
  <c r="D21" i="21"/>
  <c r="E13" i="21"/>
  <c r="E15" i="21" s="1"/>
  <c r="E12" i="21" s="1"/>
  <c r="E11" i="21" s="1"/>
  <c r="E21" i="21"/>
  <c r="D47" i="21"/>
  <c r="D73" i="19"/>
  <c r="D71" i="19" s="1"/>
  <c r="D67" i="19" s="1"/>
  <c r="E47" i="21"/>
  <c r="D73" i="21"/>
  <c r="D71" i="21" s="1"/>
  <c r="D67" i="21" s="1"/>
  <c r="D57" i="21"/>
  <c r="D55" i="21" s="1"/>
  <c r="D47" i="20"/>
  <c r="D46" i="20" s="1"/>
  <c r="D57" i="19"/>
  <c r="D55" i="19" s="1"/>
  <c r="D46" i="19" s="1"/>
  <c r="D47" i="18"/>
  <c r="E47" i="18"/>
  <c r="E47" i="17"/>
  <c r="D57" i="16"/>
  <c r="D55" i="16" s="1"/>
  <c r="E13" i="15"/>
  <c r="E15" i="15" s="1"/>
  <c r="E12" i="15" s="1"/>
  <c r="E11" i="15" s="1"/>
  <c r="E21" i="15"/>
  <c r="D13" i="15"/>
  <c r="D21" i="15"/>
  <c r="D73" i="15"/>
  <c r="D71" i="15" s="1"/>
  <c r="D67" i="15" s="1"/>
  <c r="D57" i="15"/>
  <c r="D55" i="15" s="1"/>
  <c r="D74" i="23"/>
  <c r="E57" i="23"/>
  <c r="E55" i="23" s="1"/>
  <c r="D57" i="23"/>
  <c r="D55" i="23" s="1"/>
  <c r="E13" i="14"/>
  <c r="E15" i="14" s="1"/>
  <c r="E12" i="14" s="1"/>
  <c r="E11" i="14" s="1"/>
  <c r="E21" i="14"/>
  <c r="D13" i="14"/>
  <c r="D15" i="14" s="1"/>
  <c r="D12" i="14" s="1"/>
  <c r="D11" i="14" s="1"/>
  <c r="D21" i="14"/>
  <c r="D57" i="14"/>
  <c r="D55" i="14" s="1"/>
  <c r="E13" i="13"/>
  <c r="E21" i="13"/>
  <c r="D13" i="13"/>
  <c r="D21" i="13"/>
  <c r="E47" i="13"/>
  <c r="D73" i="13"/>
  <c r="D71" i="13" s="1"/>
  <c r="D67" i="13" s="1"/>
  <c r="E74" i="13"/>
  <c r="D57" i="13"/>
  <c r="D55" i="13" s="1"/>
  <c r="D57" i="22"/>
  <c r="D55" i="22" s="1"/>
  <c r="D81" i="15"/>
  <c r="D47" i="22"/>
  <c r="E48" i="22"/>
  <c r="E47" i="22" s="1"/>
  <c r="D47" i="13"/>
  <c r="E57" i="13"/>
  <c r="E56" i="13"/>
  <c r="D81" i="13"/>
  <c r="D81" i="14"/>
  <c r="D74" i="15"/>
  <c r="E75" i="15"/>
  <c r="E74" i="15" s="1"/>
  <c r="D74" i="14"/>
  <c r="D47" i="16"/>
  <c r="E48" i="16"/>
  <c r="E47" i="16" s="1"/>
  <c r="D57" i="18"/>
  <c r="D55" i="18" s="1"/>
  <c r="D73" i="22"/>
  <c r="D71" i="22" s="1"/>
  <c r="D67" i="22" s="1"/>
  <c r="D81" i="18"/>
  <c r="D74" i="20"/>
  <c r="D74" i="22"/>
  <c r="D81" i="22"/>
  <c r="E13" i="10"/>
  <c r="E20" i="10"/>
  <c r="D47" i="15"/>
  <c r="E48" i="15"/>
  <c r="D81" i="17"/>
  <c r="E82" i="17"/>
  <c r="E57" i="19"/>
  <c r="E55" i="19" s="1"/>
  <c r="E46" i="19" s="1"/>
  <c r="E57" i="20"/>
  <c r="E55" i="20" s="1"/>
  <c r="D81" i="20"/>
  <c r="E81" i="20"/>
  <c r="D81" i="21"/>
  <c r="E74" i="22"/>
  <c r="D47" i="14"/>
  <c r="E48" i="14"/>
  <c r="D81" i="16"/>
  <c r="D74" i="17"/>
  <c r="E75" i="17"/>
  <c r="E74" i="17" s="1"/>
  <c r="D74" i="18"/>
  <c r="D81" i="19"/>
  <c r="D81" i="23"/>
  <c r="D74" i="16"/>
  <c r="E75" i="16"/>
  <c r="E74" i="16" s="1"/>
  <c r="D74" i="21"/>
  <c r="E74" i="21"/>
  <c r="D74" i="13"/>
  <c r="D74" i="19"/>
  <c r="E75" i="19"/>
  <c r="E74" i="19" s="1"/>
  <c r="E74" i="20"/>
  <c r="E47" i="23"/>
  <c r="E74" i="23"/>
  <c r="E13" i="12"/>
  <c r="E20" i="12"/>
  <c r="D73" i="12"/>
  <c r="D71" i="12" s="1"/>
  <c r="D67" i="12" s="1"/>
  <c r="D57" i="12"/>
  <c r="D55" i="12" s="1"/>
  <c r="E57" i="12"/>
  <c r="E55" i="12" s="1"/>
  <c r="D47" i="12"/>
  <c r="D74" i="12"/>
  <c r="E75" i="12"/>
  <c r="D81" i="12"/>
  <c r="E82" i="12"/>
  <c r="D57" i="10"/>
  <c r="D55" i="10" s="1"/>
  <c r="D73" i="10"/>
  <c r="D71" i="10" s="1"/>
  <c r="D67" i="10" s="1"/>
  <c r="E57" i="10"/>
  <c r="E55" i="10" s="1"/>
  <c r="D81" i="10"/>
  <c r="D47" i="10"/>
  <c r="E47" i="10"/>
  <c r="D74" i="10"/>
  <c r="E13" i="9"/>
  <c r="E14" i="9" s="1"/>
  <c r="E20" i="9"/>
  <c r="D73" i="9"/>
  <c r="D71" i="9" s="1"/>
  <c r="D67" i="9" s="1"/>
  <c r="D57" i="9"/>
  <c r="D55" i="9" s="1"/>
  <c r="D47" i="9"/>
  <c r="D81" i="9"/>
  <c r="E56" i="9"/>
  <c r="D74" i="9"/>
  <c r="E75" i="9"/>
  <c r="E13" i="8"/>
  <c r="E14" i="8" s="1"/>
  <c r="E20" i="8"/>
  <c r="D57" i="8"/>
  <c r="D55" i="8" s="1"/>
  <c r="D47" i="8"/>
  <c r="D74" i="8"/>
  <c r="E74" i="8"/>
  <c r="E47" i="8"/>
  <c r="D81" i="8"/>
  <c r="D73" i="8"/>
  <c r="D71" i="8" s="1"/>
  <c r="D67" i="8" s="1"/>
  <c r="E73" i="22"/>
  <c r="E73" i="12"/>
  <c r="E73" i="10"/>
  <c r="E73" i="19"/>
  <c r="E73" i="15"/>
  <c r="E73" i="23"/>
  <c r="E73" i="13"/>
  <c r="E73" i="9"/>
  <c r="E57" i="14"/>
  <c r="E55" i="14" s="1"/>
  <c r="E57" i="18"/>
  <c r="E55" i="18" s="1"/>
  <c r="E57" i="21"/>
  <c r="E55" i="21" s="1"/>
  <c r="E57" i="22"/>
  <c r="E55" i="22" s="1"/>
  <c r="E57" i="8"/>
  <c r="E55" i="8" s="1"/>
  <c r="E55" i="15"/>
  <c r="E57" i="17"/>
  <c r="E55" i="17" s="1"/>
  <c r="E57" i="16"/>
  <c r="E55" i="16" s="1"/>
  <c r="F10" i="2"/>
  <c r="I10" i="2" s="1"/>
  <c r="E73" i="8"/>
  <c r="D10" i="23"/>
  <c r="D10" i="22"/>
  <c r="E73" i="21"/>
  <c r="D73" i="20"/>
  <c r="D71" i="20" s="1"/>
  <c r="D67" i="20" s="1"/>
  <c r="E73" i="20"/>
  <c r="D10" i="19"/>
  <c r="E73" i="18"/>
  <c r="D73" i="17"/>
  <c r="D71" i="17" s="1"/>
  <c r="D67" i="17" s="1"/>
  <c r="E73" i="17"/>
  <c r="D10" i="16"/>
  <c r="D73" i="16"/>
  <c r="D10" i="14"/>
  <c r="D73" i="14"/>
  <c r="D71" i="14" s="1"/>
  <c r="D67" i="14" s="1"/>
  <c r="D10" i="12"/>
  <c r="D10" i="10"/>
  <c r="D10" i="9"/>
  <c r="D10" i="8"/>
  <c r="F7" i="2" l="1"/>
  <c r="I7" i="2" s="1"/>
  <c r="E10" i="19"/>
  <c r="E14" i="10"/>
  <c r="E15" i="20"/>
  <c r="E12" i="20" s="1"/>
  <c r="E11" i="20" s="1"/>
  <c r="E15" i="18"/>
  <c r="E12" i="18" s="1"/>
  <c r="E11" i="18" s="1"/>
  <c r="E15" i="16"/>
  <c r="E12" i="16" s="1"/>
  <c r="E11" i="16" s="1"/>
  <c r="E15" i="22"/>
  <c r="E12" i="22" s="1"/>
  <c r="E11" i="22" s="1"/>
  <c r="E14" i="12"/>
  <c r="F17" i="2"/>
  <c r="E10" i="21"/>
  <c r="D46" i="21"/>
  <c r="D9" i="21" s="1"/>
  <c r="D10" i="21"/>
  <c r="D10" i="18"/>
  <c r="E10" i="15"/>
  <c r="D46" i="15"/>
  <c r="D9" i="15" s="1"/>
  <c r="D46" i="23"/>
  <c r="E10" i="14"/>
  <c r="E10" i="22"/>
  <c r="F81" i="2"/>
  <c r="F80" i="2" s="1"/>
  <c r="E74" i="9"/>
  <c r="F74" i="2"/>
  <c r="E46" i="21"/>
  <c r="E46" i="20"/>
  <c r="D46" i="10"/>
  <c r="D9" i="10" s="1"/>
  <c r="D9" i="23"/>
  <c r="E10" i="23"/>
  <c r="D10" i="15"/>
  <c r="D15" i="15"/>
  <c r="D12" i="15" s="1"/>
  <c r="D11" i="15" s="1"/>
  <c r="E10" i="16"/>
  <c r="E10" i="17"/>
  <c r="D10" i="17"/>
  <c r="E46" i="17"/>
  <c r="E10" i="20"/>
  <c r="D10" i="20"/>
  <c r="D9" i="19"/>
  <c r="E81" i="21"/>
  <c r="E81" i="19"/>
  <c r="D46" i="18"/>
  <c r="D9" i="18" s="1"/>
  <c r="E46" i="18"/>
  <c r="E81" i="18"/>
  <c r="E81" i="17"/>
  <c r="E81" i="16"/>
  <c r="D46" i="16"/>
  <c r="E46" i="16"/>
  <c r="E46" i="23"/>
  <c r="D46" i="14"/>
  <c r="D9" i="14" s="1"/>
  <c r="E10" i="13"/>
  <c r="E15" i="13"/>
  <c r="E12" i="13" s="1"/>
  <c r="E11" i="13" s="1"/>
  <c r="D10" i="13"/>
  <c r="D15" i="13"/>
  <c r="D12" i="13" s="1"/>
  <c r="D11" i="13" s="1"/>
  <c r="D46" i="13"/>
  <c r="D9" i="13" s="1"/>
  <c r="E55" i="13"/>
  <c r="E46" i="13" s="1"/>
  <c r="E46" i="22"/>
  <c r="D46" i="22"/>
  <c r="D9" i="22" s="1"/>
  <c r="E72" i="17"/>
  <c r="E71" i="17" s="1"/>
  <c r="E67" i="17" s="1"/>
  <c r="E47" i="14"/>
  <c r="E46" i="14" s="1"/>
  <c r="E47" i="15"/>
  <c r="E46" i="15" s="1"/>
  <c r="E10" i="10"/>
  <c r="E72" i="14"/>
  <c r="E71" i="14" s="1"/>
  <c r="E67" i="14" s="1"/>
  <c r="E74" i="14"/>
  <c r="E72" i="21"/>
  <c r="E71" i="21" s="1"/>
  <c r="E67" i="21" s="1"/>
  <c r="E72" i="22"/>
  <c r="E71" i="22" s="1"/>
  <c r="E67" i="22" s="1"/>
  <c r="E72" i="19"/>
  <c r="E71" i="19" s="1"/>
  <c r="E67" i="19" s="1"/>
  <c r="E9" i="19" s="1"/>
  <c r="D46" i="8"/>
  <c r="D9" i="8" s="1"/>
  <c r="E72" i="16"/>
  <c r="E71" i="16" s="1"/>
  <c r="E67" i="16" s="1"/>
  <c r="E72" i="18"/>
  <c r="E71" i="18" s="1"/>
  <c r="E67" i="18" s="1"/>
  <c r="E74" i="18"/>
  <c r="E72" i="15"/>
  <c r="E71" i="15" s="1"/>
  <c r="E67" i="15" s="1"/>
  <c r="E72" i="13"/>
  <c r="E71" i="13" s="1"/>
  <c r="E67" i="13" s="1"/>
  <c r="E71" i="23"/>
  <c r="E67" i="23" s="1"/>
  <c r="D71" i="16"/>
  <c r="D67" i="16" s="1"/>
  <c r="D9" i="16" s="1"/>
  <c r="E71" i="20"/>
  <c r="E67" i="20" s="1"/>
  <c r="I9" i="2"/>
  <c r="E10" i="12"/>
  <c r="D46" i="12"/>
  <c r="E81" i="12"/>
  <c r="E47" i="12"/>
  <c r="E46" i="12" s="1"/>
  <c r="E72" i="12"/>
  <c r="E71" i="12" s="1"/>
  <c r="E67" i="12" s="1"/>
  <c r="E74" i="12"/>
  <c r="E46" i="10"/>
  <c r="E81" i="10"/>
  <c r="E72" i="10"/>
  <c r="E71" i="10" s="1"/>
  <c r="E67" i="10" s="1"/>
  <c r="E74" i="10"/>
  <c r="E10" i="9"/>
  <c r="D46" i="9"/>
  <c r="D9" i="9" s="1"/>
  <c r="E47" i="9"/>
  <c r="E55" i="9"/>
  <c r="E72" i="9"/>
  <c r="E71" i="9" s="1"/>
  <c r="E67" i="9" s="1"/>
  <c r="E81" i="9"/>
  <c r="E10" i="8"/>
  <c r="E46" i="8"/>
  <c r="E81" i="8"/>
  <c r="E72" i="8"/>
  <c r="E71" i="8" s="1"/>
  <c r="E67" i="8" s="1"/>
  <c r="D9" i="12"/>
  <c r="D9" i="17"/>
  <c r="F8" i="2" l="1"/>
  <c r="I8" i="2" s="1"/>
  <c r="F73" i="2"/>
  <c r="E9" i="16"/>
  <c r="E9" i="17"/>
  <c r="E9" i="18"/>
  <c r="E9" i="15"/>
  <c r="E9" i="23"/>
  <c r="E9" i="14"/>
  <c r="E9" i="13"/>
  <c r="E9" i="22"/>
  <c r="E9" i="12"/>
  <c r="E9" i="10"/>
  <c r="E46" i="9"/>
  <c r="E9" i="9" s="1"/>
  <c r="E9" i="8"/>
  <c r="E96" i="7"/>
  <c r="D96" i="7"/>
  <c r="E94" i="7"/>
  <c r="D94" i="7"/>
  <c r="E88" i="7"/>
  <c r="D88" i="7"/>
  <c r="E83" i="7"/>
  <c r="E76" i="7"/>
  <c r="E74" i="7"/>
  <c r="D72" i="7"/>
  <c r="E68" i="7"/>
  <c r="D68" i="7"/>
  <c r="E64" i="7"/>
  <c r="D64" i="7"/>
  <c r="E61" i="7"/>
  <c r="D61" i="7"/>
  <c r="E58" i="7"/>
  <c r="D58" i="7"/>
  <c r="E52" i="7"/>
  <c r="D52" i="7"/>
  <c r="E49" i="7"/>
  <c r="D49" i="7"/>
  <c r="E28" i="7"/>
  <c r="E29" i="7" s="1"/>
  <c r="D28" i="7"/>
  <c r="D29" i="7" s="1"/>
  <c r="E19" i="7"/>
  <c r="D19" i="7"/>
  <c r="D13" i="7" s="1"/>
  <c r="E96" i="6"/>
  <c r="D96" i="6"/>
  <c r="E94" i="6"/>
  <c r="D94" i="6"/>
  <c r="E88" i="6"/>
  <c r="D88" i="6"/>
  <c r="E74" i="6"/>
  <c r="D74" i="6"/>
  <c r="D72" i="6"/>
  <c r="D68" i="6"/>
  <c r="D64" i="6"/>
  <c r="D61" i="6"/>
  <c r="E58" i="6"/>
  <c r="D58" i="6"/>
  <c r="D52" i="6"/>
  <c r="D47" i="6"/>
  <c r="E28" i="6"/>
  <c r="E29" i="6" s="1"/>
  <c r="E13" i="6"/>
  <c r="E14" i="6" s="1"/>
  <c r="D13" i="6"/>
  <c r="D63" i="2"/>
  <c r="D95" i="2"/>
  <c r="D46" i="2"/>
  <c r="D25" i="2"/>
  <c r="D26" i="2" s="1"/>
  <c r="D16" i="2"/>
  <c r="F66" i="2" l="1"/>
  <c r="E13" i="7"/>
  <c r="E20" i="7"/>
  <c r="D10" i="2"/>
  <c r="D11" i="2" s="1"/>
  <c r="D17" i="2"/>
  <c r="D57" i="7"/>
  <c r="D55" i="7" s="1"/>
  <c r="D74" i="7"/>
  <c r="E57" i="7"/>
  <c r="E55" i="7" s="1"/>
  <c r="D81" i="7"/>
  <c r="D47" i="7"/>
  <c r="D73" i="7"/>
  <c r="D71" i="7" s="1"/>
  <c r="D67" i="7" s="1"/>
  <c r="D57" i="6"/>
  <c r="D55" i="6" s="1"/>
  <c r="D46" i="6" s="1"/>
  <c r="D81" i="6"/>
  <c r="E72" i="6"/>
  <c r="D73" i="6"/>
  <c r="D71" i="6" s="1"/>
  <c r="D67" i="6" s="1"/>
  <c r="E46" i="6"/>
  <c r="D10" i="6"/>
  <c r="E73" i="7"/>
  <c r="D10" i="7"/>
  <c r="E10" i="7"/>
  <c r="E10" i="6"/>
  <c r="D54" i="2"/>
  <c r="E14" i="7" l="1"/>
  <c r="D46" i="7"/>
  <c r="E81" i="7"/>
  <c r="D7" i="2"/>
  <c r="E71" i="7"/>
  <c r="E67" i="7" s="1"/>
  <c r="F45" i="2"/>
  <c r="E47" i="7"/>
  <c r="E46" i="7" s="1"/>
  <c r="D9" i="7"/>
  <c r="E71" i="6"/>
  <c r="E67" i="6" s="1"/>
  <c r="E9" i="6" s="1"/>
  <c r="D9" i="6"/>
  <c r="D73" i="2"/>
  <c r="F44" i="2" l="1"/>
  <c r="F43" i="2"/>
  <c r="I43" i="2" s="1"/>
  <c r="D80" i="2"/>
  <c r="E9" i="7"/>
  <c r="D44" i="2"/>
  <c r="D43" i="2" s="1"/>
  <c r="F6" i="2" l="1"/>
  <c r="M6" i="2" l="1"/>
  <c r="I6" i="2"/>
  <c r="D66" i="2"/>
  <c r="K18" i="5"/>
  <c r="F18" i="5"/>
  <c r="C18" i="5" s="1"/>
  <c r="D18" i="5"/>
  <c r="K17" i="5"/>
  <c r="H17" i="5"/>
  <c r="F17" i="5"/>
  <c r="D17" i="5"/>
  <c r="K16" i="5"/>
  <c r="H16" i="5"/>
  <c r="F16" i="5"/>
  <c r="D16" i="5"/>
  <c r="K15" i="5"/>
  <c r="H15" i="5"/>
  <c r="F15" i="5"/>
  <c r="D15" i="5"/>
  <c r="K14" i="5"/>
  <c r="C14" i="5" s="1"/>
  <c r="D14" i="5"/>
  <c r="R13" i="5"/>
  <c r="R11" i="5" s="1"/>
  <c r="Q13" i="5"/>
  <c r="Q11" i="5" s="1"/>
  <c r="P13" i="5"/>
  <c r="P11" i="5" s="1"/>
  <c r="O13" i="5"/>
  <c r="N13" i="5"/>
  <c r="N11" i="5" s="1"/>
  <c r="M13" i="5"/>
  <c r="L13" i="5"/>
  <c r="J13" i="5"/>
  <c r="I13" i="5"/>
  <c r="G13" i="5"/>
  <c r="G11" i="5" s="1"/>
  <c r="E13" i="5"/>
  <c r="R12" i="5"/>
  <c r="O12" i="5"/>
  <c r="O11" i="5" s="1"/>
  <c r="M12" i="5"/>
  <c r="K12" i="5"/>
  <c r="H12" i="5"/>
  <c r="F12" i="5"/>
  <c r="D12" i="5"/>
  <c r="L11" i="5"/>
  <c r="J11" i="5"/>
  <c r="I11" i="5"/>
  <c r="E11" i="5"/>
  <c r="Q10" i="5"/>
  <c r="O10" i="5"/>
  <c r="O9" i="5" s="1"/>
  <c r="M10" i="5"/>
  <c r="M9" i="5" s="1"/>
  <c r="K10" i="5"/>
  <c r="H10" i="5"/>
  <c r="H9" i="5" s="1"/>
  <c r="F10" i="5"/>
  <c r="F9" i="5" s="1"/>
  <c r="D10" i="5"/>
  <c r="R9" i="5"/>
  <c r="Q9" i="5"/>
  <c r="P9" i="5"/>
  <c r="N9" i="5"/>
  <c r="L9" i="5"/>
  <c r="K9" i="5"/>
  <c r="J9" i="5"/>
  <c r="J8" i="5" s="1"/>
  <c r="I9" i="5"/>
  <c r="G9" i="5"/>
  <c r="E9" i="5"/>
  <c r="E8" i="5" s="1"/>
  <c r="D9" i="5"/>
  <c r="G8" i="5" l="1"/>
  <c r="D13" i="5"/>
  <c r="D11" i="5" s="1"/>
  <c r="R8" i="5"/>
  <c r="H13" i="5"/>
  <c r="H11" i="5" s="1"/>
  <c r="H8" i="5" s="1"/>
  <c r="O8" i="5"/>
  <c r="P8" i="5"/>
  <c r="M11" i="5"/>
  <c r="I8" i="5"/>
  <c r="C10" i="5"/>
  <c r="C9" i="5" s="1"/>
  <c r="F13" i="5"/>
  <c r="M8" i="5"/>
  <c r="D8" i="5"/>
  <c r="K13" i="5"/>
  <c r="K11" i="5" s="1"/>
  <c r="K8" i="5" s="1"/>
  <c r="C16" i="5"/>
  <c r="Q8" i="5"/>
  <c r="N8" i="5"/>
  <c r="C12" i="5"/>
  <c r="C15" i="5"/>
  <c r="C17" i="5"/>
  <c r="L8" i="5"/>
  <c r="F11" i="5"/>
  <c r="F8" i="5" s="1"/>
  <c r="C13" i="5" l="1"/>
  <c r="C11" i="5" s="1"/>
  <c r="C8" i="5" s="1"/>
  <c r="E45" i="21" l="1"/>
  <c r="E9" i="21"/>
  <c r="D40" i="2"/>
  <c r="D6" i="2" s="1"/>
  <c r="D42" i="2"/>
  <c r="D9" i="20"/>
  <c r="E9" i="20"/>
</calcChain>
</file>

<file path=xl/sharedStrings.xml><?xml version="1.0" encoding="utf-8"?>
<sst xmlns="http://schemas.openxmlformats.org/spreadsheetml/2006/main" count="4717" uniqueCount="265">
  <si>
    <t>TT</t>
  </si>
  <si>
    <t>Chỉ tiêu</t>
  </si>
  <si>
    <t>Đơn vị tính</t>
  </si>
  <si>
    <t>Tổng số</t>
  </si>
  <si>
    <t>I</t>
  </si>
  <si>
    <t>1.1</t>
  </si>
  <si>
    <t>Ha</t>
  </si>
  <si>
    <t>1.2</t>
  </si>
  <si>
    <t>Con</t>
  </si>
  <si>
    <t>%</t>
  </si>
  <si>
    <t>STT</t>
  </si>
  <si>
    <t>ĐVT</t>
  </si>
  <si>
    <t>A</t>
  </si>
  <si>
    <t>TRỒNG TRỌT</t>
  </si>
  <si>
    <t>Cây lương thực</t>
  </si>
  <si>
    <t>+</t>
  </si>
  <si>
    <t>Tổng sản lượng lương thực có hạt</t>
  </si>
  <si>
    <t>Tấn</t>
  </si>
  <si>
    <t>-</t>
  </si>
  <si>
    <t>Lúa cả năm</t>
  </si>
  <si>
    <t>a</t>
  </si>
  <si>
    <t>Lúa Đông Xuân</t>
  </si>
  <si>
    <t>b</t>
  </si>
  <si>
    <t>Lúa mùa</t>
  </si>
  <si>
    <t>*</t>
  </si>
  <si>
    <t>Lúa ruộng</t>
  </si>
  <si>
    <t>Lúa rẫy</t>
  </si>
  <si>
    <t>Ngô cả năm</t>
  </si>
  <si>
    <t>Ngô vụ Đông xuân</t>
  </si>
  <si>
    <t>Ngô vụ mùa</t>
  </si>
  <si>
    <t>Sắn</t>
  </si>
  <si>
    <t>Trồng mới</t>
  </si>
  <si>
    <t>Cây lâu năm</t>
  </si>
  <si>
    <t>5.1</t>
  </si>
  <si>
    <t>Cà phê</t>
  </si>
  <si>
    <t>Trồng mới cà phê Vối</t>
  </si>
  <si>
    <t>Cây ăn quả</t>
  </si>
  <si>
    <t>Cây Mắc ca</t>
  </si>
  <si>
    <t>Dược liệu</t>
  </si>
  <si>
    <t>Sâm Ngọc Linh</t>
  </si>
  <si>
    <t>5.2</t>
  </si>
  <si>
    <t>Tổng diện tích dược liệu khác</t>
  </si>
  <si>
    <t>Cây Dược liệu khác trồng mới</t>
  </si>
  <si>
    <t>Cây Dược liệu hàng năm khác</t>
  </si>
  <si>
    <t>B</t>
  </si>
  <si>
    <t>CHĂN NUÔI 
(Trâu, bò, lợn)</t>
  </si>
  <si>
    <t>Trâu</t>
  </si>
  <si>
    <t>Bò</t>
  </si>
  <si>
    <t>Lợn</t>
  </si>
  <si>
    <t>Dê</t>
  </si>
  <si>
    <t>Gia cầm</t>
  </si>
  <si>
    <t>C</t>
  </si>
  <si>
    <t>THỦY SẢN</t>
  </si>
  <si>
    <t>Diện tích nuôi ao hồ nhỏ</t>
  </si>
  <si>
    <t>D</t>
  </si>
  <si>
    <t>LÂM NGHIỆP</t>
  </si>
  <si>
    <t>Trồng rừng phân tán</t>
  </si>
  <si>
    <t>Phụ biểu số 03</t>
  </si>
  <si>
    <t>KẾT QUẢ THỰC HIỆN KẾ HOẠCH PHÁT TRIỂN VĂN HÓA - XÃ HỘI NĂM 2024</t>
  </si>
  <si>
    <t>Kế hoạch huyện giao</t>
  </si>
  <si>
    <t>Kết quả thực hiện tháng, quý, năm 2024</t>
  </si>
  <si>
    <t>Đạt tỷ lệ</t>
  </si>
  <si>
    <t>Dân số, Lương thực bình quân</t>
  </si>
  <si>
    <t>Dân số có mặt đầu năm</t>
  </si>
  <si>
    <t>Người</t>
  </si>
  <si>
    <t>Dân số có mặt cuối năm</t>
  </si>
  <si>
    <t>"</t>
  </si>
  <si>
    <t xml:space="preserve">Dân số trung bình trong năm </t>
  </si>
  <si>
    <t>Tỷ lệ tăng dân số tự nhiên</t>
  </si>
  <si>
    <t>Lương thực bình quân đầu người</t>
  </si>
  <si>
    <t>Kg</t>
  </si>
  <si>
    <t>Lao động và việc làm</t>
  </si>
  <si>
    <t>Số người được giải quyết việc làm (tăng thêm trong năm)</t>
  </si>
  <si>
    <t xml:space="preserve">Tỷ lệ lao động qua đào tạo </t>
  </si>
  <si>
    <t xml:space="preserve">Trong đó, tỷ lệ lao động được đào tạo nghề </t>
  </si>
  <si>
    <t>Lực lượng lao độngtừ 15 tuổi trở lên</t>
  </si>
  <si>
    <t>Tỷ lệ lao động từ 15 tuổi trở lên đang làm việc so với tổng dân số</t>
  </si>
  <si>
    <t>Giảm nghèo theo chuẩn nghèo tiếp cận đa chiều</t>
  </si>
  <si>
    <t>Tỷ lệ hộ nghèo theo chuẩn nghèo tiếp cận đa chiều giai đoạn 2021-2025 giảm ít nhất</t>
  </si>
  <si>
    <t>chỉ tiêu tỉnh giao theo giai đoạn</t>
  </si>
  <si>
    <t xml:space="preserve">- Mức giảm tỷ lệ hộ nghèo </t>
  </si>
  <si>
    <t xml:space="preserve">Mức giảm tỷ lệ hộ cận nghèo </t>
  </si>
  <si>
    <t>Giáo dục và Đào tạo</t>
  </si>
  <si>
    <t>Tổng số học sinh do huyện quản lý</t>
  </si>
  <si>
    <t>Học sinh</t>
  </si>
  <si>
    <t>Nhà trẻ</t>
  </si>
  <si>
    <t>Mẫu giáo</t>
  </si>
  <si>
    <t>Tiểu học</t>
  </si>
  <si>
    <t>Trung học cơ sở</t>
  </si>
  <si>
    <t>Bổ túc văn hóa (THPT)</t>
  </si>
  <si>
    <t>Tổng số học sinh có mặt đầu năm</t>
  </si>
  <si>
    <t xml:space="preserve">Bổ túc văn hóa </t>
  </si>
  <si>
    <t>Trung học phổ thông</t>
  </si>
  <si>
    <t>Tỉnh quản lý</t>
  </si>
  <si>
    <t>Tỷ lệ học sinh đi học đúng độ tuổi</t>
  </si>
  <si>
    <t xml:space="preserve">  + Tiểu học</t>
  </si>
  <si>
    <t xml:space="preserve">  + Trung học cơ sở</t>
  </si>
  <si>
    <t>Tỷ lệ học sinh tốt nghiệp trung học cơ sở, trung học phổ thông chuyển sang học nghề</t>
  </si>
  <si>
    <t xml:space="preserve">Tỷ lệ trường đạt chuẩn quốc gia </t>
  </si>
  <si>
    <t>Y tế</t>
  </si>
  <si>
    <t>Tỷ lệ bao phủ BHYT/dân số trung bình</t>
  </si>
  <si>
    <t>Tỷ lệ bao phủ BHXH so với LLLĐ tham gia</t>
  </si>
  <si>
    <t>Trong đó: Tỷ lệ bao phủ bảo hiểm xã hội tự nguyện/LLLĐ tham gia</t>
  </si>
  <si>
    <t>Tỷ lệ bao phủ Bảo hiểm thất nghiệp so với LLLĐ tham gia</t>
  </si>
  <si>
    <t>Tổng số giường bệnh</t>
  </si>
  <si>
    <t>Giường</t>
  </si>
  <si>
    <t>Trung tâm y tế</t>
  </si>
  <si>
    <t>Phòng khám đa khoa khu vực</t>
  </si>
  <si>
    <t>Trạm y tế</t>
  </si>
  <si>
    <t>Số bác sỹ/10.000 dân</t>
  </si>
  <si>
    <t>Bác sỹ</t>
  </si>
  <si>
    <t>Số giường bệnh công lập/10.000 dân (không tính giường trạm y tế xã)</t>
  </si>
  <si>
    <t>Tỷ lệ trạm y tế xã có bác sỹ làm việc</t>
  </si>
  <si>
    <t>Tỷ lệ trẻ em &lt; 5 tuổi suy dinh dưỡng thể nhẹ cân</t>
  </si>
  <si>
    <t>Tỷ lệ trẻ em &lt; 5 tuổi suy dinh dưỡng thể thấp còi</t>
  </si>
  <si>
    <t>Du lịch, Văn hoá, thể thao, thông tin</t>
  </si>
  <si>
    <t>Tổng lượt khách</t>
  </si>
  <si>
    <t>L/khách</t>
  </si>
  <si>
    <t>Tỷ lệ xã có nhà văn hóa</t>
  </si>
  <si>
    <t>Tỷ lệ thôn, làng đạt danh hiệu văn hóa</t>
  </si>
  <si>
    <t xml:space="preserve">- </t>
  </si>
  <si>
    <t>Số xã triển khai chương trình hành động vì trẻ em</t>
  </si>
  <si>
    <t>xã</t>
  </si>
  <si>
    <t>Tỷ lệ gia đình đạt tiêu chuẩn gia đình thể thao</t>
  </si>
  <si>
    <t>Tỷ lệ hộ dân được sử dụng điện</t>
  </si>
  <si>
    <t>Tỷ lệ hộ dân tộc thiểu số có đất ở</t>
  </si>
  <si>
    <t>Tỷ lệ hộ dân tộc thiểu số có đất sản xuất</t>
  </si>
  <si>
    <t>Chỉ tiêu Quốc phòng, an ninh</t>
  </si>
  <si>
    <t>Tỷ lệ giải quyết tố giác, tin báo về tội phạm, kiến nghị khởi tố</t>
  </si>
  <si>
    <t>Tỷ lệ điều tra, khám phá án</t>
  </si>
  <si>
    <t>- Trong đó, án đặc biệt nghiêm trọng</t>
  </si>
  <si>
    <t>Tỷ lệ giao quân</t>
  </si>
  <si>
    <t>Tỷ lệ xã, phường, thị trấn mạnh về phong trào toàn dân bảo vệ an ninh Tổ quốc</t>
  </si>
  <si>
    <t>Tỷ lệ xã, phường, thị trấn, khu dân cư, cơ quan, trường học đạt tiêu chuẩn an toàn về an ninh trật tự</t>
  </si>
  <si>
    <t>Công nghiệp</t>
  </si>
  <si>
    <t>Khai thác đá, cát sỏi các loại</t>
  </si>
  <si>
    <t>m3</t>
  </si>
  <si>
    <t>Điện thương phẩm</t>
  </si>
  <si>
    <t>Triệu 
Kw/h</t>
  </si>
  <si>
    <t>Tổng mức bán lẻ hoàng hóa và doanh thu dịch vụ</t>
  </si>
  <si>
    <t>Tỷ đồng</t>
  </si>
  <si>
    <t>Tổng số xã đạt chuẩn nông thôn mới</t>
  </si>
  <si>
    <t>Xã</t>
  </si>
  <si>
    <t>Trong đó số xã đạt chuẩn NTM trong năm</t>
  </si>
  <si>
    <t>Hợp tác xã</t>
  </si>
  <si>
    <t>Tổng số hợp tác xã</t>
  </si>
  <si>
    <t>+ Số hợp tác xã thành lập mới</t>
  </si>
  <si>
    <t>+ Số hợp tác xã giải thể</t>
  </si>
  <si>
    <t>Tổng số lao động trong hợp tác xã</t>
  </si>
  <si>
    <t>Tỷ lệ hộ dân tộc thiểu số tham gia vào hợp tác xã</t>
  </si>
  <si>
    <t>Tổ hợp tác</t>
  </si>
  <si>
    <t>Tổng số tổ hợp tác</t>
  </si>
  <si>
    <t>Tổng số thành viên tổ hợp tác</t>
  </si>
  <si>
    <t>Thành viên</t>
  </si>
  <si>
    <t>(Kèm theo Nghị Quyết số        /NQ-HĐND, Ngày      tháng     năm 2025 của HĐND xã Tu Mơ Rông)</t>
  </si>
  <si>
    <t>Phụ biểu số 04</t>
  </si>
  <si>
    <t>KẾ HOẠCH PHÁT TRIỂN SỰ NGHIỆP GIÁO DỤC NĂM HỌC 2025-2026</t>
  </si>
  <si>
    <t>ĐVT: Học sinh</t>
  </si>
  <si>
    <t>Số TT</t>
  </si>
  <si>
    <t>Cấp quản lý/đơn vị</t>
  </si>
  <si>
    <t>Loại hình</t>
  </si>
  <si>
    <t>Chia theo cấp học</t>
  </si>
  <si>
    <t>Trong tổng số</t>
  </si>
  <si>
    <t>Công
 lập</t>
  </si>
  <si>
    <t>Ngoài C.lập</t>
  </si>
  <si>
    <t>Tiểu học
(công lập)</t>
  </si>
  <si>
    <t>THCS 
(công lập)</t>
  </si>
  <si>
    <t>THPT</t>
  </si>
  <si>
    <t>Bổ túc VH</t>
  </si>
  <si>
    <t>Nội trú</t>
  </si>
  <si>
    <t>Hướng nghiệp  D.nghề</t>
  </si>
  <si>
    <t>Công lập</t>
  </si>
  <si>
    <t>THCS</t>
  </si>
  <si>
    <t>Tổng cộng</t>
  </si>
  <si>
    <t>Cấp tỉnh quản lý</t>
  </si>
  <si>
    <t xml:space="preserve"> Trường DTNT Tu Mơ Rông</t>
  </si>
  <si>
    <t>II</t>
  </si>
  <si>
    <t>Cấp xã quản lý</t>
  </si>
  <si>
    <t>Trung tâm giáo dục thường xuyên</t>
  </si>
  <si>
    <t>Chung toàn xã</t>
  </si>
  <si>
    <t>Mầm non Đăk Hà</t>
  </si>
  <si>
    <t>Trường Tiểu học Đăk Hà</t>
  </si>
  <si>
    <t>THCS DTBT Đăk Hà</t>
  </si>
  <si>
    <t>Mầm non Tu Mơ Rông</t>
  </si>
  <si>
    <t>Trường TH-THCS Tu Mơ Rông</t>
  </si>
  <si>
    <t>Trồng mới cây ăn quả lâu năm</t>
  </si>
  <si>
    <t>Diện trồng mới</t>
  </si>
  <si>
    <t>Trồng mới cây ăn quả hằng năm</t>
  </si>
  <si>
    <t>Diện tích hiện có cuối năm</t>
  </si>
  <si>
    <t>Sơn Tra</t>
  </si>
  <si>
    <t xml:space="preserve">Ngũ vị tử </t>
  </si>
  <si>
    <t xml:space="preserve">Gừng </t>
  </si>
  <si>
    <t>Sả</t>
  </si>
  <si>
    <t>Dược liệu khác hằng năm……..</t>
  </si>
  <si>
    <t>Trồng mới cà phê xứ lạnh</t>
  </si>
  <si>
    <t>Phụ biểu số 01</t>
  </si>
  <si>
    <t xml:space="preserve">Diện tích hiện có </t>
  </si>
  <si>
    <t>Diện tích cho thu hoạch</t>
  </si>
  <si>
    <t>Cà phê xứ lạnh</t>
  </si>
  <si>
    <t>Cà phê Vối</t>
  </si>
  <si>
    <t>Diện tích dự kiến trồng mới</t>
  </si>
  <si>
    <t>DT trồng mới cây Cây có múi (Cam, chanh, bưởi …..)</t>
  </si>
  <si>
    <t>DT trồng mới sầu riêng, mít, riêng, bơ, xoài…...</t>
  </si>
  <si>
    <t>Diện tích trồng mới cây Dứa, Chuối, …....</t>
  </si>
  <si>
    <t>Các loại cây trồng hằng năm khác …</t>
  </si>
  <si>
    <t xml:space="preserve">Tổng diện tích Sâm Ngọc Linh hiện có </t>
  </si>
  <si>
    <t>Trong đó: dự kiến Trồng mới</t>
  </si>
  <si>
    <t xml:space="preserve">Tổng diện tích dược liệu khác hiện có </t>
  </si>
  <si>
    <t>Dược liệu khác lâu năm ……..</t>
  </si>
  <si>
    <t>Cây Dược liệu lâu năm</t>
  </si>
  <si>
    <t>Dự kiến Trồng mới</t>
  </si>
  <si>
    <t>Nghệ</t>
  </si>
  <si>
    <t>Cây Đảng sâm (Sâm Dây)</t>
  </si>
  <si>
    <t>Diện tích trồng mới rừng</t>
  </si>
  <si>
    <t>Diện tích cho thu hoạch (Hiện có)</t>
  </si>
  <si>
    <t>Tổng số hộ</t>
  </si>
  <si>
    <t>Tổng số nhân khẩu</t>
  </si>
  <si>
    <t>Ghi Chú</t>
  </si>
  <si>
    <t xml:space="preserve">   Năng suất</t>
  </si>
  <si>
    <t>Tạ/ha</t>
  </si>
  <si>
    <t xml:space="preserve">   Sản lượng</t>
  </si>
  <si>
    <t>Trong đó: Lúa</t>
  </si>
  <si>
    <t>Thực hiện 
năm 2025</t>
  </si>
  <si>
    <t>THÔN TU MƠ RÔNG</t>
  </si>
  <si>
    <t>THÔN LONG LEO</t>
  </si>
  <si>
    <t>THÔN ĐĂK CHUM I</t>
  </si>
  <si>
    <t>THÔN ĐĂK CHUM II</t>
  </si>
  <si>
    <t>THÔN TU CẤP</t>
  </si>
  <si>
    <t>THÔN ĐĂK KA</t>
  </si>
  <si>
    <t>THÔN VĂN SANG</t>
  </si>
  <si>
    <t>THÔN ĐĂK NEANG</t>
  </si>
  <si>
    <t>THÔN NGỌC LEANG</t>
  </si>
  <si>
    <t>THÔN ĐĂK SIÊNG</t>
  </si>
  <si>
    <t>THÔN KON TUN</t>
  </si>
  <si>
    <t>THÔN MÔ PẢ</t>
  </si>
  <si>
    <t>THÔN TY TU</t>
  </si>
  <si>
    <t>THÔN KON LING</t>
  </si>
  <si>
    <t>THÔN ĐĂK PỜ TRANG</t>
  </si>
  <si>
    <t>THÔN KON PIA</t>
  </si>
  <si>
    <t>THÔN ĐĂK HÀ</t>
  </si>
  <si>
    <t>Giảm do thu hoạch</t>
  </si>
  <si>
    <t>Đậu</t>
  </si>
  <si>
    <t>Cây rau các loại</t>
  </si>
  <si>
    <t xml:space="preserve">Sản lượng </t>
  </si>
  <si>
    <t>5.3</t>
  </si>
  <si>
    <t>6.1</t>
  </si>
  <si>
    <t>6.2</t>
  </si>
  <si>
    <t>Diện tích quy hoạch 03 loại rừng</t>
  </si>
  <si>
    <t>- Rừng phòng hộ</t>
  </si>
  <si>
    <t>- Rừng sản xuất</t>
  </si>
  <si>
    <t>Diện tích trồng mới rừng tập trung</t>
  </si>
  <si>
    <t>Tỷ trọng bò lai</t>
  </si>
  <si>
    <t>Sản lượng thịt hơi xuất chuồng</t>
  </si>
  <si>
    <t>Kế hoạch Tỉnh Giao năm 2026</t>
  </si>
  <si>
    <t xml:space="preserve">TÌNH HÌNH THỰC HIỆN SẢN XUẤT NÔNG NGHIỆP - THỦY SẢN </t>
  </si>
  <si>
    <t xml:space="preserve"> </t>
  </si>
  <si>
    <t>Năm 2026</t>
  </si>
  <si>
    <t>Kế hoạch</t>
  </si>
  <si>
    <t>So với 
Kế hoạch (%)</t>
  </si>
  <si>
    <t>Ghi chú</t>
  </si>
  <si>
    <t>TÌNH HÌNH THỰC HIỆN SẢN XUẤT NÔNG NGHIỆP - THỦY SẢN THEO ĐỊA BÀN THÁNG 03 NĂM 2026</t>
  </si>
  <si>
    <t>Thực hiện
 Tháng 03</t>
  </si>
  <si>
    <t>Ước thực hiện tháng 04</t>
  </si>
  <si>
    <t>Ước thực hiện 
Tháng 04</t>
  </si>
  <si>
    <t>(Kèm theo Báo cáo số        /BC-UBND, Ngày      tháng 4 năm 2026 của UBND xã Tu Mơ Rông)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</si>
</sst>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₫_-;\-* #,##0.00\ _₫_-;_-* &quot;-&quot;??\ _₫_-;_-@_-"/>
    <numFmt numFmtId="165" formatCode="_-* #,##0_k_r_._-;\-* #,##0_k_r_._-;_-* &quot;-&quot;??_k_r_._-;_-@"/>
    <numFmt numFmtId="166" formatCode="#,##0.0"/>
    <numFmt numFmtId="167" formatCode="_-* #,##0.0_k_r_._-;\-* #,##0.0_k_r_._-;_-* &quot;-&quot;??_k_r_._-;_-@"/>
    <numFmt numFmtId="168" formatCode="_-* #,##0.00_k_r_._-;\-* #,##0.00_k_r_._-;_-* &quot;-&quot;??_k_r_._-;_-@"/>
    <numFmt numFmtId="169" formatCode="#,##0.000"/>
    <numFmt numFmtId="170" formatCode="_(* #,##0_);_(* \(#,##0\);_(* &quot;-&quot;??_);_(@_)"/>
    <numFmt numFmtId="171" formatCode="#,###&quot;  &quot;"/>
    <numFmt numFmtId="172" formatCode="0.0"/>
    <numFmt numFmtId="173" formatCode="_-* #,##0.00\ _₫_-;\-* #,##0.00\ _₫_-;_-* &quot;-&quot;??\ _₫_-;_-@"/>
    <numFmt numFmtId="174" formatCode="_-* #,##0_-;\-* #,##0_-;_-* &quot;-&quot;??_-;_-@_-"/>
    <numFmt numFmtId="175" formatCode="0.0000000000"/>
    <numFmt numFmtId="176" formatCode="_-* #,##0.0_-;\-* #,##0.0_-;_-* &quot;-&quot;??_-;_-@_-"/>
    <numFmt numFmtId="177" formatCode="_-* #,##0\ _₫_-;\-* #,##0\ _₫_-;_-* &quot;-&quot;??\ _₫_-;_-@_-"/>
  </numFmts>
  <fonts count="38" x14ac:knownFonts="1">
    <font>
      <sz val="13"/>
      <color rgb="FF000000"/>
      <name val="Times New Roman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3"/>
      <name val="Times New Roman"/>
      <family val="1"/>
    </font>
    <font>
      <b/>
      <i/>
      <sz val="12"/>
      <color theme="1"/>
      <name val="Times New Roman"/>
      <family val="1"/>
    </font>
    <font>
      <sz val="8"/>
      <color theme="1"/>
      <name val="Times New Roman"/>
      <family val="1"/>
    </font>
    <font>
      <i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3"/>
      <color rgb="FF000000"/>
      <name val="Times New Roman"/>
      <family val="1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  <scheme val="minor"/>
    </font>
    <font>
      <b/>
      <i/>
      <sz val="12"/>
      <name val="Times New Roman"/>
      <family val="1"/>
    </font>
    <font>
      <i/>
      <sz val="13"/>
      <name val="Times New Roman"/>
      <family val="1"/>
      <scheme val="minor"/>
    </font>
    <font>
      <b/>
      <sz val="13"/>
      <name val="Times New Roman"/>
      <family val="1"/>
      <scheme val="minor"/>
    </font>
    <font>
      <b/>
      <sz val="14"/>
      <name val="Times New Roman"/>
      <family val="1"/>
    </font>
    <font>
      <b/>
      <i/>
      <sz val="13"/>
      <name val="Times New Roman"/>
      <family val="1"/>
      <scheme val="minor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2"/>
      <color rgb="FF0000CC"/>
      <name val="Times New Roman"/>
      <family val="1"/>
    </font>
    <font>
      <b/>
      <sz val="14"/>
      <color rgb="FFFF0000"/>
      <name val="Times New Roman"/>
      <family val="1"/>
    </font>
    <font>
      <sz val="13"/>
      <color rgb="FFFF0000"/>
      <name val="Times New Roman"/>
      <family val="1"/>
      <scheme val="minor"/>
    </font>
    <font>
      <b/>
      <sz val="13"/>
      <color rgb="FFFF0000"/>
      <name val="Times New Roman"/>
      <family val="1"/>
      <scheme val="minor"/>
    </font>
    <font>
      <sz val="13"/>
      <color rgb="FF0000CC"/>
      <name val="Times New Roman"/>
      <family val="1"/>
      <scheme val="minor"/>
    </font>
    <font>
      <i/>
      <sz val="13"/>
      <color rgb="FFFF0000"/>
      <name val="Times New Roman"/>
      <family val="1"/>
      <scheme val="minor"/>
    </font>
    <font>
      <b/>
      <sz val="12"/>
      <color rgb="FF0000CC"/>
      <name val="Times New Roman"/>
      <family val="1"/>
    </font>
    <font>
      <i/>
      <sz val="12"/>
      <color rgb="FF0000CC"/>
      <name val="Times New Roman"/>
      <family val="1"/>
    </font>
    <font>
      <b/>
      <sz val="13"/>
      <color rgb="FF0000CC"/>
      <name val="Times New Roman"/>
      <family val="1"/>
      <scheme val="minor"/>
    </font>
    <font>
      <i/>
      <sz val="13"/>
      <color rgb="FF0000CC"/>
      <name val="Times New Roman"/>
      <family val="1"/>
      <scheme val="minor"/>
    </font>
    <font>
      <sz val="13"/>
      <color theme="1"/>
      <name val="Times New Roman"/>
      <family val="1"/>
      <scheme val="minor"/>
    </font>
    <font>
      <i/>
      <sz val="13"/>
      <color theme="1"/>
      <name val="Times New Roman"/>
      <family val="1"/>
      <scheme val="minor"/>
    </font>
    <font>
      <b/>
      <sz val="13"/>
      <color theme="1"/>
      <name val="Times New Roman"/>
      <family val="1"/>
      <scheme val="minor"/>
    </font>
    <font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2" fillId="0" borderId="0" applyFont="0" applyFill="0" applyBorder="0" applyAlignment="0" applyProtection="0"/>
    <xf numFmtId="0" fontId="12" fillId="0" borderId="16"/>
    <xf numFmtId="43" fontId="12" fillId="0" borderId="16" applyFont="0" applyFill="0" applyBorder="0" applyAlignment="0" applyProtection="0"/>
    <xf numFmtId="43" fontId="12" fillId="0" borderId="16" applyFont="0" applyFill="0" applyBorder="0" applyAlignment="0" applyProtection="0"/>
  </cellStyleXfs>
  <cellXfs count="450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wrapText="1"/>
    </xf>
    <xf numFmtId="3" fontId="1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left" vertical="center" wrapText="1"/>
    </xf>
    <xf numFmtId="3" fontId="1" fillId="3" borderId="9" xfId="0" applyNumberFormat="1" applyFont="1" applyFill="1" applyBorder="1" applyAlignment="1">
      <alignment wrapText="1"/>
    </xf>
    <xf numFmtId="171" fontId="3" fillId="3" borderId="7" xfId="0" applyNumberFormat="1" applyFont="1" applyFill="1" applyBorder="1" applyAlignment="1">
      <alignment horizontal="center" vertical="center"/>
    </xf>
    <xf numFmtId="3" fontId="3" fillId="3" borderId="7" xfId="0" applyNumberFormat="1" applyFont="1" applyFill="1" applyBorder="1" applyAlignment="1">
      <alignment horizontal="center" vertical="center"/>
    </xf>
    <xf numFmtId="3" fontId="3" fillId="3" borderId="9" xfId="0" applyNumberFormat="1" applyFont="1" applyFill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165" fontId="1" fillId="3" borderId="7" xfId="0" applyNumberFormat="1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left" vertical="center" wrapText="1"/>
    </xf>
    <xf numFmtId="3" fontId="1" fillId="3" borderId="9" xfId="0" applyNumberFormat="1" applyFont="1" applyFill="1" applyBorder="1" applyAlignment="1">
      <alignment vertical="center" wrapText="1"/>
    </xf>
    <xf numFmtId="168" fontId="1" fillId="3" borderId="7" xfId="0" applyNumberFormat="1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vertical="center" wrapText="1"/>
    </xf>
    <xf numFmtId="0" fontId="3" fillId="0" borderId="7" xfId="0" quotePrefix="1" applyFont="1" applyBorder="1" applyAlignment="1">
      <alignment horizontal="left" vertical="center" wrapText="1"/>
    </xf>
    <xf numFmtId="3" fontId="1" fillId="3" borderId="7" xfId="0" applyNumberFormat="1" applyFont="1" applyFill="1" applyBorder="1" applyAlignment="1">
      <alignment horizontal="center" vertical="center"/>
    </xf>
    <xf numFmtId="49" fontId="1" fillId="0" borderId="7" xfId="0" quotePrefix="1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167" fontId="1" fillId="3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3" fillId="3" borderId="7" xfId="0" applyNumberFormat="1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/>
    </xf>
    <xf numFmtId="3" fontId="7" fillId="3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172" fontId="1" fillId="3" borderId="7" xfId="0" applyNumberFormat="1" applyFont="1" applyFill="1" applyBorder="1" applyAlignment="1">
      <alignment horizontal="center" vertical="center" wrapText="1"/>
    </xf>
    <xf numFmtId="3" fontId="2" fillId="3" borderId="7" xfId="0" applyNumberFormat="1" applyFont="1" applyFill="1" applyBorder="1" applyAlignment="1">
      <alignment horizontal="center" vertical="center" wrapText="1"/>
    </xf>
    <xf numFmtId="3" fontId="2" fillId="3" borderId="9" xfId="0" applyNumberFormat="1" applyFont="1" applyFill="1" applyBorder="1" applyAlignment="1">
      <alignment vertical="center" wrapText="1"/>
    </xf>
    <xf numFmtId="169" fontId="1" fillId="0" borderId="7" xfId="0" applyNumberFormat="1" applyFont="1" applyBorder="1" applyAlignment="1">
      <alignment horizontal="center" vertical="center"/>
    </xf>
    <xf numFmtId="3" fontId="1" fillId="3" borderId="9" xfId="0" applyNumberFormat="1" applyFont="1" applyFill="1" applyBorder="1" applyAlignment="1">
      <alignment horizontal="center" vertical="center" wrapText="1"/>
    </xf>
    <xf numFmtId="168" fontId="1" fillId="0" borderId="7" xfId="0" applyNumberFormat="1" applyFont="1" applyBorder="1" applyAlignment="1">
      <alignment horizontal="center" vertical="center"/>
    </xf>
    <xf numFmtId="168" fontId="1" fillId="0" borderId="7" xfId="0" quotePrefix="1" applyNumberFormat="1" applyFont="1" applyBorder="1" applyAlignment="1">
      <alignment horizontal="left" vertical="center" wrapText="1"/>
    </xf>
    <xf numFmtId="168" fontId="1" fillId="0" borderId="7" xfId="0" quotePrefix="1" applyNumberFormat="1" applyFont="1" applyBorder="1" applyAlignment="1">
      <alignment vertical="center" wrapText="1"/>
    </xf>
    <xf numFmtId="168" fontId="1" fillId="0" borderId="7" xfId="0" applyNumberFormat="1" applyFont="1" applyBorder="1" applyAlignment="1">
      <alignment horizontal="center" vertical="center" wrapText="1"/>
    </xf>
    <xf numFmtId="168" fontId="1" fillId="3" borderId="9" xfId="0" applyNumberFormat="1" applyFont="1" applyFill="1" applyBorder="1" applyAlignment="1">
      <alignment vertical="center" wrapText="1"/>
    </xf>
    <xf numFmtId="49" fontId="3" fillId="0" borderId="7" xfId="0" applyNumberFormat="1" applyFont="1" applyBorder="1" applyAlignment="1">
      <alignment horizontal="left" vertical="center" wrapText="1"/>
    </xf>
    <xf numFmtId="3" fontId="3" fillId="3" borderId="7" xfId="0" applyNumberFormat="1" applyFont="1" applyFill="1" applyBorder="1" applyAlignment="1">
      <alignment horizontal="right" vertical="center"/>
    </xf>
    <xf numFmtId="169" fontId="1" fillId="3" borderId="7" xfId="0" applyNumberFormat="1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vertical="center" wrapText="1"/>
    </xf>
    <xf numFmtId="3" fontId="1" fillId="3" borderId="15" xfId="0" applyNumberFormat="1" applyFont="1" applyFill="1" applyBorder="1" applyAlignment="1">
      <alignment horizontal="left" vertical="center" wrapText="1"/>
    </xf>
    <xf numFmtId="0" fontId="2" fillId="0" borderId="7" xfId="0" quotePrefix="1" applyFont="1" applyBorder="1" applyAlignment="1">
      <alignment horizontal="left" vertical="center" wrapText="1"/>
    </xf>
    <xf numFmtId="165" fontId="3" fillId="3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7" xfId="0" quotePrefix="1" applyFont="1" applyFill="1" applyBorder="1" applyAlignment="1">
      <alignment vertical="center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 wrapText="1"/>
    </xf>
    <xf numFmtId="0" fontId="1" fillId="3" borderId="7" xfId="0" quotePrefix="1" applyFont="1" applyFill="1" applyBorder="1" applyAlignment="1">
      <alignment vertical="center" wrapText="1"/>
    </xf>
    <xf numFmtId="0" fontId="3" fillId="3" borderId="7" xfId="0" quotePrefix="1" applyFont="1" applyFill="1" applyBorder="1" applyAlignment="1">
      <alignment vertical="center"/>
    </xf>
    <xf numFmtId="3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" fillId="3" borderId="18" xfId="0" applyNumberFormat="1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9" xfId="0" applyFont="1" applyFill="1" applyBorder="1"/>
    <xf numFmtId="0" fontId="2" fillId="3" borderId="9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righ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3" fontId="3" fillId="3" borderId="9" xfId="0" applyNumberFormat="1" applyFont="1" applyFill="1" applyBorder="1" applyAlignment="1">
      <alignment vertical="center"/>
    </xf>
    <xf numFmtId="3" fontId="1" fillId="3" borderId="9" xfId="0" applyNumberFormat="1" applyFont="1" applyFill="1" applyBorder="1" applyAlignment="1">
      <alignment vertical="center"/>
    </xf>
    <xf numFmtId="0" fontId="3" fillId="3" borderId="9" xfId="0" applyFont="1" applyFill="1" applyBorder="1"/>
    <xf numFmtId="0" fontId="1" fillId="3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165" fontId="3" fillId="3" borderId="17" xfId="0" applyNumberFormat="1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left" vertical="center" wrapText="1"/>
    </xf>
    <xf numFmtId="165" fontId="1" fillId="3" borderId="18" xfId="0" applyNumberFormat="1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2" fillId="3" borderId="18" xfId="0" quotePrefix="1" applyFont="1" applyFill="1" applyBorder="1" applyAlignment="1">
      <alignment horizontal="center" vertical="center" wrapText="1"/>
    </xf>
    <xf numFmtId="0" fontId="2" fillId="2" borderId="18" xfId="0" applyFont="1" applyFill="1" applyBorder="1"/>
    <xf numFmtId="165" fontId="2" fillId="3" borderId="18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vertical="center" wrapText="1"/>
    </xf>
    <xf numFmtId="3" fontId="2" fillId="2" borderId="18" xfId="0" applyNumberFormat="1" applyFont="1" applyFill="1" applyBorder="1" applyAlignment="1">
      <alignment vertical="center" wrapText="1"/>
    </xf>
    <xf numFmtId="0" fontId="2" fillId="3" borderId="18" xfId="0" applyFont="1" applyFill="1" applyBorder="1"/>
    <xf numFmtId="0" fontId="2" fillId="3" borderId="18" xfId="0" applyFont="1" applyFill="1" applyBorder="1" applyAlignment="1">
      <alignment horizontal="center"/>
    </xf>
    <xf numFmtId="3" fontId="2" fillId="3" borderId="18" xfId="0" applyNumberFormat="1" applyFont="1" applyFill="1" applyBorder="1"/>
    <xf numFmtId="0" fontId="2" fillId="3" borderId="9" xfId="0" applyFont="1" applyFill="1" applyBorder="1"/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/>
    <xf numFmtId="3" fontId="1" fillId="3" borderId="19" xfId="0" applyNumberFormat="1" applyFont="1" applyFill="1" applyBorder="1"/>
    <xf numFmtId="3" fontId="1" fillId="3" borderId="9" xfId="0" applyNumberFormat="1" applyFont="1" applyFill="1" applyBorder="1"/>
    <xf numFmtId="170" fontId="1" fillId="3" borderId="9" xfId="0" applyNumberFormat="1" applyFont="1" applyFill="1" applyBorder="1"/>
    <xf numFmtId="0" fontId="1" fillId="3" borderId="9" xfId="0" applyFont="1" applyFill="1" applyBorder="1" applyAlignment="1">
      <alignment horizontal="center"/>
    </xf>
    <xf numFmtId="165" fontId="1" fillId="3" borderId="9" xfId="0" applyNumberFormat="1" applyFont="1" applyFill="1" applyBorder="1"/>
    <xf numFmtId="0" fontId="9" fillId="0" borderId="0" xfId="0" applyFont="1" applyAlignment="1">
      <alignment horizontal="left" vertical="center"/>
    </xf>
    <xf numFmtId="168" fontId="1" fillId="3" borderId="9" xfId="0" applyNumberFormat="1" applyFont="1" applyFill="1" applyBorder="1"/>
    <xf numFmtId="4" fontId="10" fillId="0" borderId="0" xfId="0" applyNumberFormat="1" applyFont="1"/>
    <xf numFmtId="4" fontId="9" fillId="0" borderId="0" xfId="0" applyNumberFormat="1" applyFont="1"/>
    <xf numFmtId="4" fontId="1" fillId="3" borderId="9" xfId="0" applyNumberFormat="1" applyFont="1" applyFill="1" applyBorder="1"/>
    <xf numFmtId="173" fontId="1" fillId="3" borderId="9" xfId="0" applyNumberFormat="1" applyFont="1" applyFill="1" applyBorder="1"/>
    <xf numFmtId="0" fontId="11" fillId="0" borderId="0" xfId="0" applyFont="1" applyAlignment="1">
      <alignment horizontal="left" vertical="center"/>
    </xf>
    <xf numFmtId="0" fontId="9" fillId="0" borderId="0" xfId="0" applyFont="1"/>
    <xf numFmtId="4" fontId="11" fillId="0" borderId="0" xfId="0" applyNumberFormat="1" applyFont="1"/>
    <xf numFmtId="3" fontId="9" fillId="0" borderId="0" xfId="0" applyNumberFormat="1" applyFont="1"/>
    <xf numFmtId="166" fontId="1" fillId="3" borderId="9" xfId="0" applyNumberFormat="1" applyFont="1" applyFill="1" applyBorder="1"/>
    <xf numFmtId="43" fontId="13" fillId="0" borderId="16" xfId="1" applyFont="1" applyFill="1" applyBorder="1" applyAlignment="1">
      <alignment vertical="center" wrapText="1"/>
    </xf>
    <xf numFmtId="43" fontId="16" fillId="0" borderId="16" xfId="1" applyFont="1" applyFill="1" applyBorder="1"/>
    <xf numFmtId="43" fontId="13" fillId="0" borderId="16" xfId="1" applyFont="1" applyFill="1" applyBorder="1" applyAlignment="1">
      <alignment vertical="center"/>
    </xf>
    <xf numFmtId="43" fontId="13" fillId="0" borderId="16" xfId="1" applyFont="1" applyFill="1" applyBorder="1" applyAlignment="1">
      <alignment horizontal="center" vertical="center"/>
    </xf>
    <xf numFmtId="43" fontId="16" fillId="0" borderId="16" xfId="1" applyFont="1" applyFill="1" applyBorder="1" applyAlignment="1">
      <alignment horizontal="center" vertical="center"/>
    </xf>
    <xf numFmtId="43" fontId="16" fillId="0" borderId="16" xfId="1" applyFont="1" applyFill="1" applyBorder="1" applyAlignment="1">
      <alignment vertical="center"/>
    </xf>
    <xf numFmtId="43" fontId="13" fillId="0" borderId="16" xfId="1" applyFont="1" applyFill="1" applyBorder="1"/>
    <xf numFmtId="43" fontId="13" fillId="0" borderId="0" xfId="1" applyFont="1" applyFill="1" applyAlignment="1">
      <alignment vertical="center"/>
    </xf>
    <xf numFmtId="43" fontId="16" fillId="0" borderId="0" xfId="1" applyFont="1" applyFill="1" applyAlignment="1">
      <alignment vertical="center"/>
    </xf>
    <xf numFmtId="43" fontId="16" fillId="0" borderId="0" xfId="1" applyFont="1" applyFill="1"/>
    <xf numFmtId="43" fontId="13" fillId="0" borderId="0" xfId="1" applyFont="1" applyFill="1"/>
    <xf numFmtId="0" fontId="16" fillId="0" borderId="0" xfId="0" applyFont="1"/>
    <xf numFmtId="0" fontId="16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9" fillId="0" borderId="0" xfId="0" applyFont="1"/>
    <xf numFmtId="0" fontId="13" fillId="0" borderId="16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164" fontId="13" fillId="0" borderId="16" xfId="0" applyNumberFormat="1" applyFont="1" applyBorder="1" applyAlignment="1">
      <alignment vertical="center"/>
    </xf>
    <xf numFmtId="16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6" fillId="0" borderId="16" xfId="0" applyFont="1" applyBorder="1"/>
    <xf numFmtId="164" fontId="16" fillId="0" borderId="16" xfId="0" applyNumberFormat="1" applyFont="1" applyBorder="1"/>
    <xf numFmtId="2" fontId="16" fillId="0" borderId="0" xfId="0" applyNumberFormat="1" applyFont="1"/>
    <xf numFmtId="2" fontId="16" fillId="0" borderId="16" xfId="0" applyNumberFormat="1" applyFont="1" applyBorder="1"/>
    <xf numFmtId="0" fontId="15" fillId="0" borderId="16" xfId="0" applyFont="1" applyBorder="1" applyAlignment="1">
      <alignment vertical="center"/>
    </xf>
    <xf numFmtId="0" fontId="19" fillId="0" borderId="16" xfId="0" applyFont="1" applyBorder="1"/>
    <xf numFmtId="0" fontId="17" fillId="0" borderId="0" xfId="0" applyFont="1"/>
    <xf numFmtId="43" fontId="13" fillId="0" borderId="0" xfId="1" applyFont="1" applyFill="1" applyAlignment="1">
      <alignment horizontal="center" vertical="center"/>
    </xf>
    <xf numFmtId="43" fontId="16" fillId="0" borderId="0" xfId="1" applyFont="1" applyFill="1" applyAlignment="1">
      <alignment horizontal="center" vertical="center"/>
    </xf>
    <xf numFmtId="0" fontId="16" fillId="0" borderId="16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7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21" fillId="0" borderId="0" xfId="0" applyFont="1"/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3" fillId="0" borderId="16" xfId="0" applyFont="1" applyBorder="1"/>
    <xf numFmtId="0" fontId="18" fillId="0" borderId="16" xfId="0" applyFont="1" applyBorder="1"/>
    <xf numFmtId="2" fontId="16" fillId="0" borderId="16" xfId="0" applyNumberFormat="1" applyFont="1" applyBorder="1" applyAlignment="1">
      <alignment vertical="center"/>
    </xf>
    <xf numFmtId="0" fontId="21" fillId="0" borderId="16" xfId="0" applyFont="1" applyBorder="1"/>
    <xf numFmtId="0" fontId="18" fillId="0" borderId="16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164" fontId="16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/>
    </xf>
    <xf numFmtId="43" fontId="15" fillId="0" borderId="0" xfId="1" applyFont="1" applyFill="1" applyAlignment="1">
      <alignment vertical="center"/>
    </xf>
    <xf numFmtId="43" fontId="23" fillId="0" borderId="0" xfId="1" applyFont="1" applyFill="1"/>
    <xf numFmtId="164" fontId="13" fillId="0" borderId="16" xfId="0" applyNumberFormat="1" applyFont="1" applyBorder="1" applyAlignment="1">
      <alignment horizontal="center" vertical="center"/>
    </xf>
    <xf numFmtId="43" fontId="23" fillId="0" borderId="16" xfId="1" applyFont="1" applyFill="1" applyBorder="1" applyAlignment="1">
      <alignment vertical="center" wrapText="1"/>
    </xf>
    <xf numFmtId="43" fontId="23" fillId="0" borderId="16" xfId="1" applyFont="1" applyFill="1" applyBorder="1" applyAlignment="1">
      <alignment horizontal="center" vertical="center" wrapText="1"/>
    </xf>
    <xf numFmtId="43" fontId="24" fillId="0" borderId="16" xfId="1" applyFont="1" applyFill="1" applyBorder="1" applyAlignment="1">
      <alignment vertical="center"/>
    </xf>
    <xf numFmtId="0" fontId="25" fillId="0" borderId="24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74" fontId="25" fillId="0" borderId="0" xfId="1" applyNumberFormat="1" applyFont="1" applyFill="1" applyAlignment="1">
      <alignment horizontal="center" vertical="center"/>
    </xf>
    <xf numFmtId="174" fontId="25" fillId="0" borderId="0" xfId="1" applyNumberFormat="1" applyFont="1" applyFill="1" applyAlignment="1">
      <alignment vertical="center"/>
    </xf>
    <xf numFmtId="0" fontId="26" fillId="0" borderId="0" xfId="0" applyFont="1"/>
    <xf numFmtId="0" fontId="27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3" fontId="23" fillId="0" borderId="0" xfId="1" applyFont="1" applyFill="1" applyAlignment="1">
      <alignment vertical="center"/>
    </xf>
    <xf numFmtId="43" fontId="23" fillId="0" borderId="0" xfId="1" applyFont="1" applyFill="1" applyAlignment="1">
      <alignment horizontal="center" vertical="center"/>
    </xf>
    <xf numFmtId="43" fontId="26" fillId="0" borderId="0" xfId="1" applyFont="1" applyFill="1" applyAlignment="1">
      <alignment horizontal="center" vertical="center"/>
    </xf>
    <xf numFmtId="43" fontId="26" fillId="0" borderId="0" xfId="1" applyFont="1" applyFill="1"/>
    <xf numFmtId="43" fontId="23" fillId="0" borderId="16" xfId="1" applyFont="1" applyFill="1" applyBorder="1" applyAlignment="1">
      <alignment horizontal="center" vertical="center"/>
    </xf>
    <xf numFmtId="43" fontId="26" fillId="0" borderId="0" xfId="1" applyFont="1" applyFill="1" applyAlignment="1">
      <alignment vertical="center"/>
    </xf>
    <xf numFmtId="43" fontId="23" fillId="0" borderId="16" xfId="1" applyFont="1" applyFill="1" applyBorder="1" applyAlignment="1">
      <alignment vertical="center"/>
    </xf>
    <xf numFmtId="174" fontId="16" fillId="0" borderId="0" xfId="1" applyNumberFormat="1" applyFont="1" applyAlignment="1">
      <alignment vertical="center"/>
    </xf>
    <xf numFmtId="164" fontId="16" fillId="0" borderId="0" xfId="0" applyNumberFormat="1" applyFont="1"/>
    <xf numFmtId="0" fontId="14" fillId="0" borderId="0" xfId="0" applyFont="1" applyAlignment="1">
      <alignment horizontal="center" vertical="center"/>
    </xf>
    <xf numFmtId="43" fontId="16" fillId="0" borderId="16" xfId="1" applyFont="1" applyBorder="1" applyAlignment="1">
      <alignment vertical="center"/>
    </xf>
    <xf numFmtId="43" fontId="16" fillId="0" borderId="0" xfId="1" applyFont="1" applyAlignment="1">
      <alignment vertical="center"/>
    </xf>
    <xf numFmtId="164" fontId="19" fillId="0" borderId="16" xfId="0" applyNumberFormat="1" applyFont="1" applyBorder="1" applyAlignment="1">
      <alignment vertical="center"/>
    </xf>
    <xf numFmtId="0" fontId="28" fillId="0" borderId="0" xfId="0" applyFont="1"/>
    <xf numFmtId="174" fontId="16" fillId="0" borderId="0" xfId="0" applyNumberFormat="1" applyFont="1" applyAlignment="1">
      <alignment vertical="center"/>
    </xf>
    <xf numFmtId="164" fontId="18" fillId="0" borderId="0" xfId="0" applyNumberFormat="1" applyFont="1"/>
    <xf numFmtId="164" fontId="21" fillId="0" borderId="0" xfId="0" applyNumberFormat="1" applyFont="1"/>
    <xf numFmtId="0" fontId="15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164" fontId="14" fillId="0" borderId="16" xfId="0" applyNumberFormat="1" applyFont="1" applyBorder="1" applyAlignment="1">
      <alignment vertical="center"/>
    </xf>
    <xf numFmtId="164" fontId="19" fillId="0" borderId="0" xfId="0" applyNumberFormat="1" applyFont="1" applyAlignment="1">
      <alignment vertical="center"/>
    </xf>
    <xf numFmtId="0" fontId="28" fillId="0" borderId="16" xfId="0" applyFont="1" applyBorder="1"/>
    <xf numFmtId="174" fontId="18" fillId="0" borderId="0" xfId="1" applyNumberFormat="1" applyFont="1" applyAlignment="1">
      <alignment vertical="center"/>
    </xf>
    <xf numFmtId="43" fontId="13" fillId="0" borderId="16" xfId="1" applyFont="1" applyFill="1" applyBorder="1" applyAlignment="1">
      <alignment horizontal="center" vertical="center" wrapText="1"/>
    </xf>
    <xf numFmtId="43" fontId="27" fillId="0" borderId="0" xfId="1" applyFont="1" applyAlignment="1">
      <alignment vertical="center"/>
    </xf>
    <xf numFmtId="174" fontId="25" fillId="4" borderId="24" xfId="1" applyNumberFormat="1" applyFont="1" applyFill="1" applyBorder="1" applyAlignment="1">
      <alignment horizontal="right" vertical="center" wrapText="1"/>
    </xf>
    <xf numFmtId="174" fontId="16" fillId="0" borderId="0" xfId="0" applyNumberFormat="1" applyFont="1"/>
    <xf numFmtId="2" fontId="18" fillId="0" borderId="0" xfId="0" applyNumberFormat="1" applyFont="1" applyAlignment="1">
      <alignment vertical="center"/>
    </xf>
    <xf numFmtId="2" fontId="19" fillId="0" borderId="0" xfId="0" applyNumberFormat="1" applyFont="1" applyAlignment="1">
      <alignment vertical="center"/>
    </xf>
    <xf numFmtId="43" fontId="14" fillId="0" borderId="16" xfId="1" applyFont="1" applyFill="1" applyBorder="1" applyAlignment="1">
      <alignment vertical="center"/>
    </xf>
    <xf numFmtId="43" fontId="14" fillId="0" borderId="16" xfId="1" applyFont="1" applyFill="1" applyBorder="1" applyAlignment="1">
      <alignment horizontal="center" vertical="center"/>
    </xf>
    <xf numFmtId="43" fontId="24" fillId="0" borderId="0" xfId="1" applyFont="1" applyFill="1" applyAlignment="1">
      <alignment vertical="center"/>
    </xf>
    <xf numFmtId="0" fontId="14" fillId="0" borderId="0" xfId="0" applyFont="1"/>
    <xf numFmtId="164" fontId="13" fillId="0" borderId="0" xfId="0" applyNumberFormat="1" applyFont="1" applyAlignment="1">
      <alignment vertical="center"/>
    </xf>
    <xf numFmtId="164" fontId="24" fillId="0" borderId="16" xfId="0" applyNumberFormat="1" applyFont="1" applyBorder="1" applyAlignment="1">
      <alignment vertical="center"/>
    </xf>
    <xf numFmtId="164" fontId="13" fillId="0" borderId="16" xfId="0" applyNumberFormat="1" applyFont="1" applyBorder="1"/>
    <xf numFmtId="0" fontId="15" fillId="0" borderId="0" xfId="0" applyFont="1"/>
    <xf numFmtId="0" fontId="15" fillId="0" borderId="16" xfId="0" applyFont="1" applyBorder="1"/>
    <xf numFmtId="0" fontId="15" fillId="0" borderId="0" xfId="0" applyFont="1" applyAlignment="1">
      <alignment vertical="center"/>
    </xf>
    <xf numFmtId="2" fontId="15" fillId="0" borderId="0" xfId="0" applyNumberFormat="1" applyFont="1" applyAlignment="1">
      <alignment vertical="center"/>
    </xf>
    <xf numFmtId="1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4" fontId="13" fillId="0" borderId="0" xfId="0" applyNumberFormat="1" applyFont="1"/>
    <xf numFmtId="177" fontId="24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/>
    </xf>
    <xf numFmtId="2" fontId="24" fillId="0" borderId="0" xfId="0" applyNumberFormat="1" applyFont="1" applyAlignment="1">
      <alignment vertical="center"/>
    </xf>
    <xf numFmtId="0" fontId="14" fillId="0" borderId="16" xfId="0" applyFont="1" applyBorder="1"/>
    <xf numFmtId="0" fontId="17" fillId="0" borderId="16" xfId="0" applyFont="1" applyBorder="1"/>
    <xf numFmtId="2" fontId="15" fillId="0" borderId="16" xfId="0" applyNumberFormat="1" applyFont="1" applyBorder="1" applyAlignment="1">
      <alignment vertical="center"/>
    </xf>
    <xf numFmtId="0" fontId="24" fillId="0" borderId="16" xfId="0" applyFont="1" applyBorder="1" applyAlignment="1">
      <alignment vertical="center"/>
    </xf>
    <xf numFmtId="0" fontId="22" fillId="0" borderId="0" xfId="0" applyFont="1"/>
    <xf numFmtId="0" fontId="23" fillId="0" borderId="0" xfId="0" applyFont="1"/>
    <xf numFmtId="43" fontId="14" fillId="0" borderId="0" xfId="1" applyFont="1" applyFill="1" applyAlignment="1">
      <alignment vertical="center"/>
    </xf>
    <xf numFmtId="2" fontId="13" fillId="0" borderId="16" xfId="0" applyNumberFormat="1" applyFont="1" applyBorder="1" applyAlignment="1">
      <alignment vertical="center"/>
    </xf>
    <xf numFmtId="0" fontId="23" fillId="0" borderId="16" xfId="0" applyFont="1" applyBorder="1" applyAlignment="1">
      <alignment horizontal="center" vertical="center"/>
    </xf>
    <xf numFmtId="164" fontId="24" fillId="0" borderId="16" xfId="0" applyNumberFormat="1" applyFont="1" applyBorder="1" applyAlignment="1">
      <alignment horizontal="center" vertical="center"/>
    </xf>
    <xf numFmtId="164" fontId="15" fillId="0" borderId="0" xfId="0" applyNumberFormat="1" applyFont="1"/>
    <xf numFmtId="164" fontId="23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2" fontId="14" fillId="0" borderId="0" xfId="0" applyNumberFormat="1" applyFont="1" applyAlignment="1">
      <alignment vertical="center"/>
    </xf>
    <xf numFmtId="164" fontId="14" fillId="0" borderId="16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164" fontId="15" fillId="0" borderId="16" xfId="0" applyNumberFormat="1" applyFont="1" applyBorder="1"/>
    <xf numFmtId="2" fontId="23" fillId="0" borderId="16" xfId="0" applyNumberFormat="1" applyFont="1" applyBorder="1" applyAlignment="1">
      <alignment vertical="center"/>
    </xf>
    <xf numFmtId="164" fontId="23" fillId="0" borderId="16" xfId="0" applyNumberFormat="1" applyFont="1" applyBorder="1"/>
    <xf numFmtId="2" fontId="14" fillId="0" borderId="16" xfId="0" applyNumberFormat="1" applyFont="1" applyBorder="1" applyAlignment="1">
      <alignment vertical="center"/>
    </xf>
    <xf numFmtId="2" fontId="22" fillId="0" borderId="16" xfId="0" applyNumberFormat="1" applyFont="1" applyBorder="1" applyAlignment="1">
      <alignment vertical="center"/>
    </xf>
    <xf numFmtId="2" fontId="19" fillId="0" borderId="16" xfId="0" applyNumberFormat="1" applyFont="1" applyBorder="1" applyAlignment="1">
      <alignment vertical="center"/>
    </xf>
    <xf numFmtId="2" fontId="15" fillId="0" borderId="16" xfId="0" applyNumberFormat="1" applyFont="1" applyBorder="1"/>
    <xf numFmtId="164" fontId="13" fillId="0" borderId="0" xfId="0" applyNumberFormat="1" applyFont="1" applyAlignment="1">
      <alignment horizontal="center" vertical="center"/>
    </xf>
    <xf numFmtId="164" fontId="28" fillId="0" borderId="16" xfId="0" applyNumberFormat="1" applyFont="1" applyBorder="1"/>
    <xf numFmtId="174" fontId="13" fillId="0" borderId="16" xfId="1" applyNumberFormat="1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164" fontId="28" fillId="0" borderId="0" xfId="0" applyNumberFormat="1" applyFont="1" applyAlignment="1">
      <alignment vertical="center"/>
    </xf>
    <xf numFmtId="43" fontId="18" fillId="0" borderId="0" xfId="1" applyFont="1" applyFill="1" applyAlignment="1">
      <alignment vertical="center"/>
    </xf>
    <xf numFmtId="174" fontId="18" fillId="0" borderId="0" xfId="1" applyNumberFormat="1" applyFont="1" applyFill="1" applyAlignment="1">
      <alignment vertical="center"/>
    </xf>
    <xf numFmtId="43" fontId="28" fillId="0" borderId="0" xfId="1" applyFont="1" applyFill="1" applyAlignment="1">
      <alignment vertical="center"/>
    </xf>
    <xf numFmtId="174" fontId="28" fillId="0" borderId="0" xfId="1" applyNumberFormat="1" applyFont="1" applyFill="1" applyAlignment="1">
      <alignment vertical="center"/>
    </xf>
    <xf numFmtId="174" fontId="28" fillId="0" borderId="0" xfId="1" applyNumberFormat="1" applyFont="1" applyAlignment="1">
      <alignment vertical="center"/>
    </xf>
    <xf numFmtId="2" fontId="24" fillId="0" borderId="16" xfId="0" applyNumberFormat="1" applyFont="1" applyBorder="1" applyAlignment="1">
      <alignment vertical="center"/>
    </xf>
    <xf numFmtId="164" fontId="24" fillId="0" borderId="0" xfId="0" applyNumberFormat="1" applyFont="1" applyAlignment="1">
      <alignment vertical="center"/>
    </xf>
    <xf numFmtId="43" fontId="28" fillId="0" borderId="16" xfId="1" applyFont="1" applyFill="1" applyBorder="1"/>
    <xf numFmtId="43" fontId="28" fillId="0" borderId="0" xfId="1" applyFont="1" applyAlignment="1">
      <alignment vertical="center"/>
    </xf>
    <xf numFmtId="43" fontId="32" fillId="0" borderId="0" xfId="1" applyFont="1" applyFill="1" applyAlignment="1">
      <alignment vertical="center"/>
    </xf>
    <xf numFmtId="0" fontId="33" fillId="0" borderId="0" xfId="0" applyFont="1"/>
    <xf numFmtId="43" fontId="19" fillId="0" borderId="0" xfId="1" applyFont="1" applyFill="1"/>
    <xf numFmtId="164" fontId="19" fillId="0" borderId="0" xfId="0" applyNumberFormat="1" applyFont="1"/>
    <xf numFmtId="43" fontId="13" fillId="0" borderId="16" xfId="0" applyNumberFormat="1" applyFont="1" applyBorder="1" applyAlignment="1">
      <alignment horizontal="center" vertical="center" wrapText="1"/>
    </xf>
    <xf numFmtId="164" fontId="15" fillId="0" borderId="16" xfId="0" applyNumberFormat="1" applyFont="1" applyBorder="1" applyAlignment="1">
      <alignment vertical="center"/>
    </xf>
    <xf numFmtId="0" fontId="32" fillId="0" borderId="0" xfId="0" applyFont="1" applyAlignment="1">
      <alignment vertical="center"/>
    </xf>
    <xf numFmtId="164" fontId="32" fillId="0" borderId="0" xfId="0" applyNumberFormat="1" applyFont="1" applyAlignment="1">
      <alignment vertical="center"/>
    </xf>
    <xf numFmtId="0" fontId="30" fillId="0" borderId="16" xfId="0" applyFont="1" applyBorder="1" applyAlignment="1">
      <alignment vertical="center"/>
    </xf>
    <xf numFmtId="164" fontId="17" fillId="0" borderId="16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164" fontId="15" fillId="0" borderId="16" xfId="0" applyNumberFormat="1" applyFont="1" applyBorder="1" applyAlignment="1">
      <alignment horizontal="center" vertical="center"/>
    </xf>
    <xf numFmtId="164" fontId="18" fillId="0" borderId="0" xfId="0" applyNumberFormat="1" applyFont="1" applyAlignment="1">
      <alignment vertical="center"/>
    </xf>
    <xf numFmtId="175" fontId="15" fillId="0" borderId="16" xfId="0" applyNumberFormat="1" applyFont="1" applyBorder="1" applyAlignment="1">
      <alignment vertical="center"/>
    </xf>
    <xf numFmtId="176" fontId="24" fillId="0" borderId="16" xfId="1" applyNumberFormat="1" applyFont="1" applyFill="1" applyBorder="1" applyAlignment="1">
      <alignment horizontal="right" vertical="center"/>
    </xf>
    <xf numFmtId="2" fontId="32" fillId="0" borderId="0" xfId="0" applyNumberFormat="1" applyFont="1" applyAlignment="1">
      <alignment vertical="center"/>
    </xf>
    <xf numFmtId="0" fontId="31" fillId="0" borderId="16" xfId="0" applyFont="1" applyBorder="1" applyAlignment="1">
      <alignment vertical="center"/>
    </xf>
    <xf numFmtId="43" fontId="33" fillId="0" borderId="0" xfId="1" applyFont="1" applyFill="1" applyAlignment="1">
      <alignment vertical="center"/>
    </xf>
    <xf numFmtId="2" fontId="33" fillId="0" borderId="0" xfId="0" applyNumberFormat="1" applyFont="1"/>
    <xf numFmtId="43" fontId="19" fillId="0" borderId="0" xfId="1" applyFont="1" applyFill="1" applyAlignment="1">
      <alignment vertical="center"/>
    </xf>
    <xf numFmtId="174" fontId="16" fillId="0" borderId="0" xfId="1" applyNumberFormat="1" applyFont="1" applyFill="1" applyAlignment="1">
      <alignment vertical="center"/>
    </xf>
    <xf numFmtId="43" fontId="3" fillId="0" borderId="7" xfId="1" applyFont="1" applyFill="1" applyBorder="1" applyAlignment="1">
      <alignment vertical="center" wrapText="1"/>
    </xf>
    <xf numFmtId="43" fontId="3" fillId="0" borderId="6" xfId="1" applyFont="1" applyFill="1" applyBorder="1" applyAlignment="1">
      <alignment vertical="center" wrapText="1"/>
    </xf>
    <xf numFmtId="43" fontId="3" fillId="0" borderId="35" xfId="1" applyFont="1" applyFill="1" applyBorder="1" applyAlignment="1">
      <alignment vertical="center" wrapText="1"/>
    </xf>
    <xf numFmtId="43" fontId="3" fillId="0" borderId="24" xfId="1" applyFont="1" applyFill="1" applyBorder="1" applyAlignment="1">
      <alignment vertical="center" wrapText="1"/>
    </xf>
    <xf numFmtId="43" fontId="3" fillId="0" borderId="3" xfId="1" applyFont="1" applyFill="1" applyBorder="1" applyAlignment="1">
      <alignment vertical="center" wrapText="1"/>
    </xf>
    <xf numFmtId="43" fontId="1" fillId="0" borderId="7" xfId="1" applyFont="1" applyFill="1" applyBorder="1" applyAlignment="1">
      <alignment vertical="center" wrapText="1"/>
    </xf>
    <xf numFmtId="43" fontId="1" fillId="0" borderId="3" xfId="1" applyFont="1" applyFill="1" applyBorder="1" applyAlignment="1">
      <alignment vertical="center" wrapText="1"/>
    </xf>
    <xf numFmtId="43" fontId="1" fillId="0" borderId="24" xfId="1" applyFont="1" applyFill="1" applyBorder="1" applyAlignment="1">
      <alignment vertical="center" wrapText="1"/>
    </xf>
    <xf numFmtId="43" fontId="2" fillId="0" borderId="7" xfId="1" applyFont="1" applyFill="1" applyBorder="1" applyAlignment="1">
      <alignment vertical="center" wrapText="1"/>
    </xf>
    <xf numFmtId="43" fontId="2" fillId="0" borderId="3" xfId="1" applyFont="1" applyFill="1" applyBorder="1" applyAlignment="1">
      <alignment vertical="center" wrapText="1"/>
    </xf>
    <xf numFmtId="43" fontId="2" fillId="0" borderId="24" xfId="1" applyFont="1" applyFill="1" applyBorder="1" applyAlignment="1">
      <alignment vertical="center" wrapText="1"/>
    </xf>
    <xf numFmtId="43" fontId="3" fillId="0" borderId="7" xfId="1" applyFont="1" applyFill="1" applyBorder="1" applyAlignment="1">
      <alignment horizontal="center" vertical="center"/>
    </xf>
    <xf numFmtId="43" fontId="3" fillId="0" borderId="24" xfId="1" applyFont="1" applyFill="1" applyBorder="1" applyAlignment="1">
      <alignment horizontal="center" vertical="center"/>
    </xf>
    <xf numFmtId="43" fontId="6" fillId="0" borderId="7" xfId="1" applyFont="1" applyFill="1" applyBorder="1" applyAlignment="1">
      <alignment horizontal="center" vertical="center"/>
    </xf>
    <xf numFmtId="43" fontId="6" fillId="0" borderId="24" xfId="1" applyFont="1" applyFill="1" applyBorder="1" applyAlignment="1">
      <alignment horizontal="center" vertical="center"/>
    </xf>
    <xf numFmtId="43" fontId="1" fillId="0" borderId="7" xfId="1" applyFont="1" applyFill="1" applyBorder="1" applyAlignment="1">
      <alignment horizontal="center" vertical="center"/>
    </xf>
    <xf numFmtId="43" fontId="2" fillId="0" borderId="7" xfId="1" applyFont="1" applyFill="1" applyBorder="1" applyAlignment="1">
      <alignment horizontal="center" vertical="center"/>
    </xf>
    <xf numFmtId="43" fontId="2" fillId="0" borderId="24" xfId="1" applyFont="1" applyFill="1" applyBorder="1" applyAlignment="1">
      <alignment horizontal="center" vertical="center"/>
    </xf>
    <xf numFmtId="43" fontId="1" fillId="0" borderId="24" xfId="1" applyFont="1" applyFill="1" applyBorder="1" applyAlignment="1">
      <alignment horizontal="center" vertical="center"/>
    </xf>
    <xf numFmtId="43" fontId="3" fillId="0" borderId="23" xfId="1" applyFont="1" applyFill="1" applyBorder="1" applyAlignment="1">
      <alignment vertical="center" wrapText="1"/>
    </xf>
    <xf numFmtId="43" fontId="1" fillId="0" borderId="23" xfId="1" applyFont="1" applyFill="1" applyBorder="1" applyAlignment="1">
      <alignment vertical="center" wrapText="1"/>
    </xf>
    <xf numFmtId="43" fontId="1" fillId="0" borderId="5" xfId="1" applyFont="1" applyFill="1" applyBorder="1" applyAlignment="1">
      <alignment vertical="center" wrapText="1"/>
    </xf>
    <xf numFmtId="43" fontId="6" fillId="0" borderId="7" xfId="1" applyFont="1" applyFill="1" applyBorder="1" applyAlignment="1">
      <alignment vertical="center" wrapText="1"/>
    </xf>
    <xf numFmtId="43" fontId="6" fillId="0" borderId="24" xfId="1" applyFont="1" applyFill="1" applyBorder="1" applyAlignment="1">
      <alignment vertical="center" wrapText="1"/>
    </xf>
    <xf numFmtId="43" fontId="3" fillId="0" borderId="5" xfId="1" applyFont="1" applyFill="1" applyBorder="1" applyAlignment="1">
      <alignment vertical="center" wrapText="1"/>
    </xf>
    <xf numFmtId="164" fontId="14" fillId="0" borderId="16" xfId="0" applyNumberFormat="1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32" fillId="0" borderId="0" xfId="0" applyNumberFormat="1" applyFont="1" applyAlignment="1">
      <alignment horizontal="center" vertical="center"/>
    </xf>
    <xf numFmtId="43" fontId="28" fillId="0" borderId="0" xfId="1" applyFont="1" applyFill="1" applyAlignment="1">
      <alignment horizontal="center" vertical="center"/>
    </xf>
    <xf numFmtId="43" fontId="32" fillId="0" borderId="0" xfId="1" applyFont="1" applyFill="1" applyAlignment="1">
      <alignment horizontal="center" vertical="center"/>
    </xf>
    <xf numFmtId="164" fontId="14" fillId="0" borderId="0" xfId="0" applyNumberFormat="1" applyFont="1" applyAlignment="1">
      <alignment vertical="center"/>
    </xf>
    <xf numFmtId="43" fontId="3" fillId="0" borderId="24" xfId="1" applyFont="1" applyFill="1" applyBorder="1" applyAlignment="1">
      <alignment horizontal="center" vertical="center" wrapText="1"/>
    </xf>
    <xf numFmtId="43" fontId="1" fillId="0" borderId="24" xfId="1" applyFont="1" applyFill="1" applyBorder="1" applyAlignment="1">
      <alignment vertical="center"/>
    </xf>
    <xf numFmtId="43" fontId="2" fillId="0" borderId="24" xfId="1" applyFont="1" applyFill="1" applyBorder="1" applyAlignment="1">
      <alignment horizontal="center" vertical="center" wrapText="1"/>
    </xf>
    <xf numFmtId="43" fontId="1" fillId="0" borderId="35" xfId="1" applyFont="1" applyFill="1" applyBorder="1" applyAlignment="1">
      <alignment vertical="center" wrapText="1"/>
    </xf>
    <xf numFmtId="43" fontId="6" fillId="0" borderId="35" xfId="1" applyFont="1" applyFill="1" applyBorder="1" applyAlignment="1">
      <alignment vertical="center" wrapText="1"/>
    </xf>
    <xf numFmtId="43" fontId="6" fillId="0" borderId="3" xfId="1" applyFont="1" applyFill="1" applyBorder="1" applyAlignment="1">
      <alignment vertical="center" wrapText="1"/>
    </xf>
    <xf numFmtId="43" fontId="1" fillId="0" borderId="6" xfId="1" applyFont="1" applyFill="1" applyBorder="1" applyAlignment="1">
      <alignment vertical="center" wrapText="1"/>
    </xf>
    <xf numFmtId="43" fontId="6" fillId="0" borderId="6" xfId="1" applyFont="1" applyFill="1" applyBorder="1" applyAlignment="1">
      <alignment vertical="center" wrapText="1"/>
    </xf>
    <xf numFmtId="0" fontId="34" fillId="0" borderId="0" xfId="0" applyFont="1"/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64" fontId="3" fillId="0" borderId="24" xfId="0" applyNumberFormat="1" applyFont="1" applyBorder="1" applyAlignment="1">
      <alignment vertical="center"/>
    </xf>
    <xf numFmtId="164" fontId="1" fillId="0" borderId="24" xfId="0" applyNumberFormat="1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center" vertical="center"/>
    </xf>
    <xf numFmtId="0" fontId="1" fillId="0" borderId="24" xfId="0" quotePrefix="1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2" fontId="1" fillId="0" borderId="24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1" fillId="0" borderId="24" xfId="0" quotePrefix="1" applyFont="1" applyBorder="1" applyAlignment="1">
      <alignment horizontal="center" vertical="center" wrapText="1"/>
    </xf>
    <xf numFmtId="43" fontId="1" fillId="0" borderId="2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/>
    </xf>
    <xf numFmtId="164" fontId="2" fillId="0" borderId="24" xfId="0" applyNumberFormat="1" applyFont="1" applyBorder="1" applyAlignment="1">
      <alignment vertical="center"/>
    </xf>
    <xf numFmtId="0" fontId="2" fillId="0" borderId="24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6" fillId="0" borderId="24" xfId="0" quotePrefix="1" applyFont="1" applyBorder="1" applyAlignment="1">
      <alignment horizontal="center" vertical="center"/>
    </xf>
    <xf numFmtId="0" fontId="1" fillId="0" borderId="24" xfId="0" quotePrefix="1" applyFont="1" applyBorder="1" applyAlignment="1">
      <alignment vertical="center" wrapText="1"/>
    </xf>
    <xf numFmtId="0" fontId="2" fillId="0" borderId="24" xfId="0" quotePrefix="1" applyFont="1" applyBorder="1" applyAlignment="1">
      <alignment vertical="center" wrapText="1"/>
    </xf>
    <xf numFmtId="175" fontId="2" fillId="0" borderId="24" xfId="0" applyNumberFormat="1" applyFont="1" applyBorder="1" applyAlignment="1">
      <alignment vertical="center"/>
    </xf>
    <xf numFmtId="0" fontId="2" fillId="0" borderId="24" xfId="0" quotePrefix="1" applyFont="1" applyBorder="1" applyAlignment="1">
      <alignment horizontal="center" vertical="center"/>
    </xf>
    <xf numFmtId="0" fontId="2" fillId="0" borderId="24" xfId="0" quotePrefix="1" applyFont="1" applyBorder="1" applyAlignment="1">
      <alignment vertical="center"/>
    </xf>
    <xf numFmtId="170" fontId="1" fillId="0" borderId="24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vertical="center" wrapText="1"/>
    </xf>
    <xf numFmtId="170" fontId="2" fillId="0" borderId="24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3" fillId="0" borderId="7" xfId="0" quotePrefix="1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2" fontId="1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6" fillId="0" borderId="7" xfId="0" quotePrefix="1" applyFont="1" applyBorder="1" applyAlignment="1">
      <alignment horizontal="center" vertical="center"/>
    </xf>
    <xf numFmtId="0" fontId="1" fillId="0" borderId="7" xfId="0" quotePrefix="1" applyFont="1" applyBorder="1" applyAlignment="1">
      <alignment vertical="center" wrapText="1"/>
    </xf>
    <xf numFmtId="0" fontId="2" fillId="0" borderId="7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vertical="center" wrapText="1"/>
    </xf>
    <xf numFmtId="0" fontId="2" fillId="0" borderId="2" xfId="0" quotePrefix="1" applyFont="1" applyBorder="1" applyAlignment="1">
      <alignment vertical="center" wrapText="1"/>
    </xf>
    <xf numFmtId="170" fontId="1" fillId="0" borderId="7" xfId="0" applyNumberFormat="1" applyFont="1" applyBorder="1" applyAlignment="1">
      <alignment horizontal="center" vertical="center"/>
    </xf>
    <xf numFmtId="168" fontId="1" fillId="0" borderId="0" xfId="0" applyNumberFormat="1" applyFont="1" applyAlignment="1">
      <alignment vertical="center" wrapText="1"/>
    </xf>
    <xf numFmtId="0" fontId="6" fillId="0" borderId="0" xfId="0" applyFont="1"/>
    <xf numFmtId="0" fontId="2" fillId="0" borderId="1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5" fillId="0" borderId="16" xfId="0" applyFont="1" applyBorder="1" applyAlignment="1">
      <alignment horizontal="right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7" fillId="0" borderId="24" xfId="0" applyFont="1" applyBorder="1"/>
    <xf numFmtId="0" fontId="3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6" fillId="0" borderId="0" xfId="0" applyFont="1"/>
    <xf numFmtId="0" fontId="3" fillId="0" borderId="2" xfId="0" applyFont="1" applyBorder="1" applyAlignment="1">
      <alignment horizontal="center" vertical="center" wrapText="1"/>
    </xf>
    <xf numFmtId="0" fontId="37" fillId="0" borderId="6" xfId="0" applyFont="1" applyBorder="1"/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7" fillId="0" borderId="35" xfId="0" applyFont="1" applyBorder="1"/>
    <xf numFmtId="3" fontId="1" fillId="3" borderId="12" xfId="0" applyNumberFormat="1" applyFont="1" applyFill="1" applyBorder="1" applyAlignment="1">
      <alignment horizontal="left" vertical="center" wrapText="1"/>
    </xf>
    <xf numFmtId="0" fontId="5" fillId="0" borderId="13" xfId="0" applyFont="1" applyBorder="1"/>
    <xf numFmtId="0" fontId="5" fillId="0" borderId="14" xfId="0" applyFont="1" applyBorder="1"/>
    <xf numFmtId="3" fontId="1" fillId="3" borderId="10" xfId="0" applyNumberFormat="1" applyFont="1" applyFill="1" applyBorder="1" applyAlignment="1">
      <alignment horizontal="center" vertical="center" wrapText="1"/>
    </xf>
    <xf numFmtId="0" fontId="5" fillId="0" borderId="11" xfId="0" applyFont="1" applyBorder="1"/>
    <xf numFmtId="3" fontId="8" fillId="3" borderId="16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/>
    <xf numFmtId="3" fontId="2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1" fillId="3" borderId="16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right" vertical="center" wrapText="1"/>
    </xf>
    <xf numFmtId="0" fontId="5" fillId="0" borderId="21" xfId="0" applyFont="1" applyBorder="1"/>
    <xf numFmtId="0" fontId="5" fillId="0" borderId="22" xfId="0" applyFont="1" applyBorder="1"/>
    <xf numFmtId="0" fontId="5" fillId="0" borderId="8" xfId="0" applyFont="1" applyBorder="1"/>
    <xf numFmtId="0" fontId="3" fillId="3" borderId="3" xfId="0" applyFont="1" applyFill="1" applyBorder="1" applyAlignment="1">
      <alignment horizontal="center" vertical="center"/>
    </xf>
    <xf numFmtId="0" fontId="5" fillId="0" borderId="4" xfId="0" applyFont="1" applyBorder="1"/>
  </cellXfs>
  <cellStyles count="5">
    <cellStyle name="Comma" xfId="1" builtinId="3"/>
    <cellStyle name="Comma 2" xfId="3" xr:uid="{00000000-0005-0000-0000-000001000000}"/>
    <cellStyle name="Comma 3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4"/>
  <sheetViews>
    <sheetView tabSelected="1" zoomScale="60" zoomScaleNormal="60" workbookViewId="0">
      <pane ySplit="5" topLeftCell="A6" activePane="bottomLeft" state="frozen"/>
      <selection pane="bottomLeft" activeCell="N10" sqref="N10"/>
    </sheetView>
  </sheetViews>
  <sheetFormatPr defaultColWidth="11.21875" defaultRowHeight="15" customHeight="1" x14ac:dyDescent="0.25"/>
  <cols>
    <col min="1" max="1" width="8.88671875" style="330" customWidth="1"/>
    <col min="2" max="2" width="33" style="330" customWidth="1"/>
    <col min="3" max="3" width="10.33203125" style="330" customWidth="1"/>
    <col min="4" max="5" width="16.77734375" style="330" customWidth="1"/>
    <col min="6" max="6" width="15.44140625" style="330" customWidth="1"/>
    <col min="7" max="7" width="11.6640625" style="330" customWidth="1"/>
    <col min="8" max="8" width="12.21875" style="330" customWidth="1"/>
    <col min="9" max="9" width="13.33203125" style="330" customWidth="1"/>
    <col min="10" max="10" width="10.44140625" style="375" customWidth="1"/>
    <col min="11" max="11" width="12.5546875" style="126" customWidth="1"/>
    <col min="12" max="12" width="18.33203125" style="126" hidden="1" customWidth="1"/>
    <col min="13" max="13" width="14.88671875" style="125" hidden="1" customWidth="1"/>
    <col min="14" max="14" width="20.6640625" style="125" customWidth="1"/>
    <col min="15" max="16384" width="11.21875" style="125"/>
  </cols>
  <sheetData>
    <row r="1" spans="1:16" ht="15" customHeight="1" x14ac:dyDescent="0.25">
      <c r="F1" s="401" t="s">
        <v>195</v>
      </c>
      <c r="G1" s="401"/>
      <c r="H1" s="401"/>
      <c r="I1" s="401"/>
      <c r="J1" s="401"/>
    </row>
    <row r="2" spans="1:16" ht="28.15" customHeight="1" x14ac:dyDescent="0.25">
      <c r="A2" s="405" t="s">
        <v>260</v>
      </c>
      <c r="B2" s="405"/>
      <c r="C2" s="405"/>
      <c r="D2" s="405"/>
      <c r="E2" s="405"/>
      <c r="F2" s="405"/>
      <c r="G2" s="405"/>
      <c r="H2" s="405"/>
      <c r="I2" s="405"/>
      <c r="J2" s="405"/>
      <c r="K2" s="190"/>
    </row>
    <row r="3" spans="1:16" ht="27.6" customHeight="1" x14ac:dyDescent="0.25">
      <c r="A3" s="406" t="s">
        <v>264</v>
      </c>
      <c r="B3" s="406"/>
      <c r="C3" s="406"/>
      <c r="D3" s="406"/>
      <c r="E3" s="406"/>
      <c r="F3" s="406"/>
      <c r="G3" s="406"/>
      <c r="H3" s="406"/>
      <c r="I3" s="406"/>
      <c r="J3" s="406"/>
      <c r="K3" s="198"/>
    </row>
    <row r="4" spans="1:16" ht="49.15" customHeight="1" x14ac:dyDescent="0.25">
      <c r="A4" s="403" t="s">
        <v>10</v>
      </c>
      <c r="B4" s="403" t="s">
        <v>1</v>
      </c>
      <c r="C4" s="403" t="s">
        <v>11</v>
      </c>
      <c r="D4" s="403" t="s">
        <v>222</v>
      </c>
      <c r="E4" s="407" t="s">
        <v>253</v>
      </c>
      <c r="F4" s="403" t="s">
        <v>256</v>
      </c>
      <c r="G4" s="403"/>
      <c r="H4" s="403"/>
      <c r="I4" s="403"/>
      <c r="J4" s="402" t="s">
        <v>217</v>
      </c>
      <c r="K4" s="199"/>
      <c r="L4" s="153" t="s">
        <v>215</v>
      </c>
      <c r="M4" s="206">
        <f>'TUMO RONG (1)'!L7+'LONG LEO(2)'!L7+'ĐĂK CHUM 1(3)'!L7+'ĐĂK CHUM II(4)'!L7+'TU CẤP(5)'!L7+'ĐĂK KA(6)'!L7+'VĂN SANG(7)'!L7+'ĐĂK NEANG(8)'!L7+'NGỌC LEANG(9)'!L7+'ĐĂK SIÊNG(10)'!L7+'KON TUN(11)'!L7+'MÔ PẢ(12)'!L7+'TY TU(13)'!L7+'KON LING(14)'!L7+'ĐĂK PƠ TRANG(15)'!L7+'KON PIA(16)'!L7+'ĐĂK HÀ(17)'!L7</f>
        <v>1331</v>
      </c>
      <c r="N4" s="207"/>
    </row>
    <row r="5" spans="1:16" ht="49.15" customHeight="1" x14ac:dyDescent="0.25">
      <c r="A5" s="404"/>
      <c r="B5" s="404"/>
      <c r="C5" s="404"/>
      <c r="D5" s="403"/>
      <c r="E5" s="408"/>
      <c r="F5" s="331" t="s">
        <v>257</v>
      </c>
      <c r="G5" s="331" t="s">
        <v>261</v>
      </c>
      <c r="H5" s="331" t="s">
        <v>262</v>
      </c>
      <c r="I5" s="331" t="s">
        <v>258</v>
      </c>
      <c r="J5" s="402"/>
      <c r="K5" s="199"/>
      <c r="L5" s="153" t="s">
        <v>216</v>
      </c>
      <c r="M5" s="206">
        <f>'TUMO RONG (1)'!L8+'LONG LEO(2)'!L8+'ĐĂK CHUM 1(3)'!L8+'ĐĂK CHUM II(4)'!L8+'TU CẤP(5)'!L8+'ĐĂK KA(6)'!L8+'VĂN SANG(7)'!L8+'ĐĂK NEANG(8)'!L8+'NGỌC LEANG(9)'!L8+'ĐĂK SIÊNG(10)'!L8+'KON TUN(11)'!L8+'MÔ PẢ(12)'!L8+'TY TU(13)'!L8+'KON LING(14)'!L8+'ĐĂK PƠ TRANG(15)'!L8+'KON PIA(16)'!L8+'ĐĂK HÀ(17)'!L8</f>
        <v>6567</v>
      </c>
    </row>
    <row r="6" spans="1:16" s="131" customFormat="1" ht="38.450000000000003" customHeight="1" x14ac:dyDescent="0.25">
      <c r="A6" s="332" t="s">
        <v>12</v>
      </c>
      <c r="B6" s="333" t="s">
        <v>13</v>
      </c>
      <c r="C6" s="332" t="s">
        <v>6</v>
      </c>
      <c r="D6" s="294">
        <f>D10+D25+D34+D40+D43+D66</f>
        <v>1778.52</v>
      </c>
      <c r="E6" s="294"/>
      <c r="F6" s="294">
        <f>F10+F25+F34+F37+F40+F43+F66</f>
        <v>1877.5900000000001</v>
      </c>
      <c r="G6" s="294">
        <f t="shared" ref="G6:H6" si="0">G10+G25+G34+G37+G40+G43+G66</f>
        <v>1059.703</v>
      </c>
      <c r="H6" s="294">
        <f t="shared" si="0"/>
        <v>1059.703</v>
      </c>
      <c r="I6" s="322">
        <f>G6/F6*100</f>
        <v>56.439531527117204</v>
      </c>
      <c r="J6" s="333"/>
      <c r="K6" s="129"/>
      <c r="L6" s="205">
        <v>1877.59</v>
      </c>
      <c r="M6" s="201">
        <f>F6-L6</f>
        <v>0</v>
      </c>
    </row>
    <row r="7" spans="1:16" s="131" customFormat="1" ht="38.450000000000003" customHeight="1" x14ac:dyDescent="0.25">
      <c r="A7" s="332">
        <v>1</v>
      </c>
      <c r="B7" s="333" t="s">
        <v>14</v>
      </c>
      <c r="C7" s="332" t="s">
        <v>6</v>
      </c>
      <c r="D7" s="294">
        <f>D10+D25</f>
        <v>218.4</v>
      </c>
      <c r="E7" s="294"/>
      <c r="F7" s="294">
        <f>F10+F25</f>
        <v>220.64000000000001</v>
      </c>
      <c r="G7" s="294">
        <f t="shared" ref="G7:H7" si="1">G10+G25</f>
        <v>21.53</v>
      </c>
      <c r="H7" s="294">
        <f t="shared" si="1"/>
        <v>21.53</v>
      </c>
      <c r="I7" s="322">
        <f t="shared" ref="I7:I10" si="2">G7/F7*100</f>
        <v>9.7579767947788252</v>
      </c>
      <c r="J7" s="333"/>
      <c r="K7" s="129"/>
      <c r="L7" s="154"/>
    </row>
    <row r="8" spans="1:16" s="131" customFormat="1" ht="38.450000000000003" customHeight="1" x14ac:dyDescent="0.25">
      <c r="A8" s="332"/>
      <c r="B8" s="334" t="s">
        <v>16</v>
      </c>
      <c r="C8" s="3" t="s">
        <v>17</v>
      </c>
      <c r="D8" s="294">
        <f>D9+D27</f>
        <v>776.39879999999994</v>
      </c>
      <c r="E8" s="294">
        <f>E9+E27</f>
        <v>780</v>
      </c>
      <c r="F8" s="294">
        <f t="shared" ref="F8:H8" si="3">F9+F27</f>
        <v>814.40924000000007</v>
      </c>
      <c r="G8" s="294">
        <f t="shared" si="3"/>
        <v>0</v>
      </c>
      <c r="H8" s="294">
        <f t="shared" si="3"/>
        <v>0</v>
      </c>
      <c r="I8" s="322">
        <f>G8/F8*100</f>
        <v>0</v>
      </c>
      <c r="J8" s="333"/>
      <c r="K8" s="129"/>
      <c r="L8" s="201"/>
    </row>
    <row r="9" spans="1:16" s="131" customFormat="1" ht="38.450000000000003" customHeight="1" x14ac:dyDescent="0.25">
      <c r="A9" s="332"/>
      <c r="B9" s="335" t="s">
        <v>221</v>
      </c>
      <c r="C9" s="3" t="s">
        <v>17</v>
      </c>
      <c r="D9" s="294">
        <f>D12</f>
        <v>703.3187999999999</v>
      </c>
      <c r="E9" s="294">
        <v>714</v>
      </c>
      <c r="F9" s="294">
        <f>F12</f>
        <v>747.98924000000011</v>
      </c>
      <c r="G9" s="294">
        <f t="shared" ref="G9:H9" si="4">G12</f>
        <v>0</v>
      </c>
      <c r="H9" s="294">
        <f t="shared" si="4"/>
        <v>0</v>
      </c>
      <c r="I9" s="322">
        <f t="shared" si="2"/>
        <v>0</v>
      </c>
      <c r="J9" s="333"/>
      <c r="K9" s="129"/>
      <c r="L9" s="201"/>
      <c r="M9" s="272"/>
      <c r="N9" s="273"/>
    </row>
    <row r="10" spans="1:16" ht="38.450000000000003" customHeight="1" x14ac:dyDescent="0.25">
      <c r="A10" s="332" t="s">
        <v>5</v>
      </c>
      <c r="B10" s="333" t="s">
        <v>19</v>
      </c>
      <c r="C10" s="332" t="s">
        <v>6</v>
      </c>
      <c r="D10" s="294">
        <f>D13+D16</f>
        <v>200.4</v>
      </c>
      <c r="E10" s="294">
        <v>202</v>
      </c>
      <c r="F10" s="294">
        <f>F13+F16</f>
        <v>202.64000000000001</v>
      </c>
      <c r="G10" s="294">
        <f t="shared" ref="G10:H10" si="5">G13+G16</f>
        <v>21.53</v>
      </c>
      <c r="H10" s="294">
        <f t="shared" si="5"/>
        <v>21.53</v>
      </c>
      <c r="I10" s="322">
        <f t="shared" si="2"/>
        <v>10.6247532570075</v>
      </c>
      <c r="J10" s="336"/>
      <c r="K10" s="132"/>
      <c r="L10" s="154"/>
      <c r="M10" s="201"/>
      <c r="N10" s="131"/>
      <c r="O10" s="209"/>
    </row>
    <row r="11" spans="1:16" ht="38.450000000000003" customHeight="1" x14ac:dyDescent="0.25">
      <c r="A11" s="332"/>
      <c r="B11" s="337" t="s">
        <v>218</v>
      </c>
      <c r="C11" s="5" t="s">
        <v>219</v>
      </c>
      <c r="D11" s="298">
        <f>D12/D10*10</f>
        <v>35.095748502994006</v>
      </c>
      <c r="E11" s="298">
        <v>35.700000000000003</v>
      </c>
      <c r="F11" s="298">
        <f>F12/F10*10</f>
        <v>36.912220686932493</v>
      </c>
      <c r="G11" s="298">
        <f t="shared" ref="G11:H11" si="6">G12/G10*10</f>
        <v>0</v>
      </c>
      <c r="H11" s="298">
        <f t="shared" si="6"/>
        <v>0</v>
      </c>
      <c r="I11" s="298"/>
      <c r="J11" s="336"/>
      <c r="K11" s="132"/>
      <c r="L11" s="201"/>
      <c r="M11" s="135"/>
      <c r="O11" s="135"/>
    </row>
    <row r="12" spans="1:16" ht="38.450000000000003" customHeight="1" x14ac:dyDescent="0.25">
      <c r="A12" s="332"/>
      <c r="B12" s="337" t="s">
        <v>220</v>
      </c>
      <c r="C12" s="5" t="s">
        <v>17</v>
      </c>
      <c r="D12" s="298">
        <f>D15+D18</f>
        <v>703.3187999999999</v>
      </c>
      <c r="E12" s="298">
        <v>714</v>
      </c>
      <c r="F12" s="298">
        <f>F15+F18</f>
        <v>747.98924000000011</v>
      </c>
      <c r="G12" s="298">
        <f t="shared" ref="G12:H12" si="7">G15+G18</f>
        <v>0</v>
      </c>
      <c r="H12" s="298">
        <f t="shared" si="7"/>
        <v>0</v>
      </c>
      <c r="I12" s="298"/>
      <c r="J12" s="336"/>
      <c r="K12" s="132"/>
      <c r="L12" s="201"/>
      <c r="M12" s="135"/>
      <c r="N12" s="122"/>
      <c r="O12" s="135"/>
      <c r="P12" s="201"/>
    </row>
    <row r="13" spans="1:16" ht="38.450000000000003" customHeight="1" x14ac:dyDescent="0.25">
      <c r="A13" s="332" t="s">
        <v>20</v>
      </c>
      <c r="B13" s="333" t="s">
        <v>21</v>
      </c>
      <c r="C13" s="332" t="s">
        <v>6</v>
      </c>
      <c r="D13" s="294">
        <v>20.399999999999999</v>
      </c>
      <c r="E13" s="294"/>
      <c r="F13" s="294">
        <f>'TUMO RONG (1)'!E16+'LONG LEO(2)'!E16+'ĐĂK CHUM 1(3)'!E16+'ĐĂK CHUM II(4)'!E16+'TU CẤP(5)'!E16+'ĐĂK KA(6)'!E16+'VĂN SANG(7)'!E16+'ĐĂK NEANG(8)'!E16+'NGỌC LEANG(9)'!E16+'ĐĂK SIÊNG(10)'!E16+'KON TUN(11)'!E16+'MÔ PẢ(12)'!E16+'TY TU(13)'!E16+'KON LING(14)'!E16+'ĐĂK PƠ TRANG(15)'!E16+'KON PIA(16)'!E16+'ĐĂK HÀ(17)'!E16</f>
        <v>21.53</v>
      </c>
      <c r="G13" s="294">
        <f>'TUMO RONG (1)'!F16+'LONG LEO(2)'!F16+'ĐĂK CHUM 1(3)'!F16+'ĐĂK CHUM II(4)'!F16+'TU CẤP(5)'!F16+'ĐĂK KA(6)'!F16+'VĂN SANG(7)'!F16+'ĐĂK NEANG(8)'!F16+'NGỌC LEANG(9)'!F16+'ĐĂK SIÊNG(10)'!F16+'KON TUN(11)'!F16+'MÔ PẢ(12)'!F16+'TY TU(13)'!F16+'KON LING(14)'!F16+'ĐĂK PƠ TRANG(15)'!F16+'KON PIA(16)'!F16+'ĐĂK HÀ(17)'!F16</f>
        <v>21.53</v>
      </c>
      <c r="H13" s="294">
        <f>'TUMO RONG (1)'!G16+'LONG LEO(2)'!G16+'ĐĂK CHUM 1(3)'!G16+'ĐĂK CHUM II(4)'!G16+'TU CẤP(5)'!G16+'ĐĂK KA(6)'!G16+'VĂN SANG(7)'!G16+'ĐĂK NEANG(8)'!G16+'NGỌC LEANG(9)'!G16+'ĐĂK SIÊNG(10)'!G16+'KON TUN(11)'!G16+'MÔ PẢ(12)'!G16+'TY TU(13)'!G16+'KON LING(14)'!G16+'ĐĂK PƠ TRANG(15)'!G16+'KON PIA(16)'!G16+'ĐĂK HÀ(17)'!G16</f>
        <v>21.53</v>
      </c>
      <c r="I13" s="294">
        <f>G13/F13*100</f>
        <v>100</v>
      </c>
      <c r="J13" s="338"/>
      <c r="K13" s="134"/>
    </row>
    <row r="14" spans="1:16" ht="38.450000000000003" customHeight="1" x14ac:dyDescent="0.25">
      <c r="A14" s="332"/>
      <c r="B14" s="337" t="s">
        <v>218</v>
      </c>
      <c r="C14" s="5" t="s">
        <v>219</v>
      </c>
      <c r="D14" s="298">
        <v>29.47</v>
      </c>
      <c r="E14" s="298"/>
      <c r="F14" s="298">
        <v>33.5</v>
      </c>
      <c r="G14" s="298"/>
      <c r="H14" s="298">
        <v>0</v>
      </c>
      <c r="I14" s="298"/>
      <c r="J14" s="339"/>
      <c r="K14" s="134"/>
      <c r="L14" s="164"/>
      <c r="M14" s="189"/>
    </row>
    <row r="15" spans="1:16" ht="38.450000000000003" customHeight="1" x14ac:dyDescent="0.25">
      <c r="A15" s="332"/>
      <c r="B15" s="337" t="s">
        <v>220</v>
      </c>
      <c r="C15" s="5" t="s">
        <v>17</v>
      </c>
      <c r="D15" s="298">
        <f>D13*D14/10</f>
        <v>60.1188</v>
      </c>
      <c r="E15" s="298"/>
      <c r="F15" s="298">
        <f>F13*F14/10</f>
        <v>72.125500000000002</v>
      </c>
      <c r="G15" s="298">
        <f t="shared" ref="G15" si="8">G13*G14/10</f>
        <v>0</v>
      </c>
      <c r="H15" s="298">
        <f>H13*H14/10</f>
        <v>0</v>
      </c>
      <c r="I15" s="298"/>
      <c r="J15" s="339"/>
      <c r="K15" s="134"/>
    </row>
    <row r="16" spans="1:16" ht="38.450000000000003" customHeight="1" x14ac:dyDescent="0.25">
      <c r="A16" s="340" t="s">
        <v>22</v>
      </c>
      <c r="B16" s="333" t="s">
        <v>23</v>
      </c>
      <c r="C16" s="340" t="s">
        <v>6</v>
      </c>
      <c r="D16" s="294">
        <f t="shared" ref="D16" si="9">D19+D22</f>
        <v>180</v>
      </c>
      <c r="E16" s="294"/>
      <c r="F16" s="294">
        <f>F19+F22</f>
        <v>181.11</v>
      </c>
      <c r="G16" s="294">
        <f t="shared" ref="G16" si="10">G19+G22</f>
        <v>0</v>
      </c>
      <c r="H16" s="294">
        <f>H19+H22</f>
        <v>0</v>
      </c>
      <c r="I16" s="294"/>
      <c r="J16" s="336"/>
      <c r="K16" s="132"/>
    </row>
    <row r="17" spans="1:14" ht="38.450000000000003" customHeight="1" x14ac:dyDescent="0.25">
      <c r="A17" s="340"/>
      <c r="B17" s="337" t="s">
        <v>218</v>
      </c>
      <c r="C17" s="5" t="s">
        <v>219</v>
      </c>
      <c r="D17" s="298">
        <f>D18/D16*10</f>
        <v>35.733333333333327</v>
      </c>
      <c r="E17" s="298"/>
      <c r="F17" s="298">
        <f>F18/F16*10</f>
        <v>37.317858759869694</v>
      </c>
      <c r="G17" s="298">
        <v>0</v>
      </c>
      <c r="H17" s="298">
        <v>0</v>
      </c>
      <c r="I17" s="298"/>
      <c r="J17" s="336"/>
      <c r="K17" s="132"/>
      <c r="M17" s="189"/>
    </row>
    <row r="18" spans="1:14" ht="38.450000000000003" customHeight="1" x14ac:dyDescent="0.25">
      <c r="A18" s="340"/>
      <c r="B18" s="337" t="s">
        <v>220</v>
      </c>
      <c r="C18" s="5" t="s">
        <v>17</v>
      </c>
      <c r="D18" s="298">
        <f>D21+D24</f>
        <v>643.19999999999993</v>
      </c>
      <c r="E18" s="298"/>
      <c r="F18" s="298">
        <f t="shared" ref="F18:H18" si="11">F21+F24</f>
        <v>675.86374000000012</v>
      </c>
      <c r="G18" s="298">
        <f t="shared" si="11"/>
        <v>0</v>
      </c>
      <c r="H18" s="298">
        <f t="shared" si="11"/>
        <v>0</v>
      </c>
      <c r="I18" s="298"/>
      <c r="J18" s="336"/>
      <c r="K18" s="132"/>
      <c r="L18" s="135"/>
    </row>
    <row r="19" spans="1:14" ht="38.450000000000003" customHeight="1" x14ac:dyDescent="0.25">
      <c r="A19" s="340" t="s">
        <v>24</v>
      </c>
      <c r="B19" s="341" t="s">
        <v>25</v>
      </c>
      <c r="C19" s="340" t="s">
        <v>6</v>
      </c>
      <c r="D19" s="294">
        <v>160</v>
      </c>
      <c r="E19" s="294"/>
      <c r="F19" s="294">
        <f>'TUMO RONG (1)'!E22+'LONG LEO(2)'!E22+'ĐĂK CHUM 1(3)'!E22+'ĐĂK CHUM II(4)'!E22+'TU CẤP(5)'!E22+'ĐĂK KA(6)'!E22+'VĂN SANG(7)'!E22+'ĐĂK NEANG(8)'!E22+'NGỌC LEANG(9)'!E22+'ĐĂK SIÊNG(10)'!E22+'KON TUN(11)'!E22+'MÔ PẢ(12)'!E22+'TY TU(13)'!E22+'KON LING(14)'!E22+'ĐĂK PƠ TRANG(15)'!E22+'KON PIA(16)'!E22+'ĐĂK HÀ(17)'!E22</f>
        <v>173.11</v>
      </c>
      <c r="G19" s="294">
        <f>'TUMO RONG (1)'!F22+'LONG LEO(2)'!F22+'ĐĂK CHUM 1(3)'!F22+'ĐĂK CHUM II(4)'!F22+'TU CẤP(5)'!F22+'ĐĂK KA(6)'!F22+'VĂN SANG(7)'!F22+'ĐĂK NEANG(8)'!F22+'NGỌC LEANG(9)'!F22+'ĐĂK SIÊNG(10)'!F22+'KON TUN(11)'!F22+'MÔ PẢ(12)'!F22+'TY TU(13)'!F22+'KON LING(14)'!F22+'ĐĂK PƠ TRANG(15)'!F22+'KON PIA(16)'!F22+'ĐĂK HÀ(17)'!F22</f>
        <v>0</v>
      </c>
      <c r="H19" s="294">
        <f>'TUMO RONG (1)'!G22+'LONG LEO(2)'!G22+'ĐĂK CHUM 1(3)'!G22+'ĐĂK CHUM II(4)'!G22+'TU CẤP(5)'!G22+'ĐĂK KA(6)'!G22+'VĂN SANG(7)'!G22+'ĐĂK NEANG(8)'!G22+'NGỌC LEANG(9)'!G22+'ĐĂK SIÊNG(10)'!G22+'KON TUN(11)'!G22+'MÔ PẢ(12)'!G22+'TY TU(13)'!G22+'KON LING(14)'!G22+'ĐĂK PƠ TRANG(15)'!G22+'KON PIA(16)'!G22+'ĐĂK HÀ(17)'!G22</f>
        <v>0</v>
      </c>
      <c r="I19" s="298"/>
      <c r="J19" s="339"/>
      <c r="K19" s="134"/>
      <c r="L19" s="201"/>
      <c r="M19" s="201"/>
      <c r="N19" s="189"/>
    </row>
    <row r="20" spans="1:14" ht="38.450000000000003" customHeight="1" x14ac:dyDescent="0.25">
      <c r="A20" s="340"/>
      <c r="B20" s="337" t="s">
        <v>218</v>
      </c>
      <c r="C20" s="5" t="s">
        <v>219</v>
      </c>
      <c r="D20" s="298">
        <v>38.299999999999997</v>
      </c>
      <c r="E20" s="298"/>
      <c r="F20" s="298">
        <v>38.340000000000003</v>
      </c>
      <c r="G20" s="298"/>
      <c r="H20" s="298"/>
      <c r="I20" s="298"/>
      <c r="J20" s="339"/>
      <c r="K20" s="134"/>
      <c r="L20" s="317"/>
      <c r="M20" s="189"/>
    </row>
    <row r="21" spans="1:14" ht="38.450000000000003" customHeight="1" x14ac:dyDescent="0.25">
      <c r="A21" s="340"/>
      <c r="B21" s="337" t="s">
        <v>220</v>
      </c>
      <c r="C21" s="5" t="s">
        <v>17</v>
      </c>
      <c r="D21" s="298">
        <f>D19*D20/10</f>
        <v>612.79999999999995</v>
      </c>
      <c r="E21" s="298"/>
      <c r="F21" s="298">
        <f t="shared" ref="F21:H21" si="12">F19*F20/10</f>
        <v>663.70374000000015</v>
      </c>
      <c r="G21" s="298">
        <f t="shared" si="12"/>
        <v>0</v>
      </c>
      <c r="H21" s="298">
        <f t="shared" si="12"/>
        <v>0</v>
      </c>
      <c r="I21" s="298"/>
      <c r="J21" s="339"/>
      <c r="K21" s="134"/>
    </row>
    <row r="22" spans="1:14" ht="38.450000000000003" customHeight="1" x14ac:dyDescent="0.25">
      <c r="A22" s="340" t="s">
        <v>24</v>
      </c>
      <c r="B22" s="341" t="s">
        <v>26</v>
      </c>
      <c r="C22" s="340" t="s">
        <v>6</v>
      </c>
      <c r="D22" s="294">
        <v>20</v>
      </c>
      <c r="E22" s="294"/>
      <c r="F22" s="294">
        <f>'TUMO RONG (1)'!E25+'LONG LEO(2)'!E25+'ĐĂK CHUM 1(3)'!E25+'ĐĂK CHUM II(4)'!E25+'TU CẤP(5)'!E25+'ĐĂK KA(6)'!E25+'VĂN SANG(7)'!E25+'ĐĂK NEANG(8)'!E25+'NGỌC LEANG(9)'!E25+'ĐĂK SIÊNG(10)'!E25+'KON TUN(11)'!E25+'MÔ PẢ(12)'!E25+'TY TU(13)'!E25+'KON LING(14)'!E25+'ĐĂK PƠ TRANG(15)'!E25+'KON PIA(16)'!E25+'ĐĂK HÀ(17)'!E25</f>
        <v>8</v>
      </c>
      <c r="G22" s="294">
        <f>'TUMO RONG (1)'!F25+'LONG LEO(2)'!F25+'ĐĂK CHUM 1(3)'!F25+'ĐĂK CHUM II(4)'!F25+'TU CẤP(5)'!F25+'ĐĂK KA(6)'!F25+'VĂN SANG(7)'!F25+'ĐĂK NEANG(8)'!F25+'NGỌC LEANG(9)'!F25+'ĐĂK SIÊNG(10)'!F25+'KON TUN(11)'!F25+'MÔ PẢ(12)'!F25+'TY TU(13)'!F25+'KON LING(14)'!F25+'ĐĂK PƠ TRANG(15)'!F25+'KON PIA(16)'!F25+'ĐĂK HÀ(17)'!F25</f>
        <v>0</v>
      </c>
      <c r="H22" s="294">
        <f>'TUMO RONG (1)'!G25+'LONG LEO(2)'!G25+'ĐĂK CHUM 1(3)'!G25+'ĐĂK CHUM II(4)'!G25+'TU CẤP(5)'!G25+'ĐĂK KA(6)'!G25+'VĂN SANG(7)'!G25+'ĐĂK NEANG(8)'!G25+'NGỌC LEANG(9)'!G25+'ĐĂK SIÊNG(10)'!G25+'KON TUN(11)'!G25+'MÔ PẢ(12)'!G25+'TY TU(13)'!G25+'KON LING(14)'!G25+'ĐĂK PƠ TRANG(15)'!G25+'KON PIA(16)'!G25+'ĐĂK HÀ(17)'!G25</f>
        <v>0</v>
      </c>
      <c r="I22" s="294"/>
      <c r="J22" s="338"/>
      <c r="K22" s="134"/>
      <c r="L22" s="135"/>
    </row>
    <row r="23" spans="1:14" ht="38.450000000000003" customHeight="1" x14ac:dyDescent="0.25">
      <c r="A23" s="340"/>
      <c r="B23" s="337" t="s">
        <v>218</v>
      </c>
      <c r="C23" s="5" t="s">
        <v>219</v>
      </c>
      <c r="D23" s="298">
        <v>15.2</v>
      </c>
      <c r="E23" s="298"/>
      <c r="F23" s="298">
        <v>15.2</v>
      </c>
      <c r="G23" s="298"/>
      <c r="H23" s="298"/>
      <c r="I23" s="298"/>
      <c r="J23" s="339"/>
      <c r="K23" s="134"/>
    </row>
    <row r="24" spans="1:14" ht="38.450000000000003" customHeight="1" x14ac:dyDescent="0.25">
      <c r="A24" s="340"/>
      <c r="B24" s="337" t="s">
        <v>220</v>
      </c>
      <c r="C24" s="5" t="s">
        <v>17</v>
      </c>
      <c r="D24" s="298">
        <f>D22*D23/10</f>
        <v>30.4</v>
      </c>
      <c r="E24" s="298"/>
      <c r="F24" s="298">
        <f t="shared" ref="F24:H24" si="13">F22*F23/10</f>
        <v>12.16</v>
      </c>
      <c r="G24" s="298">
        <f t="shared" si="13"/>
        <v>0</v>
      </c>
      <c r="H24" s="298">
        <f t="shared" si="13"/>
        <v>0</v>
      </c>
      <c r="I24" s="298"/>
      <c r="J24" s="339"/>
      <c r="K24" s="134"/>
    </row>
    <row r="25" spans="1:14" ht="38.450000000000003" customHeight="1" x14ac:dyDescent="0.25">
      <c r="A25" s="332" t="s">
        <v>7</v>
      </c>
      <c r="B25" s="333" t="s">
        <v>27</v>
      </c>
      <c r="C25" s="332" t="s">
        <v>6</v>
      </c>
      <c r="D25" s="294">
        <f t="shared" ref="D25:H25" si="14">D28+D31</f>
        <v>18</v>
      </c>
      <c r="E25" s="294">
        <v>18</v>
      </c>
      <c r="F25" s="294">
        <f t="shared" si="14"/>
        <v>18</v>
      </c>
      <c r="G25" s="294">
        <f t="shared" si="14"/>
        <v>0</v>
      </c>
      <c r="H25" s="294">
        <f t="shared" si="14"/>
        <v>0</v>
      </c>
      <c r="I25" s="294"/>
      <c r="J25" s="336"/>
      <c r="K25" s="132"/>
      <c r="L25" s="201"/>
      <c r="M25" s="201"/>
    </row>
    <row r="26" spans="1:14" ht="38.450000000000003" customHeight="1" x14ac:dyDescent="0.25">
      <c r="A26" s="332"/>
      <c r="B26" s="337" t="s">
        <v>218</v>
      </c>
      <c r="C26" s="5" t="s">
        <v>219</v>
      </c>
      <c r="D26" s="298">
        <f>D27/D25*10</f>
        <v>40.600000000000009</v>
      </c>
      <c r="E26" s="298">
        <v>36.9</v>
      </c>
      <c r="F26" s="298">
        <f t="shared" ref="F26" si="15">F27/F25*10</f>
        <v>36.899999999999991</v>
      </c>
      <c r="G26" s="298"/>
      <c r="H26" s="298"/>
      <c r="I26" s="298"/>
      <c r="J26" s="336"/>
      <c r="K26" s="132"/>
      <c r="L26" s="135"/>
    </row>
    <row r="27" spans="1:14" ht="38.450000000000003" customHeight="1" x14ac:dyDescent="0.25">
      <c r="A27" s="332"/>
      <c r="B27" s="337" t="s">
        <v>220</v>
      </c>
      <c r="C27" s="5" t="s">
        <v>17</v>
      </c>
      <c r="D27" s="298">
        <f>D30+D33</f>
        <v>73.080000000000013</v>
      </c>
      <c r="E27" s="298">
        <v>66</v>
      </c>
      <c r="F27" s="298">
        <f t="shared" ref="F27:H27" si="16">F30+F33</f>
        <v>66.419999999999987</v>
      </c>
      <c r="G27" s="298">
        <f t="shared" si="16"/>
        <v>0</v>
      </c>
      <c r="H27" s="298">
        <f t="shared" si="16"/>
        <v>0</v>
      </c>
      <c r="I27" s="298"/>
      <c r="J27" s="336"/>
      <c r="K27" s="132"/>
      <c r="L27" s="135"/>
    </row>
    <row r="28" spans="1:14" ht="38.450000000000003" customHeight="1" x14ac:dyDescent="0.25">
      <c r="A28" s="340" t="s">
        <v>20</v>
      </c>
      <c r="B28" s="342" t="s">
        <v>28</v>
      </c>
      <c r="C28" s="340" t="s">
        <v>6</v>
      </c>
      <c r="D28" s="298">
        <f>'TUMO RONG (1)'!D31+'LONG LEO(2)'!D31+'ĐĂK CHUM 1(3)'!D31+'ĐĂK CHUM II(4)'!D31+'TU CẤP(5)'!D31+'ĐĂK KA(6)'!D31+'VĂN SANG(7)'!D31+'ĐĂK NEANG(8)'!D31+'NGỌC LEANG(9)'!D31+'ĐĂK SIÊNG(10)'!D31+'KON TUN(11)'!D31+'MÔ PẢ(12)'!D31+'TY TU(13)'!D31+'KON LING(14)'!D31+'ĐĂK PƠ TRANG(15)'!D31+'KON PIA(16)'!D31+'ĐĂK HÀ(17)'!D31</f>
        <v>0</v>
      </c>
      <c r="E28" s="298"/>
      <c r="F28" s="298">
        <f>'TUMO RONG (1)'!E31+'LONG LEO(2)'!E31+'ĐĂK CHUM 1(3)'!E31+'ĐĂK CHUM II(4)'!E31+'TU CẤP(5)'!E31+'ĐĂK KA(6)'!E31+'VĂN SANG(7)'!E31+'ĐĂK NEANG(8)'!E31+'NGỌC LEANG(9)'!E31+'ĐĂK SIÊNG(10)'!E31+'KON TUN(11)'!E31+'MÔ PẢ(12)'!E31+'TY TU(13)'!E31+'KON LING(14)'!E31+'ĐĂK PƠ TRANG(15)'!E31+'KON PIA(16)'!E31+'ĐĂK HÀ(17)'!E31</f>
        <v>0</v>
      </c>
      <c r="G28" s="298">
        <f>'TUMO RONG (1)'!F31+'LONG LEO(2)'!F31+'ĐĂK CHUM 1(3)'!F31+'ĐĂK CHUM II(4)'!F31+'TU CẤP(5)'!F31+'ĐĂK KA(6)'!F31+'VĂN SANG(7)'!F31+'ĐĂK NEANG(8)'!F31+'NGỌC LEANG(9)'!F31+'ĐĂK SIÊNG(10)'!F31+'KON TUN(11)'!F31+'MÔ PẢ(12)'!F31+'TY TU(13)'!F31+'KON LING(14)'!F31+'ĐĂK PƠ TRANG(15)'!F31+'KON PIA(16)'!F31+'ĐĂK HÀ(17)'!F31</f>
        <v>0</v>
      </c>
      <c r="H28" s="298">
        <f>'TUMO RONG (1)'!G31+'LONG LEO(2)'!G31+'ĐĂK CHUM 1(3)'!G31+'ĐĂK CHUM II(4)'!G31+'TU CẤP(5)'!G31+'ĐĂK KA(6)'!G31+'VĂN SANG(7)'!G31+'ĐĂK NEANG(8)'!G31+'NGỌC LEANG(9)'!G31+'ĐĂK SIÊNG(10)'!G31+'KON TUN(11)'!G31+'MÔ PẢ(12)'!G31+'TY TU(13)'!G31+'KON LING(14)'!G31+'ĐĂK PƠ TRANG(15)'!G31+'KON PIA(16)'!G31+'ĐĂK HÀ(17)'!G31</f>
        <v>0</v>
      </c>
      <c r="I28" s="298"/>
      <c r="J28" s="336"/>
      <c r="K28" s="132"/>
    </row>
    <row r="29" spans="1:14" ht="38.450000000000003" customHeight="1" x14ac:dyDescent="0.25">
      <c r="A29" s="340"/>
      <c r="B29" s="337" t="s">
        <v>218</v>
      </c>
      <c r="C29" s="5" t="s">
        <v>219</v>
      </c>
      <c r="D29" s="298"/>
      <c r="E29" s="298"/>
      <c r="F29" s="298"/>
      <c r="G29" s="298"/>
      <c r="H29" s="298"/>
      <c r="I29" s="298"/>
      <c r="J29" s="336"/>
      <c r="K29" s="132"/>
    </row>
    <row r="30" spans="1:14" ht="38.450000000000003" customHeight="1" x14ac:dyDescent="0.25">
      <c r="A30" s="340"/>
      <c r="B30" s="337" t="s">
        <v>220</v>
      </c>
      <c r="C30" s="5" t="s">
        <v>17</v>
      </c>
      <c r="D30" s="298"/>
      <c r="E30" s="298"/>
      <c r="F30" s="298"/>
      <c r="G30" s="298"/>
      <c r="H30" s="298"/>
      <c r="I30" s="298"/>
      <c r="J30" s="336"/>
      <c r="K30" s="132"/>
    </row>
    <row r="31" spans="1:14" ht="38.450000000000003" customHeight="1" x14ac:dyDescent="0.25">
      <c r="A31" s="340" t="s">
        <v>22</v>
      </c>
      <c r="B31" s="341" t="s">
        <v>29</v>
      </c>
      <c r="C31" s="340" t="s">
        <v>6</v>
      </c>
      <c r="D31" s="294">
        <f>'TUMO RONG (1)'!D34+'LONG LEO(2)'!D34+'ĐĂK CHUM 1(3)'!D34+'ĐĂK CHUM II(4)'!D34+'TU CẤP(5)'!D34+'ĐĂK KA(6)'!D34+'VĂN SANG(7)'!D34+'ĐĂK NEANG(8)'!D34+'NGỌC LEANG(9)'!D34+'ĐĂK SIÊNG(10)'!D34+'KON TUN(11)'!D34+'MÔ PẢ(12)'!D34+'TY TU(13)'!D34+'KON LING(14)'!D34+'ĐĂK PƠ TRANG(15)'!D34+'KON PIA(16)'!D34+'ĐĂK HÀ(17)'!D34</f>
        <v>18</v>
      </c>
      <c r="E31" s="294"/>
      <c r="F31" s="294">
        <f>'TUMO RONG (1)'!E34+'LONG LEO(2)'!E34+'ĐĂK CHUM 1(3)'!E34+'ĐĂK CHUM II(4)'!E34+'TU CẤP(5)'!E34+'ĐĂK KA(6)'!E34+'VĂN SANG(7)'!E34+'ĐĂK NEANG(8)'!E34+'NGỌC LEANG(9)'!E34+'ĐĂK SIÊNG(10)'!E34+'KON TUN(11)'!E34+'MÔ PẢ(12)'!E34+'TY TU(13)'!E34+'KON LING(14)'!E34+'ĐĂK PƠ TRANG(15)'!E34+'KON PIA(16)'!E34+'ĐĂK HÀ(17)'!E34</f>
        <v>18</v>
      </c>
      <c r="G31" s="294">
        <f>'TUMO RONG (1)'!F34+'LONG LEO(2)'!F34+'ĐĂK CHUM 1(3)'!F34+'ĐĂK CHUM II(4)'!F34+'TU CẤP(5)'!F34+'ĐĂK KA(6)'!F34+'VĂN SANG(7)'!F34+'ĐĂK NEANG(8)'!F34+'NGỌC LEANG(9)'!F34+'ĐĂK SIÊNG(10)'!F34+'KON TUN(11)'!F34+'MÔ PẢ(12)'!F34+'TY TU(13)'!F34+'KON LING(14)'!F34+'ĐĂK PƠ TRANG(15)'!F34+'KON PIA(16)'!F34+'ĐĂK HÀ(17)'!F34</f>
        <v>0</v>
      </c>
      <c r="H31" s="294">
        <f>'TUMO RONG (1)'!G34+'LONG LEO(2)'!G34+'ĐĂK CHUM 1(3)'!G34+'ĐĂK CHUM II(4)'!G34+'TU CẤP(5)'!G34+'ĐĂK KA(6)'!G34+'VĂN SANG(7)'!G34+'ĐĂK NEANG(8)'!G34+'NGỌC LEANG(9)'!G34+'ĐĂK SIÊNG(10)'!G34+'KON TUN(11)'!G34+'MÔ PẢ(12)'!G34+'TY TU(13)'!G34+'KON LING(14)'!G34+'ĐĂK PƠ TRANG(15)'!G34+'KON PIA(16)'!G34+'ĐĂK HÀ(17)'!G34</f>
        <v>0</v>
      </c>
      <c r="I31" s="294"/>
      <c r="J31" s="332"/>
      <c r="K31" s="137"/>
      <c r="L31" s="201"/>
    </row>
    <row r="32" spans="1:14" ht="38.450000000000003" customHeight="1" x14ac:dyDescent="0.25">
      <c r="A32" s="340"/>
      <c r="B32" s="337" t="s">
        <v>218</v>
      </c>
      <c r="C32" s="5" t="s">
        <v>219</v>
      </c>
      <c r="D32" s="298">
        <v>40.6</v>
      </c>
      <c r="E32" s="298"/>
      <c r="F32" s="298">
        <v>36.9</v>
      </c>
      <c r="G32" s="298"/>
      <c r="H32" s="298"/>
      <c r="I32" s="298"/>
      <c r="J32" s="343"/>
      <c r="K32" s="137"/>
      <c r="L32" s="201"/>
    </row>
    <row r="33" spans="1:22" ht="38.450000000000003" customHeight="1" x14ac:dyDescent="0.25">
      <c r="A33" s="340"/>
      <c r="B33" s="337" t="s">
        <v>220</v>
      </c>
      <c r="C33" s="5" t="s">
        <v>17</v>
      </c>
      <c r="D33" s="298">
        <f>D31*D32/10</f>
        <v>73.080000000000013</v>
      </c>
      <c r="E33" s="298"/>
      <c r="F33" s="298">
        <f t="shared" ref="F33:H33" si="17">F31*F32/10</f>
        <v>66.419999999999987</v>
      </c>
      <c r="G33" s="298">
        <f t="shared" si="17"/>
        <v>0</v>
      </c>
      <c r="H33" s="298">
        <f t="shared" si="17"/>
        <v>0</v>
      </c>
      <c r="I33" s="298"/>
      <c r="J33" s="343"/>
      <c r="K33" s="137"/>
      <c r="L33" s="201"/>
      <c r="M33" s="189"/>
      <c r="N33" s="140"/>
      <c r="O33" s="189"/>
    </row>
    <row r="34" spans="1:22" ht="38.450000000000003" customHeight="1" x14ac:dyDescent="0.25">
      <c r="A34" s="332">
        <v>2</v>
      </c>
      <c r="B34" s="333" t="s">
        <v>30</v>
      </c>
      <c r="C34" s="332" t="s">
        <v>6</v>
      </c>
      <c r="D34" s="294">
        <f>'TUMO RONG (1)'!D37+'LONG LEO(2)'!D37+'ĐĂK CHUM 1(3)'!D37+'ĐĂK CHUM II(4)'!D37+'TU CẤP(5)'!D37+'ĐĂK KA(6)'!D37+'VĂN SANG(7)'!D37+'ĐĂK NEANG(8)'!D37+'NGỌC LEANG(9)'!D37+'ĐĂK SIÊNG(10)'!D37+'KON TUN(11)'!D37+'MÔ PẢ(12)'!D37+'TY TU(13)'!D37+'KON LING(14)'!D37+'ĐĂK PƠ TRANG(15)'!D37+'KON PIA(16)'!D37+'ĐĂK HÀ(17)'!D37</f>
        <v>460</v>
      </c>
      <c r="E34" s="294">
        <v>408</v>
      </c>
      <c r="F34" s="294">
        <f>'TUMO RONG (1)'!E37+'LONG LEO(2)'!E37+'ĐĂK CHUM 1(3)'!E37+'ĐĂK CHUM II(4)'!E37+'TU CẤP(5)'!E37+'ĐĂK KA(6)'!E37+'VĂN SANG(7)'!E37+'ĐĂK NEANG(8)'!E37+'NGỌC LEANG(9)'!E37+'ĐĂK SIÊNG(10)'!E37+'KON TUN(11)'!E37+'MÔ PẢ(12)'!E37+'TY TU(13)'!E37+'KON LING(14)'!E37+'ĐĂK PƠ TRANG(15)'!E37+'KON PIA(16)'!E37+'ĐĂK HÀ(17)'!E37</f>
        <v>409</v>
      </c>
      <c r="G34" s="294">
        <f>'TUMO RONG (1)'!F37+'LONG LEO(2)'!F37+'ĐĂK CHUM 1(3)'!F37+'ĐĂK CHUM II(4)'!F37+'TU CẤP(5)'!F37+'ĐĂK KA(6)'!F37+'VĂN SANG(7)'!F37+'ĐĂK NEANG(8)'!F37+'NGỌC LEANG(9)'!F37+'ĐĂK SIÊNG(10)'!F37+'KON TUN(11)'!F37+'MÔ PẢ(12)'!F37+'TY TU(13)'!F37+'KON LING(14)'!F37+'ĐĂK PƠ TRANG(15)'!F37+'KON PIA(16)'!F37+'ĐĂK HÀ(17)'!F37</f>
        <v>0</v>
      </c>
      <c r="H34" s="294">
        <f>'TUMO RONG (1)'!G37+'LONG LEO(2)'!G37+'ĐĂK CHUM 1(3)'!G37+'ĐĂK CHUM II(4)'!G37+'TU CẤP(5)'!G37+'ĐĂK KA(6)'!G37+'VĂN SANG(7)'!G37+'ĐĂK NEANG(8)'!G37+'NGỌC LEANG(9)'!G37+'ĐĂK SIÊNG(10)'!G37+'KON TUN(11)'!G37+'MÔ PẢ(12)'!G37+'TY TU(13)'!G37+'KON LING(14)'!G37+'ĐĂK PƠ TRANG(15)'!G37+'KON PIA(16)'!G37+'ĐĂK HÀ(17)'!G37</f>
        <v>0</v>
      </c>
      <c r="I34" s="294"/>
      <c r="J34" s="340"/>
      <c r="K34" s="137"/>
      <c r="L34" s="201"/>
      <c r="M34" s="193"/>
      <c r="N34" s="147"/>
      <c r="O34" s="138"/>
    </row>
    <row r="35" spans="1:22" ht="38.450000000000003" customHeight="1" x14ac:dyDescent="0.25">
      <c r="A35" s="332"/>
      <c r="B35" s="337" t="s">
        <v>218</v>
      </c>
      <c r="C35" s="5" t="s">
        <v>219</v>
      </c>
      <c r="D35" s="298">
        <v>137.5</v>
      </c>
      <c r="E35" s="298">
        <v>140</v>
      </c>
      <c r="F35" s="298">
        <v>140</v>
      </c>
      <c r="G35" s="298"/>
      <c r="H35" s="298"/>
      <c r="I35" s="298"/>
      <c r="J35" s="344"/>
      <c r="K35" s="137"/>
      <c r="L35" s="201"/>
      <c r="M35" s="139"/>
      <c r="N35" s="138"/>
      <c r="O35" s="138"/>
    </row>
    <row r="36" spans="1:22" ht="38.450000000000003" customHeight="1" x14ac:dyDescent="0.25">
      <c r="A36" s="345"/>
      <c r="B36" s="346" t="s">
        <v>220</v>
      </c>
      <c r="C36" s="347" t="s">
        <v>17</v>
      </c>
      <c r="D36" s="311">
        <f>D34*D35/10</f>
        <v>6325</v>
      </c>
      <c r="E36" s="311">
        <v>5714</v>
      </c>
      <c r="F36" s="311">
        <f>F34*F35/10</f>
        <v>5726</v>
      </c>
      <c r="G36" s="311">
        <f t="shared" ref="G36:H36" si="18">G34*G35/10</f>
        <v>0</v>
      </c>
      <c r="H36" s="311">
        <f t="shared" si="18"/>
        <v>0</v>
      </c>
      <c r="I36" s="311"/>
      <c r="J36" s="348"/>
      <c r="K36" s="137"/>
      <c r="L36" s="201"/>
      <c r="M36" s="141"/>
      <c r="N36" s="138"/>
      <c r="O36" s="138"/>
    </row>
    <row r="37" spans="1:22" ht="38.450000000000003" customHeight="1" x14ac:dyDescent="0.25">
      <c r="A37" s="332">
        <v>3</v>
      </c>
      <c r="B37" s="333" t="s">
        <v>241</v>
      </c>
      <c r="C37" s="332" t="s">
        <v>6</v>
      </c>
      <c r="D37" s="294">
        <f>'TUMO RONG (1)'!D40+'LONG LEO(2)'!D40+'ĐĂK CHUM 1(3)'!D40+'ĐĂK CHUM II(4)'!D40+'TU CẤP(5)'!D40+'ĐĂK KA(6)'!D40+'VĂN SANG(7)'!D40+'ĐĂK NEANG(8)'!D40+'NGỌC LEANG(9)'!D40+'ĐĂK SIÊNG(10)'!D40+'KON TUN(11)'!D40+'MÔ PẢ(12)'!D40+'TY TU(13)'!D40+'KON LING(14)'!D40+'ĐĂK PƠ TRANG(15)'!D40+'KON PIA(16)'!D40+'ĐĂK HÀ(17)'!D40</f>
        <v>4</v>
      </c>
      <c r="E37" s="294">
        <v>5</v>
      </c>
      <c r="F37" s="294">
        <f>'TUMO RONG (1)'!E40+'LONG LEO(2)'!E40+'ĐĂK CHUM 1(3)'!E40+'ĐĂK CHUM II(4)'!E40+'TU CẤP(5)'!E40+'ĐĂK KA(6)'!E40+'VĂN SANG(7)'!E40+'ĐĂK NEANG(8)'!E40+'NGỌC LEANG(9)'!E40+'ĐĂK SIÊNG(10)'!E40+'KON TUN(11)'!E40+'MÔ PẢ(12)'!E40+'TY TU(13)'!E40+'KON LING(14)'!E40+'ĐĂK PƠ TRANG(15)'!E40+'KON PIA(16)'!E40+'ĐĂK HÀ(17)'!E40</f>
        <v>5.5</v>
      </c>
      <c r="G37" s="294">
        <f>'TUMO RONG (1)'!F40+'LONG LEO(2)'!F40+'ĐĂK CHUM 1(3)'!F40+'ĐĂK CHUM II(4)'!F40+'TU CẤP(5)'!F40+'ĐĂK KA(6)'!F40+'VĂN SANG(7)'!F40+'ĐĂK NEANG(8)'!F40+'NGỌC LEANG(9)'!F40+'ĐĂK SIÊNG(10)'!F40+'KON TUN(11)'!F40+'MÔ PẢ(12)'!F40+'TY TU(13)'!F40+'KON LING(14)'!F40+'ĐĂK PƠ TRANG(15)'!F40+'KON PIA(16)'!F40+'ĐĂK HÀ(17)'!F40</f>
        <v>0</v>
      </c>
      <c r="H37" s="294">
        <f>'TUMO RONG (1)'!G40+'LONG LEO(2)'!G40+'ĐĂK CHUM 1(3)'!G40+'ĐĂK CHUM II(4)'!G40+'TU CẤP(5)'!G40+'ĐĂK KA(6)'!G40+'VĂN SANG(7)'!G40+'ĐĂK NEANG(8)'!G40+'NGỌC LEANG(9)'!G40+'ĐĂK SIÊNG(10)'!G40+'KON TUN(11)'!G40+'MÔ PẢ(12)'!G40+'TY TU(13)'!G40+'KON LING(14)'!G40+'ĐĂK PƠ TRANG(15)'!G40+'KON PIA(16)'!G40+'ĐĂK HÀ(17)'!G40</f>
        <v>0</v>
      </c>
      <c r="I37" s="294"/>
      <c r="J37" s="344"/>
      <c r="K37" s="137"/>
      <c r="L37" s="201"/>
      <c r="M37" s="157"/>
      <c r="N37" s="157"/>
      <c r="O37" s="157"/>
      <c r="P37" s="164"/>
      <c r="Q37" s="164"/>
      <c r="R37" s="164"/>
    </row>
    <row r="38" spans="1:22" ht="38.450000000000003" customHeight="1" x14ac:dyDescent="0.25">
      <c r="A38" s="332"/>
      <c r="B38" s="337" t="s">
        <v>218</v>
      </c>
      <c r="C38" s="5" t="s">
        <v>219</v>
      </c>
      <c r="D38" s="298">
        <v>25</v>
      </c>
      <c r="E38" s="298">
        <v>24.1</v>
      </c>
      <c r="F38" s="298">
        <v>24.1</v>
      </c>
      <c r="G38" s="298"/>
      <c r="H38" s="298"/>
      <c r="I38" s="298"/>
      <c r="J38" s="344"/>
      <c r="K38" s="137"/>
      <c r="L38" s="201"/>
      <c r="M38" s="157"/>
      <c r="N38" s="157"/>
      <c r="O38" s="157"/>
      <c r="P38" s="164"/>
      <c r="Q38" s="164"/>
      <c r="R38" s="164"/>
    </row>
    <row r="39" spans="1:22" ht="38.450000000000003" customHeight="1" x14ac:dyDescent="0.25">
      <c r="A39" s="332"/>
      <c r="B39" s="346" t="s">
        <v>220</v>
      </c>
      <c r="C39" s="347" t="s">
        <v>17</v>
      </c>
      <c r="D39" s="298">
        <f>D37*D38/10</f>
        <v>10</v>
      </c>
      <c r="E39" s="298">
        <f>E37*E38/10</f>
        <v>12.05</v>
      </c>
      <c r="F39" s="298">
        <f>F37*F38/10</f>
        <v>13.255000000000001</v>
      </c>
      <c r="G39" s="298">
        <f t="shared" ref="G39:H39" si="19">G37*G38/10</f>
        <v>0</v>
      </c>
      <c r="H39" s="298">
        <f t="shared" si="19"/>
        <v>0</v>
      </c>
      <c r="I39" s="298"/>
      <c r="J39" s="344"/>
      <c r="K39" s="137"/>
      <c r="L39" s="201"/>
      <c r="M39" s="157"/>
      <c r="N39" s="157"/>
      <c r="O39" s="157"/>
      <c r="P39" s="164"/>
      <c r="Q39" s="164"/>
      <c r="R39" s="164"/>
    </row>
    <row r="40" spans="1:22" ht="38.450000000000003" customHeight="1" x14ac:dyDescent="0.25">
      <c r="A40" s="332">
        <v>4</v>
      </c>
      <c r="B40" s="333" t="s">
        <v>242</v>
      </c>
      <c r="C40" s="332" t="s">
        <v>6</v>
      </c>
      <c r="D40" s="294">
        <f>'TUMO RONG (1)'!D43+'LONG LEO(2)'!D43+'ĐĂK CHUM 1(3)'!D43+'ĐĂK CHUM II(4)'!D43+'TU CẤP(5)'!D43+'ĐĂK KA(6)'!D43+'VĂN SANG(7)'!D43+'ĐĂK NEANG(8)'!D43+'NGỌC LEANG(9)'!D43+'ĐĂK SIÊNG(10)'!D43+'KON TUN(11)'!D43+'MÔ PẢ(12)'!D43+'TY TU(13)'!D43+'KON LING(14)'!D43+'ĐĂK PƠ TRANG(15)'!D43+'KON PIA(16)'!D43+'ĐĂK HÀ(17)'!D43</f>
        <v>8</v>
      </c>
      <c r="E40" s="294">
        <v>8</v>
      </c>
      <c r="F40" s="294">
        <f>'TUMO RONG (1)'!E43+'LONG LEO(2)'!E43+'ĐĂK CHUM 1(3)'!E43+'ĐĂK CHUM II(4)'!E43+'TU CẤP(5)'!E43+'ĐĂK KA(6)'!E43+'VĂN SANG(7)'!E43+'ĐĂK NEANG(8)'!E43+'NGỌC LEANG(9)'!E43+'ĐĂK SIÊNG(10)'!E43+'KON TUN(11)'!E43+'MÔ PẢ(12)'!E43+'TY TU(13)'!E43+'KON LING(14)'!E43+'ĐĂK PƠ TRANG(15)'!E43+'KON PIA(16)'!E43+'ĐĂK HÀ(17)'!E43</f>
        <v>8.5</v>
      </c>
      <c r="G40" s="294">
        <f>'TUMO RONG (1)'!F43+'LONG LEO(2)'!F43+'ĐĂK CHUM 1(3)'!F43+'ĐĂK CHUM II(4)'!F43+'TU CẤP(5)'!F43+'ĐĂK KA(6)'!F43+'VĂN SANG(7)'!F43+'ĐĂK NEANG(8)'!F43+'NGỌC LEANG(9)'!F43+'ĐĂK SIÊNG(10)'!F43+'KON TUN(11)'!F43+'MÔ PẢ(12)'!F43+'TY TU(13)'!F43+'KON LING(14)'!F43+'ĐĂK PƠ TRANG(15)'!F43+'KON PIA(16)'!F43+'ĐĂK HÀ(17)'!F43</f>
        <v>4.593</v>
      </c>
      <c r="H40" s="294">
        <f>'TUMO RONG (1)'!G43+'LONG LEO(2)'!G43+'ĐĂK CHUM 1(3)'!G43+'ĐĂK CHUM II(4)'!G43+'TU CẤP(5)'!G43+'ĐĂK KA(6)'!G43+'VĂN SANG(7)'!G43+'ĐĂK NEANG(8)'!G43+'NGỌC LEANG(9)'!G43+'ĐĂK SIÊNG(10)'!G43+'KON TUN(11)'!G43+'MÔ PẢ(12)'!G43+'TY TU(13)'!G43+'KON LING(14)'!G43+'ĐĂK PƠ TRANG(15)'!G43+'KON PIA(16)'!G43+'ĐĂK HÀ(17)'!G43</f>
        <v>4.593</v>
      </c>
      <c r="I40" s="294">
        <f>G40/F40*100</f>
        <v>54.035294117647062</v>
      </c>
      <c r="J40" s="349"/>
      <c r="K40" s="168"/>
      <c r="L40" s="201"/>
      <c r="M40" s="161"/>
      <c r="N40" s="138"/>
      <c r="O40" s="138"/>
    </row>
    <row r="41" spans="1:22" ht="38.450000000000003" customHeight="1" x14ac:dyDescent="0.25">
      <c r="A41" s="343"/>
      <c r="B41" s="337" t="s">
        <v>218</v>
      </c>
      <c r="C41" s="5" t="s">
        <v>219</v>
      </c>
      <c r="D41" s="298">
        <v>100</v>
      </c>
      <c r="E41" s="298">
        <v>98.5</v>
      </c>
      <c r="F41" s="298">
        <v>98.5</v>
      </c>
      <c r="G41" s="298">
        <v>49.25</v>
      </c>
      <c r="H41" s="298">
        <v>49.25</v>
      </c>
      <c r="I41" s="298"/>
      <c r="J41" s="323"/>
      <c r="K41" s="116"/>
      <c r="L41" s="201"/>
      <c r="M41" s="139"/>
      <c r="N41" s="138"/>
      <c r="O41" s="138"/>
    </row>
    <row r="42" spans="1:22" ht="38.450000000000003" customHeight="1" x14ac:dyDescent="0.25">
      <c r="A42" s="343"/>
      <c r="B42" s="346" t="s">
        <v>220</v>
      </c>
      <c r="C42" s="347" t="s">
        <v>17</v>
      </c>
      <c r="D42" s="298">
        <f>'TUMO RONG (1)'!D45+'LONG LEO(2)'!D45+'ĐĂK CHUM 1(3)'!D45+'ĐĂK CHUM II(4)'!D45+'TU CẤP(5)'!D45+'ĐĂK KA(6)'!D45+'VĂN SANG(7)'!D45+'ĐĂK NEANG(8)'!D45+'NGỌC LEANG(9)'!D45+'ĐĂK SIÊNG(10)'!D45+'KON TUN(11)'!D45+'MÔ PẢ(12)'!D45+'TY TU(13)'!D45+'KON LING(14)'!D45+'ĐĂK PƠ TRANG(15)'!D45+'KON PIA(16)'!D45+'ĐĂK HÀ(17)'!D45</f>
        <v>80</v>
      </c>
      <c r="E42" s="298">
        <f>E40*E41/10</f>
        <v>78.8</v>
      </c>
      <c r="F42" s="298">
        <f>F40*F41/10</f>
        <v>83.724999999999994</v>
      </c>
      <c r="G42" s="298">
        <f t="shared" ref="G42:H42" si="20">G40*G41/10</f>
        <v>22.620525000000001</v>
      </c>
      <c r="H42" s="298">
        <f t="shared" si="20"/>
        <v>22.620525000000001</v>
      </c>
      <c r="I42" s="298"/>
      <c r="J42" s="323"/>
      <c r="K42" s="116"/>
      <c r="L42" s="201"/>
      <c r="M42" s="138"/>
      <c r="N42" s="138"/>
      <c r="O42" s="138"/>
    </row>
    <row r="43" spans="1:22" ht="38.450000000000003" customHeight="1" x14ac:dyDescent="0.25">
      <c r="A43" s="332">
        <v>5</v>
      </c>
      <c r="B43" s="333" t="s">
        <v>32</v>
      </c>
      <c r="C43" s="332" t="s">
        <v>6</v>
      </c>
      <c r="D43" s="294">
        <f>D44+D54+D63</f>
        <v>708.42</v>
      </c>
      <c r="E43" s="294"/>
      <c r="F43" s="294">
        <f t="shared" ref="F43:H43" si="21">F44+F54+F63</f>
        <v>878.83999999999992</v>
      </c>
      <c r="G43" s="294">
        <f t="shared" si="21"/>
        <v>714.43999999999994</v>
      </c>
      <c r="H43" s="294">
        <f t="shared" si="21"/>
        <v>714.43999999999994</v>
      </c>
      <c r="I43" s="294">
        <f t="shared" ref="I43:I49" si="22">G43/F43*100</f>
        <v>81.293523280688191</v>
      </c>
      <c r="J43" s="336"/>
      <c r="K43" s="132"/>
      <c r="L43" s="201"/>
      <c r="M43" s="138"/>
      <c r="N43" s="138"/>
      <c r="O43" s="138"/>
    </row>
    <row r="44" spans="1:22" s="194" customFormat="1" ht="38.450000000000003" customHeight="1" x14ac:dyDescent="0.25">
      <c r="A44" s="350" t="s">
        <v>33</v>
      </c>
      <c r="B44" s="333" t="s">
        <v>34</v>
      </c>
      <c r="C44" s="332" t="s">
        <v>6</v>
      </c>
      <c r="D44" s="294">
        <f>D45+D46</f>
        <v>558.79999999999995</v>
      </c>
      <c r="E44" s="294">
        <v>689.6</v>
      </c>
      <c r="F44" s="294">
        <f>F45+F46</f>
        <v>708.8</v>
      </c>
      <c r="G44" s="294">
        <f t="shared" ref="G44:H44" si="23">G45+G46</f>
        <v>558.79999999999995</v>
      </c>
      <c r="H44" s="294">
        <f t="shared" si="23"/>
        <v>558.79999999999995</v>
      </c>
      <c r="I44" s="294">
        <f t="shared" si="22"/>
        <v>78.837471783295712</v>
      </c>
      <c r="J44" s="336"/>
      <c r="K44" s="231"/>
      <c r="L44" s="201"/>
      <c r="M44" s="202"/>
      <c r="N44" s="202"/>
      <c r="O44" s="202"/>
    </row>
    <row r="45" spans="1:22" ht="38.450000000000003" customHeight="1" x14ac:dyDescent="0.25">
      <c r="A45" s="351" t="s">
        <v>24</v>
      </c>
      <c r="B45" s="352" t="s">
        <v>196</v>
      </c>
      <c r="C45" s="353" t="s">
        <v>6</v>
      </c>
      <c r="D45" s="298">
        <f>'TUMO RONG (1)'!D48+'LONG LEO(2)'!D48+'ĐĂK CHUM 1(3)'!D48+'ĐĂK CHUM II(4)'!D48+'TU CẤP(5)'!D48+'ĐĂK KA(6)'!D48+'VĂN SANG(7)'!D48+'ĐĂK NEANG(8)'!D48+'NGỌC LEANG(9)'!D48+'ĐĂK SIÊNG(10)'!D48+'KON TUN(11)'!D48+'MÔ PẢ(12)'!D48+'TY TU(13)'!D48+'KON LING(14)'!D48+'ĐĂK PƠ TRANG(15)'!D48+'KON PIA(16)'!D48+'ĐĂK HÀ(17)'!D48</f>
        <v>461.09999999999997</v>
      </c>
      <c r="E45" s="298"/>
      <c r="F45" s="298">
        <f>'TUMO RONG (1)'!E48+'LONG LEO(2)'!E48+'ĐĂK CHUM 1(3)'!E48+'ĐĂK CHUM II(4)'!E48+'TU CẤP(5)'!E48+'ĐĂK KA(6)'!E48+'VĂN SANG(7)'!E48+'ĐĂK NEANG(8)'!E48+'NGỌC LEANG(9)'!E48+'ĐĂK SIÊNG(10)'!E48+'KON TUN(11)'!E48+'MÔ PẢ(12)'!E48+'TY TU(13)'!E48+'KON LING(14)'!E48+'ĐĂK PƠ TRANG(15)'!E48+'KON PIA(16)'!E48+'ĐĂK HÀ(17)'!E48</f>
        <v>558.79999999999995</v>
      </c>
      <c r="G45" s="298">
        <f>'TUMO RONG (1)'!F48+'LONG LEO(2)'!F48+'ĐĂK CHUM 1(3)'!F48+'ĐĂK CHUM II(4)'!F48+'TU CẤP(5)'!F48+'ĐĂK KA(6)'!F48+'VĂN SANG(7)'!F48+'ĐĂK NEANG(8)'!F48+'NGỌC LEANG(9)'!F48+'ĐĂK SIÊNG(10)'!F48+'KON TUN(11)'!F48+'MÔ PẢ(12)'!F48+'TY TU(13)'!F48+'KON LING(14)'!F48+'ĐĂK PƠ TRANG(15)'!F48+'KON PIA(16)'!F48+'ĐĂK HÀ(17)'!F48</f>
        <v>558.79999999999995</v>
      </c>
      <c r="H45" s="298">
        <f>'TUMO RONG (1)'!G48+'LONG LEO(2)'!G48+'ĐĂK CHUM 1(3)'!G48+'ĐĂK CHUM II(4)'!G48+'TU CẤP(5)'!G48+'ĐĂK KA(6)'!G48+'VĂN SANG(7)'!G48+'ĐĂK NEANG(8)'!G48+'NGỌC LEANG(9)'!G48+'ĐĂK SIÊNG(10)'!G48+'KON TUN(11)'!G48+'MÔ PẢ(12)'!G48+'TY TU(13)'!G48+'KON LING(14)'!G48+'ĐĂK PƠ TRANG(15)'!G48+'KON PIA(16)'!G48+'ĐĂK HÀ(17)'!G48</f>
        <v>558.79999999999995</v>
      </c>
      <c r="I45" s="298">
        <f t="shared" si="22"/>
        <v>100</v>
      </c>
      <c r="J45" s="309"/>
      <c r="K45" s="117"/>
      <c r="L45" s="201"/>
      <c r="M45" s="147"/>
      <c r="N45" s="138"/>
      <c r="O45" s="138"/>
    </row>
    <row r="46" spans="1:22" s="131" customFormat="1" ht="38.450000000000003" customHeight="1" x14ac:dyDescent="0.25">
      <c r="A46" s="332" t="s">
        <v>20</v>
      </c>
      <c r="B46" s="333" t="s">
        <v>186</v>
      </c>
      <c r="C46" s="354" t="s">
        <v>6</v>
      </c>
      <c r="D46" s="294">
        <f>D47+D48</f>
        <v>97.7</v>
      </c>
      <c r="E46" s="294">
        <v>150</v>
      </c>
      <c r="F46" s="294">
        <f t="shared" ref="F46:H46" si="24">F47+F48</f>
        <v>150</v>
      </c>
      <c r="G46" s="294">
        <f t="shared" si="24"/>
        <v>0</v>
      </c>
      <c r="H46" s="294">
        <f t="shared" si="24"/>
        <v>0</v>
      </c>
      <c r="I46" s="294">
        <f t="shared" si="22"/>
        <v>0</v>
      </c>
      <c r="J46" s="333"/>
      <c r="K46" s="129"/>
      <c r="L46" s="201"/>
      <c r="M46" s="316"/>
      <c r="N46" s="193"/>
      <c r="O46" s="193"/>
      <c r="P46" s="154"/>
      <c r="Q46" s="154"/>
      <c r="R46" s="154"/>
      <c r="S46" s="154"/>
      <c r="T46" s="154"/>
      <c r="U46" s="154"/>
    </row>
    <row r="47" spans="1:22" ht="38.450000000000003" customHeight="1" x14ac:dyDescent="0.25">
      <c r="A47" s="353" t="s">
        <v>18</v>
      </c>
      <c r="B47" s="355" t="s">
        <v>194</v>
      </c>
      <c r="C47" s="353" t="s">
        <v>6</v>
      </c>
      <c r="D47" s="298">
        <f>'TUMO RONG (1)'!D50+'LONG LEO(2)'!D50+'ĐĂK CHUM 1(3)'!D50+'ĐĂK CHUM II(4)'!D50+'TU CẤP(5)'!D50+'ĐĂK KA(6)'!D50+'VĂN SANG(7)'!D50+'ĐĂK NEANG(8)'!D50+'NGỌC LEANG(9)'!D50+'ĐĂK SIÊNG(10)'!D50+'KON TUN(11)'!D50+'MÔ PẢ(12)'!D50+'TY TU(13)'!D50+'KON LING(14)'!D50+'ĐĂK PƠ TRANG(15)'!D50+'KON PIA(16)'!D50+'ĐĂK HÀ(17)'!D50</f>
        <v>87.2</v>
      </c>
      <c r="E47" s="298"/>
      <c r="F47" s="298">
        <f>'TUMO RONG (1)'!E50+'LONG LEO(2)'!E50+'ĐĂK CHUM 1(3)'!E50+'ĐĂK CHUM II(4)'!E50+'TU CẤP(5)'!E50+'ĐĂK KA(6)'!E50+'VĂN SANG(7)'!E50+'ĐĂK NEANG(8)'!E50+'NGỌC LEANG(9)'!E50+'ĐĂK SIÊNG(10)'!E50+'KON TUN(11)'!E50+'MÔ PẢ(12)'!E50+'TY TU(13)'!E50+'KON LING(14)'!E50+'ĐĂK PƠ TRANG(15)'!E50+'KON PIA(16)'!E50+'ĐĂK HÀ(17)'!E50</f>
        <v>140</v>
      </c>
      <c r="G47" s="298">
        <f>'TUMO RONG (1)'!F50+'LONG LEO(2)'!F50+'ĐĂK CHUM 1(3)'!F50+'ĐĂK CHUM II(4)'!F50+'TU CẤP(5)'!F50+'ĐĂK KA(6)'!F50+'VĂN SANG(7)'!F50+'ĐĂK NEANG(8)'!F50+'NGỌC LEANG(9)'!F50+'ĐĂK SIÊNG(10)'!F50+'KON TUN(11)'!F50+'MÔ PẢ(12)'!F50+'TY TU(13)'!F50+'KON LING(14)'!F50+'ĐĂK PƠ TRANG(15)'!F50+'KON PIA(16)'!F50+'ĐĂK HÀ(17)'!F50</f>
        <v>0</v>
      </c>
      <c r="H47" s="298">
        <f>'TUMO RONG (1)'!G50+'LONG LEO(2)'!G50+'ĐĂK CHUM 1(3)'!G50+'ĐĂK CHUM II(4)'!G50+'TU CẤP(5)'!G50+'ĐĂK KA(6)'!G50+'VĂN SANG(7)'!G50+'ĐĂK NEANG(8)'!G50+'NGỌC LEANG(9)'!G50+'ĐĂK SIÊNG(10)'!G50+'KON TUN(11)'!G50+'MÔ PẢ(12)'!G50+'TY TU(13)'!G50+'KON LING(14)'!G50+'ĐĂK PƠ TRANG(15)'!G50+'KON PIA(16)'!G50+'ĐĂK HÀ(17)'!G50</f>
        <v>0</v>
      </c>
      <c r="I47" s="294">
        <f t="shared" si="22"/>
        <v>0</v>
      </c>
      <c r="J47" s="336"/>
      <c r="K47" s="132"/>
      <c r="L47" s="201"/>
      <c r="M47" s="141"/>
      <c r="N47" s="119"/>
      <c r="O47" s="191"/>
      <c r="P47" s="192"/>
      <c r="Q47" s="192"/>
      <c r="R47" s="192"/>
      <c r="S47" s="192"/>
      <c r="T47" s="192"/>
      <c r="U47" s="192"/>
      <c r="V47" s="192"/>
    </row>
    <row r="48" spans="1:22" ht="38.450000000000003" customHeight="1" x14ac:dyDescent="0.25">
      <c r="A48" s="353" t="s">
        <v>18</v>
      </c>
      <c r="B48" s="355" t="s">
        <v>35</v>
      </c>
      <c r="C48" s="343" t="s">
        <v>6</v>
      </c>
      <c r="D48" s="298">
        <f>'TUMO RONG (1)'!D51+'LONG LEO(2)'!D51+'ĐĂK CHUM 1(3)'!D51+'ĐĂK CHUM II(4)'!D51+'TU CẤP(5)'!D51+'ĐĂK KA(6)'!D51+'VĂN SANG(7)'!D51+'ĐĂK NEANG(8)'!D51+'NGỌC LEANG(9)'!D51+'ĐĂK SIÊNG(10)'!D51+'KON TUN(11)'!D51+'MÔ PẢ(12)'!D51+'TY TU(13)'!D51+'KON LING(14)'!D51+'ĐĂK PƠ TRANG(15)'!D51+'KON PIA(16)'!D51+'ĐĂK HÀ(17)'!D51</f>
        <v>10.500000000000002</v>
      </c>
      <c r="E48" s="298"/>
      <c r="F48" s="298">
        <f>'TUMO RONG (1)'!E51+'LONG LEO(2)'!E51+'ĐĂK CHUM 1(3)'!E51+'ĐĂK CHUM II(4)'!E51+'TU CẤP(5)'!E51+'ĐĂK KA(6)'!E51+'VĂN SANG(7)'!E51+'ĐĂK NEANG(8)'!E51+'NGỌC LEANG(9)'!E51+'ĐĂK SIÊNG(10)'!E51+'KON TUN(11)'!E51+'MÔ PẢ(12)'!E51+'TY TU(13)'!E51+'KON LING(14)'!E51+'ĐĂK PƠ TRANG(15)'!E51+'KON PIA(16)'!E51+'ĐĂK HÀ(17)'!E51</f>
        <v>10</v>
      </c>
      <c r="G48" s="298">
        <f>'TUMO RONG (1)'!F51+'LONG LEO(2)'!F51+'ĐĂK CHUM 1(3)'!F51+'ĐĂK CHUM II(4)'!F51+'TU CẤP(5)'!F51+'ĐĂK KA(6)'!F51+'VĂN SANG(7)'!F51+'ĐĂK NEANG(8)'!F51+'NGỌC LEANG(9)'!F51+'ĐĂK SIÊNG(10)'!F51+'KON TUN(11)'!F51+'MÔ PẢ(12)'!F51+'TY TU(13)'!F51+'KON LING(14)'!F51+'ĐĂK PƠ TRANG(15)'!F51+'KON PIA(16)'!F51+'ĐĂK HÀ(17)'!F51</f>
        <v>0</v>
      </c>
      <c r="H48" s="298">
        <f>'TUMO RONG (1)'!G51+'LONG LEO(2)'!G51+'ĐĂK CHUM 1(3)'!G51+'ĐĂK CHUM II(4)'!G51+'TU CẤP(5)'!G51+'ĐĂK KA(6)'!G51+'VĂN SANG(7)'!G51+'ĐĂK NEANG(8)'!G51+'NGỌC LEANG(9)'!G51+'ĐĂK SIÊNG(10)'!G51+'KON TUN(11)'!G51+'MÔ PẢ(12)'!G51+'TY TU(13)'!G51+'KON LING(14)'!G51+'ĐĂK PƠ TRANG(15)'!G51+'KON PIA(16)'!G51+'ĐĂK HÀ(17)'!G51</f>
        <v>0</v>
      </c>
      <c r="I48" s="294">
        <f t="shared" si="22"/>
        <v>0</v>
      </c>
      <c r="J48" s="339"/>
      <c r="K48" s="134"/>
      <c r="L48" s="201"/>
      <c r="M48" s="138"/>
      <c r="N48" s="119"/>
      <c r="O48" s="191"/>
      <c r="P48" s="192"/>
      <c r="Q48" s="192"/>
      <c r="R48" s="192"/>
      <c r="S48" s="192"/>
      <c r="T48" s="192"/>
      <c r="U48" s="192"/>
      <c r="V48" s="192"/>
    </row>
    <row r="49" spans="1:20" s="131" customFormat="1" ht="38.450000000000003" customHeight="1" x14ac:dyDescent="0.25">
      <c r="A49" s="331" t="s">
        <v>22</v>
      </c>
      <c r="B49" s="356" t="s">
        <v>197</v>
      </c>
      <c r="C49" s="332" t="s">
        <v>6</v>
      </c>
      <c r="D49" s="294">
        <f>D52+D53</f>
        <v>282</v>
      </c>
      <c r="E49" s="294"/>
      <c r="F49" s="294">
        <f t="shared" ref="F49:H49" si="25">F52+F53</f>
        <v>389.21600000000001</v>
      </c>
      <c r="G49" s="294">
        <f t="shared" si="25"/>
        <v>389.21999999999997</v>
      </c>
      <c r="H49" s="294">
        <f t="shared" si="25"/>
        <v>389.21999999999997</v>
      </c>
      <c r="I49" s="294">
        <f t="shared" si="22"/>
        <v>100.00102770698018</v>
      </c>
      <c r="J49" s="338"/>
      <c r="K49" s="200"/>
      <c r="L49" s="154"/>
    </row>
    <row r="50" spans="1:20" s="131" customFormat="1" ht="38.450000000000003" customHeight="1" x14ac:dyDescent="0.25">
      <c r="A50" s="331"/>
      <c r="B50" s="337" t="s">
        <v>218</v>
      </c>
      <c r="C50" s="5" t="s">
        <v>219</v>
      </c>
      <c r="D50" s="298">
        <v>13.5</v>
      </c>
      <c r="E50" s="298"/>
      <c r="F50" s="298">
        <v>13.5</v>
      </c>
      <c r="G50" s="298"/>
      <c r="H50" s="298"/>
      <c r="I50" s="294"/>
      <c r="J50" s="338"/>
      <c r="K50" s="200"/>
      <c r="L50" s="154"/>
    </row>
    <row r="51" spans="1:20" s="131" customFormat="1" ht="38.450000000000003" customHeight="1" x14ac:dyDescent="0.25">
      <c r="A51" s="331"/>
      <c r="B51" s="337" t="s">
        <v>220</v>
      </c>
      <c r="C51" s="5" t="s">
        <v>17</v>
      </c>
      <c r="D51" s="298">
        <f>D49*D50/10</f>
        <v>380.7</v>
      </c>
      <c r="E51" s="298"/>
      <c r="F51" s="298">
        <f t="shared" ref="F51:H51" si="26">F49*F50/10</f>
        <v>525.44159999999999</v>
      </c>
      <c r="G51" s="298">
        <f t="shared" si="26"/>
        <v>0</v>
      </c>
      <c r="H51" s="298">
        <f t="shared" si="26"/>
        <v>0</v>
      </c>
      <c r="I51" s="294"/>
      <c r="J51" s="338"/>
      <c r="K51" s="200"/>
      <c r="L51" s="154"/>
    </row>
    <row r="52" spans="1:20" ht="38.450000000000003" customHeight="1" x14ac:dyDescent="0.25">
      <c r="A52" s="357" t="s">
        <v>18</v>
      </c>
      <c r="B52" s="355" t="s">
        <v>198</v>
      </c>
      <c r="C52" s="343" t="s">
        <v>6</v>
      </c>
      <c r="D52" s="298">
        <f>'TUMO RONG (1)'!D53+'LONG LEO(2)'!D53+'ĐĂK CHUM 1(3)'!D53+'ĐĂK CHUM II(4)'!D53+'TU CẤP(5)'!D53+'ĐĂK KA(6)'!D53+'VĂN SANG(7)'!D53+'ĐĂK NEANG(8)'!D53+'NGỌC LEANG(9)'!D53+'ĐĂK SIÊNG(10)'!D53+'KON TUN(11)'!D53+'MÔ PẢ(12)'!D53+'TY TU(13)'!D53+'KON LING(14)'!D53+'ĐĂK PƠ TRANG(15)'!D53+'KON PIA(16)'!D53+'ĐĂK HÀ(17)'!D53</f>
        <v>231.99999999999997</v>
      </c>
      <c r="E52" s="298"/>
      <c r="F52" s="298">
        <f>'TUMO RONG (1)'!E53+'LONG LEO(2)'!E53+'ĐĂK CHUM 1(3)'!E53+'ĐĂK CHUM II(4)'!E53+'TU CẤP(5)'!E53+'ĐĂK KA(6)'!E53+'VĂN SANG(7)'!E53+'ĐĂK NEANG(8)'!E53+'NGỌC LEANG(9)'!E53+'ĐĂK SIÊNG(10)'!E53+'KON TUN(11)'!E53+'MÔ PẢ(12)'!E53+'TY TU(13)'!E53+'KON LING(14)'!E53+'ĐĂK PƠ TRANG(15)'!E53+'KON PIA(16)'!E53+'ĐĂK HÀ(17)'!E53</f>
        <v>389.21600000000001</v>
      </c>
      <c r="G52" s="298">
        <f>'TUMO RONG (1)'!F53+'LONG LEO(2)'!F53+'ĐĂK CHUM 1(3)'!F53+'ĐĂK CHUM II(4)'!F53+'TU CẤP(5)'!F53+'ĐĂK KA(6)'!F53+'VĂN SANG(7)'!F53+'ĐĂK NEANG(8)'!F53+'NGỌC LEANG(9)'!F53+'ĐĂK SIÊNG(10)'!F53+'KON TUN(11)'!F53+'MÔ PẢ(12)'!F53+'TY TU(13)'!F53+'KON LING(14)'!F53+'ĐĂK PƠ TRANG(15)'!F53+'KON PIA(16)'!F53+'ĐĂK HÀ(17)'!F53</f>
        <v>389.21999999999997</v>
      </c>
      <c r="H52" s="298">
        <f>'TUMO RONG (1)'!G53+'LONG LEO(2)'!G53+'ĐĂK CHUM 1(3)'!G53+'ĐĂK CHUM II(4)'!G53+'TU CẤP(5)'!G53+'ĐĂK KA(6)'!G53+'VĂN SANG(7)'!G53+'ĐĂK NEANG(8)'!G53+'NGỌC LEANG(9)'!G53+'ĐĂK SIÊNG(10)'!G53+'KON TUN(11)'!G53+'MÔ PẢ(12)'!G53+'TY TU(13)'!G53+'KON LING(14)'!G53+'ĐĂK PƠ TRANG(15)'!G53+'KON PIA(16)'!G53+'ĐĂK HÀ(17)'!G53</f>
        <v>389.21999999999997</v>
      </c>
      <c r="I52" s="298">
        <f t="shared" ref="I52:I55" si="27">G52/F52*100</f>
        <v>100.00102770698018</v>
      </c>
      <c r="J52" s="339"/>
      <c r="K52" s="134"/>
      <c r="P52" s="189"/>
    </row>
    <row r="53" spans="1:20" ht="38.450000000000003" customHeight="1" x14ac:dyDescent="0.25">
      <c r="A53" s="343"/>
      <c r="B53" s="355" t="s">
        <v>199</v>
      </c>
      <c r="C53" s="343" t="s">
        <v>6</v>
      </c>
      <c r="D53" s="298">
        <f>'TUMO RONG (1)'!D54+'LONG LEO(2)'!D54+'ĐĂK CHUM 1(3)'!D54+'ĐĂK CHUM II(4)'!D54+'TU CẤP(5)'!D54+'ĐĂK KA(6)'!D54+'VĂN SANG(7)'!D54+'ĐĂK NEANG(8)'!D54+'NGỌC LEANG(9)'!D54+'ĐĂK SIÊNG(10)'!D54+'KON TUN(11)'!D54+'MÔ PẢ(12)'!D54+'TY TU(13)'!D54+'KON LING(14)'!D54+'ĐĂK PƠ TRANG(15)'!D54+'KON PIA(16)'!D54+'ĐĂK HÀ(17)'!D54</f>
        <v>50</v>
      </c>
      <c r="E53" s="298"/>
      <c r="F53" s="294">
        <f>'TUMO RONG (1)'!E54+'LONG LEO(2)'!E54+'ĐĂK CHUM 1(3)'!E54+'ĐĂK CHUM II(4)'!E54+'TU CẤP(5)'!E54+'ĐĂK KA(6)'!E54+'VĂN SANG(7)'!E54+'ĐĂK NEANG(8)'!E54+'NGỌC LEANG(9)'!E54+'ĐĂK SIÊNG(10)'!E54+'KON TUN(11)'!E54+'MÔ PẢ(12)'!E54+'TY TU(13)'!E54+'KON LING(14)'!E54+'ĐĂK PƠ TRANG(15)'!E54+'KON PIA(16)'!E54+'ĐĂK HÀ(17)'!E54</f>
        <v>0</v>
      </c>
      <c r="G53" s="294">
        <f>'TUMO RONG (1)'!F54+'LONG LEO(2)'!F54+'ĐĂK CHUM 1(3)'!F54+'ĐĂK CHUM II(4)'!F54+'TU CẤP(5)'!F54+'ĐĂK KA(6)'!F54+'VĂN SANG(7)'!F54+'ĐĂK NEANG(8)'!F54+'NGỌC LEANG(9)'!F54+'ĐĂK SIÊNG(10)'!F54+'KON TUN(11)'!F54+'MÔ PẢ(12)'!F54+'TY TU(13)'!F54+'KON LING(14)'!F54+'ĐĂK PƠ TRANG(15)'!F54+'KON PIA(16)'!F54+'ĐĂK HÀ(17)'!F54</f>
        <v>0</v>
      </c>
      <c r="H53" s="294">
        <f>'TUMO RONG (1)'!G54+'LONG LEO(2)'!G54+'ĐĂK CHUM 1(3)'!G54+'ĐĂK CHUM II(4)'!G54+'TU CẤP(5)'!G54+'ĐĂK KA(6)'!G54+'VĂN SANG(7)'!G54+'ĐĂK NEANG(8)'!G54+'NGỌC LEANG(9)'!G54+'ĐĂK SIÊNG(10)'!G54+'KON TUN(11)'!G54+'MÔ PẢ(12)'!G54+'TY TU(13)'!G54+'KON LING(14)'!G54+'ĐĂK PƠ TRANG(15)'!G54+'KON PIA(16)'!G54+'ĐĂK HÀ(17)'!G54</f>
        <v>0</v>
      </c>
      <c r="I53" s="298"/>
      <c r="J53" s="339"/>
      <c r="K53" s="134"/>
      <c r="P53" s="189"/>
    </row>
    <row r="54" spans="1:20" s="194" customFormat="1" ht="38.450000000000003" customHeight="1" x14ac:dyDescent="0.25">
      <c r="A54" s="332" t="s">
        <v>40</v>
      </c>
      <c r="B54" s="333" t="s">
        <v>36</v>
      </c>
      <c r="C54" s="332" t="s">
        <v>6</v>
      </c>
      <c r="D54" s="294">
        <f>D55+D56</f>
        <v>114.94</v>
      </c>
      <c r="E54" s="294">
        <v>126</v>
      </c>
      <c r="F54" s="294">
        <f>F55+F56</f>
        <v>135.35999999999999</v>
      </c>
      <c r="G54" s="294">
        <f t="shared" ref="G54:H54" si="28">G55+G56</f>
        <v>120.96</v>
      </c>
      <c r="H54" s="294">
        <f t="shared" si="28"/>
        <v>120.96</v>
      </c>
      <c r="I54" s="294">
        <f t="shared" si="27"/>
        <v>89.361702127659584</v>
      </c>
      <c r="J54" s="336"/>
      <c r="K54" s="231"/>
      <c r="L54" s="260"/>
    </row>
    <row r="55" spans="1:20" ht="38.450000000000003" customHeight="1" x14ac:dyDescent="0.25">
      <c r="A55" s="343" t="s">
        <v>24</v>
      </c>
      <c r="B55" s="352" t="s">
        <v>214</v>
      </c>
      <c r="C55" s="343" t="s">
        <v>6</v>
      </c>
      <c r="D55" s="298">
        <f>'TUMO RONG (1)'!D56+'LONG LEO(2)'!D56+'ĐĂK CHUM 1(3)'!D56+'ĐĂK CHUM II(4)'!D56+'TU CẤP(5)'!D56+'ĐĂK KA(6)'!D56+'VĂN SANG(7)'!D56+'ĐĂK NEANG(8)'!D56+'NGỌC LEANG(9)'!D56+'ĐĂK SIÊNG(10)'!D56+'KON TUN(11)'!D56+'MÔ PẢ(12)'!D56+'TY TU(13)'!D56+'KON LING(14)'!D56+'ĐĂK PƠ TRANG(15)'!D56+'KON PIA(16)'!D56+'ĐĂK HÀ(17)'!D56</f>
        <v>112.56</v>
      </c>
      <c r="E55" s="298"/>
      <c r="F55" s="298">
        <f>'TUMO RONG (1)'!E56+'LONG LEO(2)'!E56+'ĐĂK CHUM 1(3)'!E56+'ĐĂK CHUM II(4)'!E56+'TU CẤP(5)'!E56+'ĐĂK KA(6)'!E56+'VĂN SANG(7)'!E56+'ĐĂK NEANG(8)'!E56+'NGỌC LEANG(9)'!E56+'ĐĂK SIÊNG(10)'!E56+'KON TUN(11)'!E56+'MÔ PẢ(12)'!E56+'TY TU(13)'!E56+'KON LING(14)'!E56+'ĐĂK PƠ TRANG(15)'!E56+'KON PIA(16)'!E56+'ĐĂK HÀ(17)'!E56</f>
        <v>120.96</v>
      </c>
      <c r="G55" s="298">
        <f>'TUMO RONG (1)'!F56+'LONG LEO(2)'!F56+'ĐĂK CHUM 1(3)'!F56+'ĐĂK CHUM II(4)'!F56+'TU CẤP(5)'!F56+'ĐĂK KA(6)'!F56+'VĂN SANG(7)'!F56+'ĐĂK NEANG(8)'!F56+'NGỌC LEANG(9)'!F56+'ĐĂK SIÊNG(10)'!F56+'KON TUN(11)'!F56+'MÔ PẢ(12)'!F56+'TY TU(13)'!F56+'KON LING(14)'!F56+'ĐĂK PƠ TRANG(15)'!F56+'KON PIA(16)'!F56+'ĐĂK HÀ(17)'!F56</f>
        <v>120.96</v>
      </c>
      <c r="H55" s="298">
        <f>'TUMO RONG (1)'!G56+'LONG LEO(2)'!G56+'ĐĂK CHUM 1(3)'!G56+'ĐĂK CHUM II(4)'!G56+'TU CẤP(5)'!G56+'ĐĂK KA(6)'!G56+'VĂN SANG(7)'!G56+'ĐĂK NEANG(8)'!G56+'NGỌC LEANG(9)'!G56+'ĐĂK SIÊNG(10)'!G56+'KON TUN(11)'!G56+'MÔ PẢ(12)'!G56+'TY TU(13)'!G56+'KON LING(14)'!G56+'ĐĂK PƠ TRANG(15)'!G56+'KON PIA(16)'!G56+'ĐĂK HÀ(17)'!G56</f>
        <v>120.96</v>
      </c>
      <c r="I55" s="298">
        <f t="shared" si="27"/>
        <v>100</v>
      </c>
      <c r="J55" s="339"/>
      <c r="K55" s="134"/>
      <c r="L55" s="135"/>
    </row>
    <row r="56" spans="1:20" ht="38.450000000000003" customHeight="1" x14ac:dyDescent="0.25">
      <c r="A56" s="343" t="s">
        <v>24</v>
      </c>
      <c r="B56" s="336" t="s">
        <v>200</v>
      </c>
      <c r="C56" s="343" t="s">
        <v>6</v>
      </c>
      <c r="D56" s="298">
        <f>D57+D60</f>
        <v>2.38</v>
      </c>
      <c r="E56" s="298">
        <v>14.4</v>
      </c>
      <c r="F56" s="298">
        <f>F57+F60</f>
        <v>14.399999999999999</v>
      </c>
      <c r="G56" s="298">
        <f t="shared" ref="G56:H56" si="29">G57+G60</f>
        <v>0</v>
      </c>
      <c r="H56" s="298">
        <f t="shared" si="29"/>
        <v>0</v>
      </c>
      <c r="I56" s="298"/>
      <c r="J56" s="358"/>
      <c r="K56" s="274"/>
      <c r="L56" s="201"/>
      <c r="M56" s="201"/>
    </row>
    <row r="57" spans="1:20" s="149" customFormat="1" ht="38.450000000000003" customHeight="1" x14ac:dyDescent="0.25">
      <c r="A57" s="344" t="s">
        <v>20</v>
      </c>
      <c r="B57" s="359" t="s">
        <v>185</v>
      </c>
      <c r="C57" s="343" t="s">
        <v>6</v>
      </c>
      <c r="D57" s="301">
        <f>D58+D59</f>
        <v>0.28000000000000003</v>
      </c>
      <c r="E57" s="301"/>
      <c r="F57" s="301">
        <f>F58+F59</f>
        <v>8.3999999999999986</v>
      </c>
      <c r="G57" s="301">
        <f t="shared" ref="G57:H57" si="30">G58+G59</f>
        <v>0</v>
      </c>
      <c r="H57" s="301">
        <f t="shared" si="30"/>
        <v>0</v>
      </c>
      <c r="I57" s="301"/>
      <c r="J57" s="360"/>
      <c r="K57" s="275"/>
      <c r="L57" s="148"/>
    </row>
    <row r="58" spans="1:20" ht="38.450000000000003" customHeight="1" x14ac:dyDescent="0.25">
      <c r="A58" s="343" t="s">
        <v>18</v>
      </c>
      <c r="B58" s="352" t="s">
        <v>202</v>
      </c>
      <c r="C58" s="343" t="s">
        <v>6</v>
      </c>
      <c r="D58" s="298">
        <f>'TUMO RONG (1)'!D59+'LONG LEO(2)'!D59+'ĐĂK CHUM 1(3)'!D59+'ĐĂK CHUM II(4)'!D59+'TU CẤP(5)'!D59+'ĐĂK KA(6)'!D59+'VĂN SANG(7)'!D59+'ĐĂK NEANG(8)'!D59+'NGỌC LEANG(9)'!D59+'ĐĂK SIÊNG(10)'!D59+'KON TUN(11)'!D59+'MÔ PẢ(12)'!D59+'TY TU(13)'!D59+'KON LING(14)'!D59+'ĐĂK PƠ TRANG(15)'!D59+'KON PIA(16)'!D59+'ĐĂK HÀ(17)'!D59</f>
        <v>0.28000000000000003</v>
      </c>
      <c r="E58" s="298"/>
      <c r="F58" s="298">
        <f>'TUMO RONG (1)'!E59+'LONG LEO(2)'!E59+'ĐĂK CHUM 1(3)'!E59+'ĐĂK CHUM II(4)'!E59+'TU CẤP(5)'!E59+'ĐĂK KA(6)'!E59+'VĂN SANG(7)'!E59+'ĐĂK NEANG(8)'!E59+'NGỌC LEANG(9)'!E59+'ĐĂK SIÊNG(10)'!E59+'KON TUN(11)'!E59+'MÔ PẢ(12)'!E59+'TY TU(13)'!E59+'KON LING(14)'!E59+'ĐĂK PƠ TRANG(15)'!E59+'KON PIA(16)'!E59+'ĐĂK HÀ(17)'!E59</f>
        <v>4.4999999999999991</v>
      </c>
      <c r="G58" s="298">
        <f>'TUMO RONG (1)'!F59+'LONG LEO(2)'!F59+'ĐĂK CHUM 1(3)'!F59+'ĐĂK CHUM II(4)'!F59+'TU CẤP(5)'!F59+'ĐĂK KA(6)'!F59+'VĂN SANG(7)'!F59+'ĐĂK NEANG(8)'!F59+'NGỌC LEANG(9)'!F59+'ĐĂK SIÊNG(10)'!F59+'KON TUN(11)'!F59+'MÔ PẢ(12)'!F59+'TY TU(13)'!F59+'KON LING(14)'!F59+'ĐĂK PƠ TRANG(15)'!F59+'KON PIA(16)'!F59+'ĐĂK HÀ(17)'!F59</f>
        <v>0</v>
      </c>
      <c r="H58" s="298">
        <f>'TUMO RONG (1)'!G59+'LONG LEO(2)'!G59+'ĐĂK CHUM 1(3)'!G59+'ĐĂK CHUM II(4)'!G59+'TU CẤP(5)'!G59+'ĐĂK KA(6)'!G59+'VĂN SANG(7)'!G59+'ĐĂK NEANG(8)'!G59+'NGỌC LEANG(9)'!G59+'ĐĂK SIÊNG(10)'!G59+'KON TUN(11)'!G59+'MÔ PẢ(12)'!G59+'TY TU(13)'!G59+'KON LING(14)'!G59+'ĐĂK PƠ TRANG(15)'!G59+'KON PIA(16)'!G59+'ĐĂK HÀ(17)'!G59</f>
        <v>0</v>
      </c>
      <c r="I58" s="298"/>
      <c r="J58" s="336"/>
      <c r="K58" s="132"/>
    </row>
    <row r="59" spans="1:20" ht="38.450000000000003" customHeight="1" x14ac:dyDescent="0.25">
      <c r="A59" s="343" t="s">
        <v>18</v>
      </c>
      <c r="B59" s="352" t="s">
        <v>201</v>
      </c>
      <c r="C59" s="343" t="s">
        <v>6</v>
      </c>
      <c r="D59" s="298">
        <f>'TUMO RONG (1)'!D60+'LONG LEO(2)'!D60+'ĐĂK CHUM 1(3)'!D60+'ĐĂK CHUM II(4)'!D60+'TU CẤP(5)'!D60+'ĐĂK KA(6)'!D60+'VĂN SANG(7)'!D60+'ĐĂK NEANG(8)'!D60+'NGỌC LEANG(9)'!D60+'ĐĂK SIÊNG(10)'!D60+'KON TUN(11)'!D60+'MÔ PẢ(12)'!D60+'TY TU(13)'!D60+'KON LING(14)'!D60+'ĐĂK PƠ TRANG(15)'!D60+'KON PIA(16)'!D60+'ĐĂK HÀ(17)'!D60</f>
        <v>0</v>
      </c>
      <c r="E59" s="298"/>
      <c r="F59" s="298">
        <f>'TUMO RONG (1)'!E60+'LONG LEO(2)'!E60+'ĐĂK CHUM 1(3)'!E60+'ĐĂK CHUM II(4)'!E60+'TU CẤP(5)'!E60+'ĐĂK KA(6)'!E60+'VĂN SANG(7)'!E60+'ĐĂK NEANG(8)'!E60+'NGỌC LEANG(9)'!E60+'ĐĂK SIÊNG(10)'!E60+'KON TUN(11)'!E60+'MÔ PẢ(12)'!E60+'TY TU(13)'!E60+'KON LING(14)'!E60+'ĐĂK PƠ TRANG(15)'!E60+'KON PIA(16)'!E60+'ĐĂK HÀ(17)'!E60</f>
        <v>3.9000000000000004</v>
      </c>
      <c r="G59" s="298">
        <f>'TUMO RONG (1)'!F60+'LONG LEO(2)'!F60+'ĐĂK CHUM 1(3)'!F60+'ĐĂK CHUM II(4)'!F60+'TU CẤP(5)'!F60+'ĐĂK KA(6)'!F60+'VĂN SANG(7)'!F60+'ĐĂK NEANG(8)'!F60+'NGỌC LEANG(9)'!F60+'ĐĂK SIÊNG(10)'!F60+'KON TUN(11)'!F60+'MÔ PẢ(12)'!F60+'TY TU(13)'!F60+'KON LING(14)'!F60+'ĐĂK PƠ TRANG(15)'!F60+'KON PIA(16)'!F60+'ĐĂK HÀ(17)'!F60</f>
        <v>0</v>
      </c>
      <c r="H59" s="298">
        <f>'TUMO RONG (1)'!G60+'LONG LEO(2)'!G60+'ĐĂK CHUM 1(3)'!G60+'ĐĂK CHUM II(4)'!G60+'TU CẤP(5)'!G60+'ĐĂK KA(6)'!G60+'VĂN SANG(7)'!G60+'ĐĂK NEANG(8)'!G60+'NGỌC LEANG(9)'!G60+'ĐĂK SIÊNG(10)'!G60+'KON TUN(11)'!G60+'MÔ PẢ(12)'!G60+'TY TU(13)'!G60+'KON LING(14)'!G60+'ĐĂK PƠ TRANG(15)'!G60+'KON PIA(16)'!G60+'ĐĂK HÀ(17)'!G60</f>
        <v>0</v>
      </c>
      <c r="I59" s="298"/>
      <c r="J59" s="336"/>
      <c r="K59" s="132"/>
    </row>
    <row r="60" spans="1:20" s="149" customFormat="1" ht="38.450000000000003" customHeight="1" x14ac:dyDescent="0.25">
      <c r="A60" s="344" t="s">
        <v>22</v>
      </c>
      <c r="B60" s="361" t="s">
        <v>187</v>
      </c>
      <c r="C60" s="343" t="s">
        <v>6</v>
      </c>
      <c r="D60" s="301">
        <f>D61+D62</f>
        <v>2.1</v>
      </c>
      <c r="E60" s="301"/>
      <c r="F60" s="301">
        <f t="shared" ref="F60:H60" si="31">F61+F62</f>
        <v>6</v>
      </c>
      <c r="G60" s="301">
        <f t="shared" si="31"/>
        <v>0</v>
      </c>
      <c r="H60" s="301">
        <f t="shared" si="31"/>
        <v>0</v>
      </c>
      <c r="I60" s="301"/>
      <c r="J60" s="360"/>
      <c r="K60" s="275"/>
      <c r="L60" s="148"/>
    </row>
    <row r="61" spans="1:20" ht="38.450000000000003" customHeight="1" x14ac:dyDescent="0.25">
      <c r="A61" s="343" t="s">
        <v>18</v>
      </c>
      <c r="B61" s="352" t="s">
        <v>203</v>
      </c>
      <c r="C61" s="343" t="s">
        <v>6</v>
      </c>
      <c r="D61" s="298">
        <f>'TUMO RONG (1)'!D62+'LONG LEO(2)'!D62+'ĐĂK CHUM 1(3)'!D62+'ĐĂK CHUM II(4)'!D62+'TU CẤP(5)'!D62+'ĐĂK KA(6)'!D62+'VĂN SANG(7)'!D62+'ĐĂK NEANG(8)'!D62+'NGỌC LEANG(9)'!D62+'ĐĂK SIÊNG(10)'!D62+'KON TUN(11)'!D62+'MÔ PẢ(12)'!D62+'TY TU(13)'!D62+'KON LING(14)'!D62+'ĐĂK PƠ TRANG(15)'!D62+'KON PIA(16)'!D62+'ĐĂK HÀ(17)'!D62</f>
        <v>2.1</v>
      </c>
      <c r="E61" s="298"/>
      <c r="F61" s="298">
        <f>'TUMO RONG (1)'!E62+'LONG LEO(2)'!E62+'ĐĂK CHUM 1(3)'!E62+'ĐĂK CHUM II(4)'!E62+'TU CẤP(5)'!E62+'ĐĂK KA(6)'!E62+'VĂN SANG(7)'!E62+'ĐĂK NEANG(8)'!E62+'NGỌC LEANG(9)'!E62+'ĐĂK SIÊNG(10)'!E62+'KON TUN(11)'!E62+'MÔ PẢ(12)'!E62+'TY TU(13)'!E62+'KON LING(14)'!E62+'ĐĂK PƠ TRANG(15)'!E62+'KON PIA(16)'!E62+'ĐĂK HÀ(17)'!E62</f>
        <v>3.9</v>
      </c>
      <c r="G61" s="298">
        <f>'TUMO RONG (1)'!F62+'LONG LEO(2)'!F62+'ĐĂK CHUM 1(3)'!F62+'ĐĂK CHUM II(4)'!F62+'TU CẤP(5)'!F62+'ĐĂK KA(6)'!F62+'VĂN SANG(7)'!F62+'ĐĂK NEANG(8)'!F62+'NGỌC LEANG(9)'!F62+'ĐĂK SIÊNG(10)'!F62+'KON TUN(11)'!F62+'MÔ PẢ(12)'!F62+'TY TU(13)'!F62+'KON LING(14)'!F62+'ĐĂK PƠ TRANG(15)'!F62+'KON PIA(16)'!F62+'ĐĂK HÀ(17)'!F62</f>
        <v>0</v>
      </c>
      <c r="H61" s="298">
        <f>'TUMO RONG (1)'!G62+'LONG LEO(2)'!G62+'ĐĂK CHUM 1(3)'!G62+'ĐĂK CHUM II(4)'!G62+'TU CẤP(5)'!G62+'ĐĂK KA(6)'!G62+'VĂN SANG(7)'!G62+'ĐĂK NEANG(8)'!G62+'NGỌC LEANG(9)'!G62+'ĐĂK SIÊNG(10)'!G62+'KON TUN(11)'!G62+'MÔ PẢ(12)'!G62+'TY TU(13)'!G62+'KON LING(14)'!G62+'ĐĂK PƠ TRANG(15)'!G62+'KON PIA(16)'!G62+'ĐĂK HÀ(17)'!G62</f>
        <v>0</v>
      </c>
      <c r="I61" s="298"/>
      <c r="J61" s="336"/>
      <c r="K61" s="132"/>
      <c r="N61" s="126"/>
      <c r="O61" s="126"/>
      <c r="P61" s="135"/>
      <c r="Q61" s="126"/>
      <c r="R61" s="126"/>
      <c r="S61" s="126"/>
      <c r="T61" s="126"/>
    </row>
    <row r="62" spans="1:20" ht="38.450000000000003" customHeight="1" x14ac:dyDescent="0.25">
      <c r="A62" s="343" t="s">
        <v>18</v>
      </c>
      <c r="B62" s="352" t="s">
        <v>204</v>
      </c>
      <c r="C62" s="343" t="s">
        <v>6</v>
      </c>
      <c r="D62" s="298">
        <f>'TUMO RONG (1)'!D63+'LONG LEO(2)'!D63+'ĐĂK CHUM 1(3)'!D63+'ĐĂK CHUM II(4)'!D63+'TU CẤP(5)'!D63+'ĐĂK KA(6)'!D63+'VĂN SANG(7)'!D63+'ĐĂK NEANG(8)'!D63+'NGỌC LEANG(9)'!D63+'ĐĂK SIÊNG(10)'!D63+'KON TUN(11)'!D63+'MÔ PẢ(12)'!D63+'TY TU(13)'!D63+'KON LING(14)'!D63+'ĐĂK PƠ TRANG(15)'!D63+'KON PIA(16)'!D63+'ĐĂK HÀ(17)'!D63</f>
        <v>0</v>
      </c>
      <c r="E62" s="298"/>
      <c r="F62" s="298">
        <f>'TUMO RONG (1)'!E63+'LONG LEO(2)'!E63+'ĐĂK CHUM 1(3)'!E63+'ĐĂK CHUM II(4)'!E63+'TU CẤP(5)'!E63+'ĐĂK KA(6)'!E63+'VĂN SANG(7)'!E63+'ĐĂK NEANG(8)'!E63+'NGỌC LEANG(9)'!E63+'ĐĂK SIÊNG(10)'!E63+'KON TUN(11)'!E63+'MÔ PẢ(12)'!E63+'TY TU(13)'!E63+'KON LING(14)'!E63+'ĐĂK PƠ TRANG(15)'!E63+'KON PIA(16)'!E63+'ĐĂK HÀ(17)'!E63</f>
        <v>2.1</v>
      </c>
      <c r="G62" s="298">
        <f>'TUMO RONG (1)'!F63+'LONG LEO(2)'!F63+'ĐĂK CHUM 1(3)'!F63+'ĐĂK CHUM II(4)'!F63+'TU CẤP(5)'!F63+'ĐĂK KA(6)'!F63+'VĂN SANG(7)'!F63+'ĐĂK NEANG(8)'!F63+'NGỌC LEANG(9)'!F63+'ĐĂK SIÊNG(10)'!F63+'KON TUN(11)'!F63+'MÔ PẢ(12)'!F63+'TY TU(13)'!F63+'KON LING(14)'!F63+'ĐĂK PƠ TRANG(15)'!F63+'KON PIA(16)'!F63+'ĐĂK HÀ(17)'!F63</f>
        <v>0</v>
      </c>
      <c r="H62" s="298">
        <f>'TUMO RONG (1)'!G63+'LONG LEO(2)'!G63+'ĐĂK CHUM 1(3)'!G63+'ĐĂK CHUM II(4)'!G63+'TU CẤP(5)'!G63+'ĐĂK KA(6)'!G63+'VĂN SANG(7)'!G63+'ĐĂK NEANG(8)'!G63+'NGỌC LEANG(9)'!G63+'ĐĂK SIÊNG(10)'!G63+'KON TUN(11)'!G63+'MÔ PẢ(12)'!G63+'TY TU(13)'!G63+'KON LING(14)'!G63+'ĐĂK PƠ TRANG(15)'!G63+'KON PIA(16)'!G63+'ĐĂK HÀ(17)'!G63</f>
        <v>0</v>
      </c>
      <c r="I62" s="298"/>
      <c r="J62" s="336"/>
      <c r="K62" s="132"/>
    </row>
    <row r="63" spans="1:20" s="194" customFormat="1" ht="38.450000000000003" customHeight="1" x14ac:dyDescent="0.25">
      <c r="A63" s="332" t="s">
        <v>244</v>
      </c>
      <c r="B63" s="333" t="s">
        <v>37</v>
      </c>
      <c r="C63" s="332" t="s">
        <v>6</v>
      </c>
      <c r="D63" s="294">
        <f>D64+D65</f>
        <v>34.68</v>
      </c>
      <c r="E63" s="294">
        <v>34</v>
      </c>
      <c r="F63" s="294">
        <f t="shared" ref="F63:H63" si="32">F64+F65</f>
        <v>34.68</v>
      </c>
      <c r="G63" s="294">
        <f t="shared" si="32"/>
        <v>34.68</v>
      </c>
      <c r="H63" s="294">
        <f t="shared" si="32"/>
        <v>34.68</v>
      </c>
      <c r="I63" s="294">
        <f>G63/F63*100</f>
        <v>100</v>
      </c>
      <c r="J63" s="336"/>
      <c r="K63" s="231"/>
      <c r="L63" s="276"/>
      <c r="M63" s="277"/>
    </row>
    <row r="64" spans="1:20" ht="38.450000000000003" customHeight="1" x14ac:dyDescent="0.25">
      <c r="A64" s="343" t="s">
        <v>18</v>
      </c>
      <c r="B64" s="352" t="s">
        <v>196</v>
      </c>
      <c r="C64" s="343" t="s">
        <v>6</v>
      </c>
      <c r="D64" s="298">
        <f>'TUMO RONG (1)'!D65+'LONG LEO(2)'!D65+'ĐĂK CHUM 1(3)'!D65+'ĐĂK CHUM II(4)'!D65+'TU CẤP(5)'!D65+'ĐĂK KA(6)'!D65+'VĂN SANG(7)'!D65+'ĐĂK NEANG(8)'!D65+'NGỌC LEANG(9)'!D65+'ĐĂK SIÊNG(10)'!D65+'KON TUN(11)'!D65+'MÔ PẢ(12)'!D65+'TY TU(13)'!D65+'KON LING(14)'!D65+'ĐĂK PƠ TRANG(15)'!D65+'KON PIA(16)'!D65+'ĐĂK HÀ(17)'!D65</f>
        <v>34.68</v>
      </c>
      <c r="E64" s="298"/>
      <c r="F64" s="298">
        <f>'TUMO RONG (1)'!E65+'LONG LEO(2)'!E65+'ĐĂK CHUM 1(3)'!E65+'ĐĂK CHUM II(4)'!E65+'TU CẤP(5)'!E65+'ĐĂK KA(6)'!E65+'VĂN SANG(7)'!E65+'ĐĂK NEANG(8)'!E65+'NGỌC LEANG(9)'!E65+'ĐĂK SIÊNG(10)'!E65+'KON TUN(11)'!E65+'MÔ PẢ(12)'!E65+'TY TU(13)'!E65+'KON LING(14)'!E65+'ĐĂK PƠ TRANG(15)'!E65+'KON PIA(16)'!E65+'ĐĂK HÀ(17)'!E65</f>
        <v>34.68</v>
      </c>
      <c r="G64" s="298">
        <f>'TUMO RONG (1)'!F65+'LONG LEO(2)'!F65+'ĐĂK CHUM 1(3)'!F65+'ĐĂK CHUM II(4)'!F65+'TU CẤP(5)'!F65+'ĐĂK KA(6)'!F65+'VĂN SANG(7)'!F65+'ĐĂK NEANG(8)'!F65+'NGỌC LEANG(9)'!F65+'ĐĂK SIÊNG(10)'!F65+'KON TUN(11)'!F65+'MÔ PẢ(12)'!F65+'TY TU(13)'!F65+'KON LING(14)'!F65+'ĐĂK PƠ TRANG(15)'!F65+'KON PIA(16)'!F65+'ĐĂK HÀ(17)'!F65</f>
        <v>34.68</v>
      </c>
      <c r="H64" s="298">
        <f>'TUMO RONG (1)'!G65+'LONG LEO(2)'!G65+'ĐĂK CHUM 1(3)'!G65+'ĐĂK CHUM II(4)'!G65+'TU CẤP(5)'!G65+'ĐĂK KA(6)'!G65+'VĂN SANG(7)'!G65+'ĐĂK NEANG(8)'!G65+'NGỌC LEANG(9)'!G65+'ĐĂK SIÊNG(10)'!G65+'KON TUN(11)'!G65+'MÔ PẢ(12)'!G65+'TY TU(13)'!G65+'KON LING(14)'!G65+'ĐĂK PƠ TRANG(15)'!G65+'KON PIA(16)'!G65+'ĐĂK HÀ(17)'!G65</f>
        <v>34.68</v>
      </c>
      <c r="I64" s="298">
        <f>G64/F64*100</f>
        <v>100</v>
      </c>
      <c r="J64" s="336"/>
      <c r="K64" s="134"/>
    </row>
    <row r="65" spans="1:21" ht="38.450000000000003" customHeight="1" x14ac:dyDescent="0.25">
      <c r="A65" s="343" t="s">
        <v>18</v>
      </c>
      <c r="B65" s="336" t="s">
        <v>31</v>
      </c>
      <c r="C65" s="343" t="s">
        <v>6</v>
      </c>
      <c r="D65" s="298">
        <f>'TUMO RONG (1)'!D66+'LONG LEO(2)'!D66+'ĐĂK CHUM 1(3)'!D66+'ĐĂK CHUM II(4)'!D66+'TU CẤP(5)'!D66+'ĐĂK KA(6)'!D66+'VĂN SANG(7)'!D66+'ĐĂK NEANG(8)'!D66+'NGỌC LEANG(9)'!D66+'ĐĂK SIÊNG(10)'!D66+'KON TUN(11)'!D66+'MÔ PẢ(12)'!D66+'TY TU(13)'!D66+'KON LING(14)'!D66+'ĐĂK PƠ TRANG(15)'!D66+'KON PIA(16)'!D66+'ĐĂK HÀ(17)'!D66</f>
        <v>0</v>
      </c>
      <c r="E65" s="298"/>
      <c r="F65" s="298">
        <f>'TUMO RONG (1)'!E66+'LONG LEO(2)'!E66+'ĐĂK CHUM 1(3)'!E66+'ĐĂK CHUM II(4)'!E66+'TU CẤP(5)'!E66+'ĐĂK KA(6)'!E66+'VĂN SANG(7)'!E66+'ĐĂK NEANG(8)'!E66+'NGỌC LEANG(9)'!E66+'ĐĂK SIÊNG(10)'!E66+'KON TUN(11)'!E66+'MÔ PẢ(12)'!E66+'TY TU(13)'!E66+'KON LING(14)'!E66+'ĐĂK PƠ TRANG(15)'!E66+'KON PIA(16)'!E66+'ĐĂK HÀ(17)'!E66</f>
        <v>0</v>
      </c>
      <c r="G65" s="298">
        <f>'TUMO RONG (1)'!F66+'LONG LEO(2)'!F66+'ĐĂK CHUM 1(3)'!F66+'ĐĂK CHUM II(4)'!F66+'TU CẤP(5)'!F66+'ĐĂK KA(6)'!F66+'VĂN SANG(7)'!F66+'ĐĂK NEANG(8)'!F66+'NGỌC LEANG(9)'!F66+'ĐĂK SIÊNG(10)'!F66+'KON TUN(11)'!F66+'MÔ PẢ(12)'!F66+'TY TU(13)'!F66+'KON LING(14)'!F66+'ĐĂK PƠ TRANG(15)'!F66+'KON PIA(16)'!F66+'ĐĂK HÀ(17)'!F66</f>
        <v>0</v>
      </c>
      <c r="H65" s="298">
        <f>'TUMO RONG (1)'!G66+'LONG LEO(2)'!G66+'ĐĂK CHUM 1(3)'!G66+'ĐĂK CHUM II(4)'!G66+'TU CẤP(5)'!G66+'ĐĂK KA(6)'!G66+'VĂN SANG(7)'!G66+'ĐĂK NEANG(8)'!G66+'NGỌC LEANG(9)'!G66+'ĐĂK SIÊNG(10)'!G66+'KON TUN(11)'!G66+'MÔ PẢ(12)'!G66+'TY TU(13)'!G66+'KON LING(14)'!G66+'ĐĂK PƠ TRANG(15)'!G66+'KON PIA(16)'!G66+'ĐĂK HÀ(17)'!G66</f>
        <v>0</v>
      </c>
      <c r="I65" s="298"/>
      <c r="J65" s="336"/>
      <c r="K65" s="132"/>
    </row>
    <row r="66" spans="1:21" ht="38.450000000000003" customHeight="1" x14ac:dyDescent="0.25">
      <c r="A66" s="332">
        <v>6</v>
      </c>
      <c r="B66" s="333" t="s">
        <v>38</v>
      </c>
      <c r="C66" s="332" t="s">
        <v>6</v>
      </c>
      <c r="D66" s="294">
        <f>D67+D70</f>
        <v>383.70000000000005</v>
      </c>
      <c r="E66" s="294"/>
      <c r="F66" s="294">
        <f>F67+F70</f>
        <v>355.11</v>
      </c>
      <c r="G66" s="294">
        <f t="shared" ref="G66:H66" si="33">G67+G70</f>
        <v>319.14</v>
      </c>
      <c r="H66" s="294">
        <f t="shared" si="33"/>
        <v>319.14</v>
      </c>
      <c r="I66" s="294">
        <f t="shared" ref="I66:I71" si="34">G66/F66*100</f>
        <v>89.870744276421391</v>
      </c>
      <c r="J66" s="336"/>
      <c r="K66" s="132"/>
    </row>
    <row r="67" spans="1:21" s="194" customFormat="1" ht="38.450000000000003" customHeight="1" x14ac:dyDescent="0.25">
      <c r="A67" s="332" t="s">
        <v>245</v>
      </c>
      <c r="B67" s="333" t="s">
        <v>39</v>
      </c>
      <c r="C67" s="332" t="s">
        <v>6</v>
      </c>
      <c r="D67" s="294">
        <f>D68+D69</f>
        <v>3.19</v>
      </c>
      <c r="E67" s="294">
        <f>E68+E69</f>
        <v>30</v>
      </c>
      <c r="F67" s="298">
        <f>F68+F69</f>
        <v>33.19</v>
      </c>
      <c r="G67" s="294">
        <f t="shared" ref="G67:H67" si="35">G68+G69</f>
        <v>3.1900000000000004</v>
      </c>
      <c r="H67" s="294">
        <f t="shared" si="35"/>
        <v>3.1900000000000004</v>
      </c>
      <c r="I67" s="294">
        <f t="shared" si="34"/>
        <v>9.6113287134679126</v>
      </c>
      <c r="J67" s="339"/>
      <c r="K67" s="215"/>
      <c r="L67" s="257"/>
      <c r="O67" s="258"/>
    </row>
    <row r="68" spans="1:21" ht="38.450000000000003" customHeight="1" x14ac:dyDescent="0.25">
      <c r="A68" s="343" t="s">
        <v>18</v>
      </c>
      <c r="B68" s="352" t="s">
        <v>205</v>
      </c>
      <c r="C68" s="343" t="s">
        <v>6</v>
      </c>
      <c r="D68" s="298">
        <f>'TUMO RONG (1)'!D69+'LONG LEO(2)'!D69+'ĐĂK CHUM 1(3)'!D69+'ĐĂK CHUM II(4)'!D69+'TU CẤP(5)'!D69+'ĐĂK KA(6)'!D69+'VĂN SANG(7)'!D69+'ĐĂK NEANG(8)'!D69+'NGỌC LEANG(9)'!D69+'ĐĂK SIÊNG(10)'!D69+'KON TUN(11)'!D69+'MÔ PẢ(12)'!D69+'TY TU(13)'!D69+'KON LING(14)'!D69+'ĐĂK PƠ TRANG(15)'!D69+'KON PIA(16)'!D69+'ĐĂK HÀ(17)'!D69</f>
        <v>2.52</v>
      </c>
      <c r="E68" s="298"/>
      <c r="F68" s="298">
        <f>'TUMO RONG (1)'!E69+'LONG LEO(2)'!E69+'ĐĂK CHUM 1(3)'!E69+'ĐĂK CHUM II(4)'!E69+'TU CẤP(5)'!E69+'ĐĂK KA(6)'!E69+'VĂN SANG(7)'!E69+'ĐĂK NEANG(8)'!E69+'NGỌC LEANG(9)'!E69+'ĐĂK SIÊNG(10)'!E69+'KON TUN(11)'!E69+'MÔ PẢ(12)'!E69+'TY TU(13)'!E69+'KON LING(14)'!E69+'ĐĂK PƠ TRANG(15)'!E69+'KON PIA(16)'!E69+'ĐĂK HÀ(17)'!E69</f>
        <v>3.1900000000000004</v>
      </c>
      <c r="G68" s="298">
        <f>'TUMO RONG (1)'!F69+'LONG LEO(2)'!F69+'ĐĂK CHUM 1(3)'!F69+'ĐĂK CHUM II(4)'!F69+'TU CẤP(5)'!F69+'ĐĂK KA(6)'!F69+'VĂN SANG(7)'!F69+'ĐĂK NEANG(8)'!F69+'NGỌC LEANG(9)'!F69+'ĐĂK SIÊNG(10)'!F69+'KON TUN(11)'!F69+'MÔ PẢ(12)'!F69+'TY TU(13)'!F69+'KON LING(14)'!F69+'ĐĂK PƠ TRANG(15)'!F69+'KON PIA(16)'!F69+'ĐĂK HÀ(17)'!F69</f>
        <v>3.1900000000000004</v>
      </c>
      <c r="H68" s="298">
        <f>'TUMO RONG (1)'!G69+'LONG LEO(2)'!G69+'ĐĂK CHUM 1(3)'!G69+'ĐĂK CHUM II(4)'!G69+'TU CẤP(5)'!G69+'ĐĂK KA(6)'!G69+'VĂN SANG(7)'!G69+'ĐĂK NEANG(8)'!G69+'NGỌC LEANG(9)'!G69+'ĐĂK SIÊNG(10)'!G69+'KON TUN(11)'!G69+'MÔ PẢ(12)'!G69+'TY TU(13)'!G69+'KON LING(14)'!G69+'ĐĂK PƠ TRANG(15)'!G69+'KON PIA(16)'!G69+'ĐĂK HÀ(17)'!G69</f>
        <v>3.1900000000000004</v>
      </c>
      <c r="I68" s="298">
        <f t="shared" si="34"/>
        <v>100</v>
      </c>
      <c r="J68" s="336"/>
      <c r="K68" s="134"/>
      <c r="L68" s="135"/>
      <c r="O68" s="165"/>
      <c r="P68" s="189"/>
    </row>
    <row r="69" spans="1:21" ht="38.450000000000003" customHeight="1" x14ac:dyDescent="0.25">
      <c r="A69" s="343" t="s">
        <v>18</v>
      </c>
      <c r="B69" s="352" t="s">
        <v>206</v>
      </c>
      <c r="C69" s="343" t="s">
        <v>6</v>
      </c>
      <c r="D69" s="298">
        <f>'TUMO RONG (1)'!D70+'LONG LEO(2)'!D70+'ĐĂK CHUM 1(3)'!D70+'ĐĂK CHUM II(4)'!D70+'TU CẤP(5)'!D70+'ĐĂK KA(6)'!D70+'VĂN SANG(7)'!D70+'ĐĂK NEANG(8)'!D70+'NGỌC LEANG(9)'!D70+'ĐĂK SIÊNG(10)'!D70+'KON TUN(11)'!D70+'MÔ PẢ(12)'!D70+'TY TU(13)'!D70+'KON LING(14)'!D70+'ĐĂK PƠ TRANG(15)'!D70+'KON PIA(16)'!D70+'ĐĂK HÀ(17)'!D70</f>
        <v>0.67</v>
      </c>
      <c r="E69" s="298">
        <v>30</v>
      </c>
      <c r="F69" s="298">
        <f>'TUMO RONG (1)'!E70+'LONG LEO(2)'!E70+'ĐĂK CHUM 1(3)'!E70+'ĐĂK CHUM II(4)'!E70+'TU CẤP(5)'!E70+'ĐĂK KA(6)'!E70+'VĂN SANG(7)'!E70+'ĐĂK NEANG(8)'!E70+'NGỌC LEANG(9)'!E70+'ĐĂK SIÊNG(10)'!E70+'KON TUN(11)'!E70+'MÔ PẢ(12)'!E70+'TY TU(13)'!E70+'KON LING(14)'!E70+'ĐĂK PƠ TRANG(15)'!E70+'KON PIA(16)'!E70+'ĐĂK HÀ(17)'!E70</f>
        <v>30</v>
      </c>
      <c r="G69" s="298">
        <f>'TUMO RONG (1)'!F70+'LONG LEO(2)'!F70+'ĐĂK CHUM 1(3)'!F70+'ĐĂK CHUM II(4)'!F70+'TU CẤP(5)'!F70+'ĐĂK KA(6)'!F70+'VĂN SANG(7)'!F70+'ĐĂK NEANG(8)'!F70+'NGỌC LEANG(9)'!F70+'ĐĂK SIÊNG(10)'!F70+'KON TUN(11)'!F70+'MÔ PẢ(12)'!F70+'TY TU(13)'!F70+'KON LING(14)'!F70+'ĐĂK PƠ TRANG(15)'!F70+'KON PIA(16)'!F70+'ĐĂK HÀ(17)'!F70</f>
        <v>0</v>
      </c>
      <c r="H69" s="298">
        <f>'TUMO RONG (1)'!G70+'LONG LEO(2)'!G70+'ĐĂK CHUM 1(3)'!G70+'ĐĂK CHUM II(4)'!G70+'TU CẤP(5)'!G70+'ĐĂK KA(6)'!G70+'VĂN SANG(7)'!G70+'ĐĂK NEANG(8)'!G70+'NGỌC LEANG(9)'!G70+'ĐĂK SIÊNG(10)'!G70+'KON TUN(11)'!G70+'MÔ PẢ(12)'!G70+'TY TU(13)'!G70+'KON LING(14)'!G70+'ĐĂK PƠ TRANG(15)'!G70+'KON PIA(16)'!G70+'ĐĂK HÀ(17)'!G70</f>
        <v>0</v>
      </c>
      <c r="I69" s="298">
        <f t="shared" si="34"/>
        <v>0</v>
      </c>
      <c r="J69" s="336"/>
      <c r="K69" s="134"/>
      <c r="L69" s="201"/>
      <c r="M69" s="201"/>
      <c r="N69" s="135"/>
      <c r="O69" s="165"/>
    </row>
    <row r="70" spans="1:21" ht="38.450000000000003" customHeight="1" x14ac:dyDescent="0.25">
      <c r="A70" s="332" t="s">
        <v>246</v>
      </c>
      <c r="B70" s="356" t="s">
        <v>41</v>
      </c>
      <c r="C70" s="332" t="s">
        <v>6</v>
      </c>
      <c r="D70" s="294">
        <f>D71+D72</f>
        <v>380.51000000000005</v>
      </c>
      <c r="E70" s="294"/>
      <c r="F70" s="294">
        <f>F71+F72</f>
        <v>321.92</v>
      </c>
      <c r="G70" s="294">
        <f t="shared" ref="G70:H70" si="36">G71+G72</f>
        <v>315.95</v>
      </c>
      <c r="H70" s="294">
        <f t="shared" si="36"/>
        <v>315.95</v>
      </c>
      <c r="I70" s="294">
        <f t="shared" si="34"/>
        <v>98.145501988071558</v>
      </c>
      <c r="J70" s="362"/>
      <c r="K70" s="134"/>
      <c r="L70" s="135"/>
      <c r="M70" s="140"/>
      <c r="N70" s="126"/>
      <c r="O70" s="133"/>
      <c r="P70" s="135"/>
      <c r="Q70" s="126"/>
      <c r="R70" s="135"/>
      <c r="S70" s="126"/>
    </row>
    <row r="71" spans="1:21" ht="38.450000000000003" customHeight="1" x14ac:dyDescent="0.25">
      <c r="A71" s="350" t="s">
        <v>24</v>
      </c>
      <c r="B71" s="356" t="s">
        <v>207</v>
      </c>
      <c r="C71" s="332" t="s">
        <v>6</v>
      </c>
      <c r="D71" s="303">
        <f>D74+D81</f>
        <v>361.55000000000007</v>
      </c>
      <c r="E71" s="303"/>
      <c r="F71" s="303">
        <f>F74+F81</f>
        <v>315.95</v>
      </c>
      <c r="G71" s="303">
        <f t="shared" ref="G71:H71" si="37">G74+G81</f>
        <v>315.95</v>
      </c>
      <c r="H71" s="303">
        <f t="shared" si="37"/>
        <v>315.95</v>
      </c>
      <c r="I71" s="294">
        <f t="shared" si="34"/>
        <v>100</v>
      </c>
      <c r="J71" s="324" t="s">
        <v>240</v>
      </c>
      <c r="K71" s="134"/>
      <c r="O71" s="165"/>
      <c r="P71" s="189"/>
      <c r="R71" s="189"/>
    </row>
    <row r="72" spans="1:21" s="194" customFormat="1" ht="38.450000000000003" customHeight="1" x14ac:dyDescent="0.25">
      <c r="A72" s="350" t="s">
        <v>24</v>
      </c>
      <c r="B72" s="356" t="s">
        <v>42</v>
      </c>
      <c r="C72" s="332" t="s">
        <v>6</v>
      </c>
      <c r="D72" s="294">
        <f>D75+D82</f>
        <v>18.96</v>
      </c>
      <c r="E72" s="294"/>
      <c r="F72" s="294">
        <f>F75+F82</f>
        <v>5.97</v>
      </c>
      <c r="G72" s="294">
        <f t="shared" ref="G72:H72" si="38">G75+G82</f>
        <v>0</v>
      </c>
      <c r="H72" s="294">
        <f t="shared" si="38"/>
        <v>0</v>
      </c>
      <c r="I72" s="294"/>
      <c r="J72" s="333"/>
      <c r="K72" s="278"/>
      <c r="L72" s="260"/>
      <c r="N72" s="257"/>
      <c r="O72" s="259"/>
      <c r="P72" s="260"/>
      <c r="Q72" s="257"/>
      <c r="R72" s="257"/>
      <c r="S72" s="257"/>
      <c r="T72" s="257"/>
    </row>
    <row r="73" spans="1:21" ht="38.450000000000003" customHeight="1" x14ac:dyDescent="0.25">
      <c r="A73" s="363" t="s">
        <v>20</v>
      </c>
      <c r="B73" s="342" t="s">
        <v>209</v>
      </c>
      <c r="C73" s="340" t="s">
        <v>6</v>
      </c>
      <c r="D73" s="305">
        <f>D74+D75</f>
        <v>284.23</v>
      </c>
      <c r="E73" s="305"/>
      <c r="F73" s="305">
        <f>F74+F75</f>
        <v>268.08999999999997</v>
      </c>
      <c r="G73" s="305">
        <f t="shared" ref="G73:H73" si="39">G74+G75</f>
        <v>266.08999999999997</v>
      </c>
      <c r="H73" s="305">
        <f t="shared" si="39"/>
        <v>266.08999999999997</v>
      </c>
      <c r="I73" s="305"/>
      <c r="J73" s="362"/>
      <c r="K73" s="279"/>
      <c r="N73" s="126"/>
      <c r="O73" s="126"/>
      <c r="P73" s="135"/>
      <c r="Q73" s="126"/>
      <c r="R73" s="126"/>
      <c r="S73" s="126"/>
      <c r="T73" s="126"/>
    </row>
    <row r="74" spans="1:21" ht="38.450000000000003" customHeight="1" x14ac:dyDescent="0.25">
      <c r="A74" s="351" t="s">
        <v>24</v>
      </c>
      <c r="B74" s="364" t="s">
        <v>196</v>
      </c>
      <c r="C74" s="343" t="s">
        <v>6</v>
      </c>
      <c r="D74" s="298">
        <f>'TUMO RONG (1)'!D75+'LONG LEO(2)'!D75+'ĐĂK CHUM 1(3)'!D75+'ĐĂK CHUM II(4)'!D75+'TU CẤP(5)'!D75+'ĐĂK KA(6)'!D75+'VĂN SANG(7)'!D75+'ĐĂK NEANG(8)'!D75+'NGỌC LEANG(9)'!D75+'ĐĂK SIÊNG(10)'!D75+'KON TUN(11)'!D75+'MÔ PẢ(12)'!D75+'TY TU(13)'!D75+'KON LING(14)'!D75+'ĐĂK PƠ TRANG(15)'!D75+'KON PIA(16)'!D75+'ĐĂK HÀ(17)'!D75</f>
        <v>274.27000000000004</v>
      </c>
      <c r="E74" s="298"/>
      <c r="F74" s="298">
        <f>'TUMO RONG (1)'!E75+'LONG LEO(2)'!E75+'ĐĂK CHUM 1(3)'!E75+'ĐĂK CHUM II(4)'!E75+'TU CẤP(5)'!E75+'ĐĂK KA(6)'!E75+'VĂN SANG(7)'!E75+'ĐĂK NEANG(8)'!E75+'NGỌC LEANG(9)'!E75+'ĐĂK SIÊNG(10)'!E75+'KON TUN(11)'!E75+'MÔ PẢ(12)'!E75+'TY TU(13)'!E75+'KON LING(14)'!E75+'ĐĂK PƠ TRANG(15)'!E75+'KON PIA(16)'!E75+'ĐĂK HÀ(17)'!E75</f>
        <v>266.08999999999997</v>
      </c>
      <c r="G74" s="298">
        <f>'TUMO RONG (1)'!F75+'LONG LEO(2)'!F75+'ĐĂK CHUM 1(3)'!F75+'ĐĂK CHUM II(4)'!F75+'TU CẤP(5)'!F75+'ĐĂK KA(6)'!F75+'VĂN SANG(7)'!F75+'ĐĂK NEANG(8)'!F75+'NGỌC LEANG(9)'!F75+'ĐĂK SIÊNG(10)'!F75+'KON TUN(11)'!F75+'MÔ PẢ(12)'!F75+'TY TU(13)'!F75+'KON LING(14)'!F75+'ĐĂK PƠ TRANG(15)'!F75+'KON PIA(16)'!F75+'ĐĂK HÀ(17)'!F75</f>
        <v>266.08999999999997</v>
      </c>
      <c r="H74" s="298">
        <f>'TUMO RONG (1)'!G75+'LONG LEO(2)'!G75+'ĐĂK CHUM 1(3)'!G75+'ĐĂK CHUM II(4)'!G75+'TU CẤP(5)'!G75+'ĐĂK KA(6)'!G75+'VĂN SANG(7)'!G75+'ĐĂK NEANG(8)'!G75+'NGỌC LEANG(9)'!G75+'ĐĂK SIÊNG(10)'!G75+'KON TUN(11)'!G75+'MÔ PẢ(12)'!G75+'TY TU(13)'!G75+'KON LING(14)'!G75+'ĐĂK PƠ TRANG(15)'!G75+'KON PIA(16)'!G75+'ĐĂK HÀ(17)'!G75</f>
        <v>266.08999999999997</v>
      </c>
      <c r="I74" s="298"/>
      <c r="J74" s="324" t="s">
        <v>240</v>
      </c>
      <c r="K74" s="279"/>
      <c r="L74" s="135"/>
      <c r="M74" s="189"/>
      <c r="N74" s="126"/>
      <c r="O74" s="126"/>
      <c r="P74" s="135"/>
      <c r="Q74" s="126"/>
      <c r="R74" s="126"/>
      <c r="S74" s="126"/>
      <c r="T74" s="126"/>
    </row>
    <row r="75" spans="1:21" ht="38.450000000000003" customHeight="1" x14ac:dyDescent="0.25">
      <c r="A75" s="351" t="s">
        <v>15</v>
      </c>
      <c r="B75" s="352" t="s">
        <v>210</v>
      </c>
      <c r="C75" s="343" t="s">
        <v>6</v>
      </c>
      <c r="D75" s="309">
        <f>SUM(D76:D79)</f>
        <v>9.9600000000000009</v>
      </c>
      <c r="E75" s="309"/>
      <c r="F75" s="309">
        <f>SUM(F76:F79)</f>
        <v>2</v>
      </c>
      <c r="G75" s="309">
        <f t="shared" ref="G75:H75" si="40">SUM(G76:G79)</f>
        <v>0</v>
      </c>
      <c r="H75" s="309">
        <f t="shared" si="40"/>
        <v>0</v>
      </c>
      <c r="I75" s="309"/>
      <c r="J75" s="336"/>
      <c r="K75" s="132"/>
      <c r="M75" s="189"/>
      <c r="N75" s="126"/>
      <c r="O75" s="126"/>
      <c r="P75" s="135"/>
      <c r="Q75" s="126"/>
      <c r="R75" s="126"/>
      <c r="S75" s="126"/>
      <c r="T75" s="126"/>
    </row>
    <row r="76" spans="1:21" s="149" customFormat="1" ht="38.450000000000003" customHeight="1" x14ac:dyDescent="0.25">
      <c r="A76" s="344" t="s">
        <v>18</v>
      </c>
      <c r="B76" s="365" t="s">
        <v>212</v>
      </c>
      <c r="C76" s="344" t="s">
        <v>6</v>
      </c>
      <c r="D76" s="301">
        <f>'TUMO RONG (1)'!D77+'LONG LEO(2)'!D77+'ĐĂK CHUM 1(3)'!D77+'ĐĂK CHUM II(4)'!D77+'TU CẤP(5)'!D77+'ĐĂK KA(6)'!D77+'VĂN SANG(7)'!D77+'ĐĂK NEANG(8)'!D77+'NGỌC LEANG(9)'!D77+'ĐĂK SIÊNG(10)'!D77+'KON TUN(11)'!D77+'MÔ PẢ(12)'!D77+'TY TU(13)'!D77+'KON LING(14)'!D77+'ĐĂK PƠ TRANG(15)'!D77+'KON PIA(16)'!D77+'ĐĂK HÀ(17)'!D77</f>
        <v>2.8</v>
      </c>
      <c r="E76" s="301"/>
      <c r="F76" s="301">
        <f>'TUMO RONG (1)'!E77+'LONG LEO(2)'!E77+'ĐĂK CHUM 1(3)'!E77+'ĐĂK CHUM II(4)'!E77+'TU CẤP(5)'!E77+'ĐĂK KA(6)'!E77+'VĂN SANG(7)'!E77+'ĐĂK NEANG(8)'!E77+'NGỌC LEANG(9)'!E77+'ĐĂK SIÊNG(10)'!E77+'KON TUN(11)'!E77+'MÔ PẢ(12)'!E77+'TY TU(13)'!E77+'KON LING(14)'!E77+'ĐĂK PƠ TRANG(15)'!E77+'KON PIA(16)'!E77+'ĐĂK HÀ(17)'!E77</f>
        <v>2</v>
      </c>
      <c r="G76" s="301">
        <f>'TUMO RONG (1)'!F77+'LONG LEO(2)'!F77+'ĐĂK CHUM 1(3)'!F77+'ĐĂK CHUM II(4)'!F77+'TU CẤP(5)'!F77+'ĐĂK KA(6)'!F77+'VĂN SANG(7)'!F77+'ĐĂK NEANG(8)'!F77+'NGỌC LEANG(9)'!F77+'ĐĂK SIÊNG(10)'!F77+'KON TUN(11)'!F77+'MÔ PẢ(12)'!F77+'TY TU(13)'!F77+'KON LING(14)'!F77+'ĐĂK PƠ TRANG(15)'!F77+'KON PIA(16)'!F77+'ĐĂK HÀ(17)'!F77</f>
        <v>0</v>
      </c>
      <c r="H76" s="301">
        <f>'TUMO RONG (1)'!G77+'LONG LEO(2)'!G77+'ĐĂK CHUM 1(3)'!G77+'ĐĂK CHUM II(4)'!G77+'TU CẤP(5)'!G77+'ĐĂK KA(6)'!G77+'VĂN SANG(7)'!G77+'ĐĂK NEANG(8)'!G77+'NGỌC LEANG(9)'!G77+'ĐĂK SIÊNG(10)'!G77+'KON TUN(11)'!G77+'MÔ PẢ(12)'!G77+'TY TU(13)'!G77+'KON LING(14)'!G77+'ĐĂK PƠ TRANG(15)'!G77+'KON PIA(16)'!G77+'ĐĂK HÀ(17)'!G77</f>
        <v>0</v>
      </c>
      <c r="I76" s="301"/>
      <c r="J76" s="360"/>
      <c r="K76" s="275"/>
      <c r="L76" s="148"/>
      <c r="N76" s="208"/>
      <c r="O76" s="208"/>
      <c r="P76" s="208"/>
      <c r="Q76" s="208"/>
      <c r="R76" s="208"/>
      <c r="S76" s="208"/>
      <c r="T76" s="208"/>
      <c r="U76" s="208"/>
    </row>
    <row r="77" spans="1:21" s="149" customFormat="1" ht="38.450000000000003" customHeight="1" x14ac:dyDescent="0.25">
      <c r="A77" s="344" t="s">
        <v>18</v>
      </c>
      <c r="B77" s="365" t="s">
        <v>189</v>
      </c>
      <c r="C77" s="344" t="s">
        <v>6</v>
      </c>
      <c r="D77" s="301">
        <f>'TUMO RONG (1)'!D78+'LONG LEO(2)'!D78+'ĐĂK CHUM 1(3)'!D78+'ĐĂK CHUM II(4)'!D78+'TU CẤP(5)'!D78+'ĐĂK KA(6)'!D78+'VĂN SANG(7)'!D78+'ĐĂK NEANG(8)'!D78+'NGỌC LEANG(9)'!D78+'ĐĂK SIÊNG(10)'!D78+'KON TUN(11)'!D78+'MÔ PẢ(12)'!D78+'TY TU(13)'!D78+'KON LING(14)'!D78+'ĐĂK PƠ TRANG(15)'!D78+'KON PIA(16)'!D78+'ĐĂK HÀ(17)'!D78</f>
        <v>2.88</v>
      </c>
      <c r="E77" s="301"/>
      <c r="F77" s="314">
        <f>'TUMO RONG (1)'!E78+'LONG LEO(2)'!E78+'ĐĂK CHUM 1(3)'!E78+'ĐĂK CHUM II(4)'!E78+'TU CẤP(5)'!E78+'ĐĂK KA(6)'!E78+'VĂN SANG(7)'!E78+'ĐĂK NEANG(8)'!E78+'NGỌC LEANG(9)'!E78+'ĐĂK SIÊNG(10)'!E78+'KON TUN(11)'!E78+'MÔ PẢ(12)'!E78+'TY TU(13)'!E78+'KON LING(14)'!E78+'ĐĂK PƠ TRANG(15)'!E78+'KON PIA(16)'!E78+'ĐĂK HÀ(17)'!E78</f>
        <v>0</v>
      </c>
      <c r="G77" s="314">
        <f>'TUMO RONG (1)'!F78+'LONG LEO(2)'!F78+'ĐĂK CHUM 1(3)'!F78+'ĐĂK CHUM II(4)'!F78+'TU CẤP(5)'!F78+'ĐĂK KA(6)'!F78+'VĂN SANG(7)'!F78+'ĐĂK NEANG(8)'!F78+'NGỌC LEANG(9)'!F78+'ĐĂK SIÊNG(10)'!F78+'KON TUN(11)'!F78+'MÔ PẢ(12)'!F78+'TY TU(13)'!F78+'KON LING(14)'!F78+'ĐĂK PƠ TRANG(15)'!F78+'KON PIA(16)'!F78+'ĐĂK HÀ(17)'!F78</f>
        <v>0</v>
      </c>
      <c r="H77" s="314">
        <f>'TUMO RONG (1)'!G78+'LONG LEO(2)'!G78+'ĐĂK CHUM 1(3)'!G78+'ĐĂK CHUM II(4)'!G78+'TU CẤP(5)'!G78+'ĐĂK KA(6)'!G78+'VĂN SANG(7)'!G78+'ĐĂK NEANG(8)'!G78+'NGỌC LEANG(9)'!G78+'ĐĂK SIÊNG(10)'!G78+'KON TUN(11)'!G78+'MÔ PẢ(12)'!G78+'TY TU(13)'!G78+'KON LING(14)'!G78+'ĐĂK PƠ TRANG(15)'!G78+'KON PIA(16)'!G78+'ĐĂK HÀ(17)'!G78</f>
        <v>0</v>
      </c>
      <c r="I77" s="301"/>
      <c r="J77" s="359"/>
      <c r="K77" s="142"/>
      <c r="L77" s="148"/>
      <c r="N77" s="208"/>
      <c r="O77" s="208"/>
      <c r="P77" s="208"/>
      <c r="Q77" s="208"/>
      <c r="R77" s="208"/>
      <c r="S77" s="208"/>
      <c r="T77" s="208"/>
      <c r="U77" s="208"/>
    </row>
    <row r="78" spans="1:21" s="149" customFormat="1" ht="38.450000000000003" customHeight="1" x14ac:dyDescent="0.25">
      <c r="A78" s="344" t="s">
        <v>18</v>
      </c>
      <c r="B78" s="365" t="s">
        <v>190</v>
      </c>
      <c r="C78" s="344" t="s">
        <v>6</v>
      </c>
      <c r="D78" s="301">
        <f>'TUMO RONG (1)'!D79+'LONG LEO(2)'!D79+'ĐĂK CHUM 1(3)'!D79+'ĐĂK CHUM II(4)'!D79+'TU CẤP(5)'!D79+'ĐĂK KA(6)'!D79+'VĂN SANG(7)'!D79+'ĐĂK NEANG(8)'!D79+'NGỌC LEANG(9)'!D79+'ĐĂK SIÊNG(10)'!D79+'KON TUN(11)'!D79+'MÔ PẢ(12)'!D79+'TY TU(13)'!D79+'KON LING(14)'!D79+'ĐĂK PƠ TRANG(15)'!D79+'KON PIA(16)'!D79+'ĐĂK HÀ(17)'!D79</f>
        <v>0.44</v>
      </c>
      <c r="E78" s="301"/>
      <c r="F78" s="314">
        <f>'TUMO RONG (1)'!E79+'LONG LEO(2)'!E79+'ĐĂK CHUM 1(3)'!E79+'ĐĂK CHUM II(4)'!E79+'TU CẤP(5)'!E79+'ĐĂK KA(6)'!E79+'VĂN SANG(7)'!E79+'ĐĂK NEANG(8)'!E79+'NGỌC LEANG(9)'!E79+'ĐĂK SIÊNG(10)'!E79+'KON TUN(11)'!E79+'MÔ PẢ(12)'!E79+'TY TU(13)'!E79+'KON LING(14)'!E79+'ĐĂK PƠ TRANG(15)'!E79+'KON PIA(16)'!E79+'ĐĂK HÀ(17)'!E79</f>
        <v>0</v>
      </c>
      <c r="G78" s="314">
        <f>'TUMO RONG (1)'!F79+'LONG LEO(2)'!F79+'ĐĂK CHUM 1(3)'!F79+'ĐĂK CHUM II(4)'!F79+'TU CẤP(5)'!F79+'ĐĂK KA(6)'!F79+'VĂN SANG(7)'!F79+'ĐĂK NEANG(8)'!F79+'NGỌC LEANG(9)'!F79+'ĐĂK SIÊNG(10)'!F79+'KON TUN(11)'!F79+'MÔ PẢ(12)'!F79+'TY TU(13)'!F79+'KON LING(14)'!F79+'ĐĂK PƠ TRANG(15)'!F79+'KON PIA(16)'!F79+'ĐĂK HÀ(17)'!F79</f>
        <v>0</v>
      </c>
      <c r="H78" s="314">
        <f>'TUMO RONG (1)'!G79+'LONG LEO(2)'!G79+'ĐĂK CHUM 1(3)'!G79+'ĐĂK CHUM II(4)'!G79+'TU CẤP(5)'!G79+'ĐĂK KA(6)'!G79+'VĂN SANG(7)'!G79+'ĐĂK NEANG(8)'!G79+'NGỌC LEANG(9)'!G79+'ĐĂK SIÊNG(10)'!G79+'KON TUN(11)'!G79+'MÔ PẢ(12)'!G79+'TY TU(13)'!G79+'KON LING(14)'!G79+'ĐĂK PƠ TRANG(15)'!G79+'KON PIA(16)'!G79+'ĐĂK HÀ(17)'!G79</f>
        <v>0</v>
      </c>
      <c r="I78" s="301"/>
      <c r="J78" s="359"/>
      <c r="K78" s="142"/>
      <c r="L78" s="148"/>
      <c r="N78" s="208"/>
      <c r="O78" s="208"/>
      <c r="P78" s="208"/>
      <c r="Q78" s="208"/>
      <c r="R78" s="208"/>
      <c r="S78" s="208"/>
      <c r="T78" s="208"/>
      <c r="U78" s="208"/>
    </row>
    <row r="79" spans="1:21" ht="38.450000000000003" customHeight="1" x14ac:dyDescent="0.25">
      <c r="A79" s="344" t="s">
        <v>18</v>
      </c>
      <c r="B79" s="365" t="s">
        <v>208</v>
      </c>
      <c r="C79" s="344" t="s">
        <v>6</v>
      </c>
      <c r="D79" s="298">
        <f>'TUMO RONG (1)'!D80+'LONG LEO(2)'!D80+'ĐĂK CHUM 1(3)'!D80+'ĐĂK CHUM II(4)'!D80+'TU CẤP(5)'!D80+'ĐĂK KA(6)'!D80+'VĂN SANG(7)'!D80+'ĐĂK NEANG(8)'!D80+'NGỌC LEANG(9)'!D80+'ĐĂK SIÊNG(10)'!D80+'KON TUN(11)'!D80+'MÔ PẢ(12)'!D80+'TY TU(13)'!D80+'KON LING(14)'!D80+'ĐĂK PƠ TRANG(15)'!D80+'KON PIA(16)'!D80+'ĐĂK HÀ(17)'!D80</f>
        <v>3.84</v>
      </c>
      <c r="E79" s="298"/>
      <c r="F79" s="294">
        <f>'TUMO RONG (1)'!E80+'LONG LEO(2)'!E80+'ĐĂK CHUM 1(3)'!E80+'ĐĂK CHUM II(4)'!E80+'TU CẤP(5)'!E80+'ĐĂK KA(6)'!E80+'VĂN SANG(7)'!E80+'ĐĂK NEANG(8)'!E80+'NGỌC LEANG(9)'!E80+'ĐĂK SIÊNG(10)'!E80+'KON TUN(11)'!E80+'MÔ PẢ(12)'!E80+'TY TU(13)'!E80+'KON LING(14)'!E80+'ĐĂK PƠ TRANG(15)'!E80+'KON PIA(16)'!E80+'ĐĂK HÀ(17)'!E80</f>
        <v>0</v>
      </c>
      <c r="G79" s="294">
        <f>'TUMO RONG (1)'!F80+'LONG LEO(2)'!F80+'ĐĂK CHUM 1(3)'!F80+'ĐĂK CHUM II(4)'!F80+'TU CẤP(5)'!F80+'ĐĂK KA(6)'!F80+'VĂN SANG(7)'!F80+'ĐĂK NEANG(8)'!F80+'NGỌC LEANG(9)'!F80+'ĐĂK SIÊNG(10)'!F80+'KON TUN(11)'!F80+'MÔ PẢ(12)'!F80+'TY TU(13)'!F80+'KON LING(14)'!F80+'ĐĂK PƠ TRANG(15)'!F80+'KON PIA(16)'!F80+'ĐĂK HÀ(17)'!F80</f>
        <v>0</v>
      </c>
      <c r="H79" s="294">
        <f>'TUMO RONG (1)'!G80+'LONG LEO(2)'!G80+'ĐĂK CHUM 1(3)'!G80+'ĐĂK CHUM II(4)'!G80+'TU CẤP(5)'!G80+'ĐĂK KA(6)'!G80+'VĂN SANG(7)'!G80+'ĐĂK NEANG(8)'!G80+'NGỌC LEANG(9)'!G80+'ĐĂK SIÊNG(10)'!G80+'KON TUN(11)'!G80+'MÔ PẢ(12)'!G80+'TY TU(13)'!G80+'KON LING(14)'!G80+'ĐĂK PƠ TRANG(15)'!G80+'KON PIA(16)'!G80+'ĐĂK HÀ(17)'!G80</f>
        <v>0</v>
      </c>
      <c r="I79" s="298"/>
      <c r="J79" s="359"/>
      <c r="K79" s="142"/>
    </row>
    <row r="80" spans="1:21" s="152" customFormat="1" ht="38.450000000000003" customHeight="1" x14ac:dyDescent="0.3">
      <c r="A80" s="363" t="s">
        <v>22</v>
      </c>
      <c r="B80" s="342" t="s">
        <v>43</v>
      </c>
      <c r="C80" s="340" t="s">
        <v>6</v>
      </c>
      <c r="D80" s="305">
        <f>D81+D82</f>
        <v>96.28</v>
      </c>
      <c r="E80" s="305"/>
      <c r="F80" s="305">
        <f>F81+F82</f>
        <v>53.83</v>
      </c>
      <c r="G80" s="305">
        <f t="shared" ref="G80:H80" si="41">G81+G82</f>
        <v>49.86</v>
      </c>
      <c r="H80" s="305">
        <f t="shared" si="41"/>
        <v>49.86</v>
      </c>
      <c r="I80" s="305"/>
      <c r="J80" s="362"/>
      <c r="K80" s="150"/>
      <c r="L80" s="280"/>
      <c r="O80" s="197"/>
    </row>
    <row r="81" spans="1:22" s="149" customFormat="1" ht="38.450000000000003" customHeight="1" x14ac:dyDescent="0.25">
      <c r="A81" s="351" t="s">
        <v>18</v>
      </c>
      <c r="B81" s="364" t="s">
        <v>188</v>
      </c>
      <c r="C81" s="343" t="s">
        <v>6</v>
      </c>
      <c r="D81" s="298">
        <f>'TUMO RONG (1)'!D82+'LONG LEO(2)'!D82+'ĐĂK CHUM 1(3)'!D82+'ĐĂK CHUM II(4)'!D82+'TU CẤP(5)'!D82+'ĐĂK KA(6)'!D82+'VĂN SANG(7)'!D82+'ĐĂK NEANG(8)'!D82+'NGỌC LEANG(9)'!D82+'ĐĂK SIÊNG(10)'!D82+'KON TUN(11)'!D82+'MÔ PẢ(12)'!D82+'TY TU(13)'!D82+'KON LING(14)'!D82+'ĐĂK PƠ TRANG(15)'!D82+'KON PIA(16)'!D82+'ĐĂK HÀ(17)'!D82</f>
        <v>87.28</v>
      </c>
      <c r="E81" s="298"/>
      <c r="F81" s="298">
        <f>'TUMO RONG (1)'!E82+'LONG LEO(2)'!E82+'ĐĂK CHUM 1(3)'!E82+'ĐĂK CHUM II(4)'!E82+'TU CẤP(5)'!E82+'ĐĂK KA(6)'!E82+'VĂN SANG(7)'!E82+'ĐĂK NEANG(8)'!E82+'NGỌC LEANG(9)'!E82+'ĐĂK SIÊNG(10)'!E82+'KON TUN(11)'!E82+'MÔ PẢ(12)'!E82+'TY TU(13)'!E82+'KON LING(14)'!E82+'ĐĂK PƠ TRANG(15)'!E82+'KON PIA(16)'!E82+'ĐĂK HÀ(17)'!E82</f>
        <v>49.86</v>
      </c>
      <c r="G81" s="298">
        <f>'TUMO RONG (1)'!F82+'LONG LEO(2)'!F82+'ĐĂK CHUM 1(3)'!F82+'ĐĂK CHUM II(4)'!F82+'TU CẤP(5)'!F82+'ĐĂK KA(6)'!F82+'VĂN SANG(7)'!F82+'ĐĂK NEANG(8)'!F82+'NGỌC LEANG(9)'!F82+'ĐĂK SIÊNG(10)'!F82+'KON TUN(11)'!F82+'MÔ PẢ(12)'!F82+'TY TU(13)'!F82+'KON LING(14)'!F82+'ĐĂK PƠ TRANG(15)'!F82+'KON PIA(16)'!F82+'ĐĂK HÀ(17)'!F82</f>
        <v>49.86</v>
      </c>
      <c r="H81" s="298">
        <f>'TUMO RONG (1)'!G82+'LONG LEO(2)'!G82+'ĐĂK CHUM 1(3)'!G82+'ĐĂK CHUM II(4)'!G82+'TU CẤP(5)'!G82+'ĐĂK KA(6)'!G82+'VĂN SANG(7)'!G82+'ĐĂK NEANG(8)'!G82+'NGỌC LEANG(9)'!G82+'ĐĂK SIÊNG(10)'!G82+'KON TUN(11)'!G82+'MÔ PẢ(12)'!G82+'TY TU(13)'!G82+'KON LING(14)'!G82+'ĐĂK PƠ TRANG(15)'!G82+'KON PIA(16)'!G82+'ĐĂK HÀ(17)'!G82</f>
        <v>49.86</v>
      </c>
      <c r="I81" s="298"/>
      <c r="J81" s="324" t="s">
        <v>240</v>
      </c>
      <c r="K81" s="281"/>
      <c r="L81" s="282"/>
      <c r="M81" s="196"/>
      <c r="P81" s="196"/>
      <c r="Q81" s="196"/>
    </row>
    <row r="82" spans="1:22" ht="38.450000000000003" customHeight="1" x14ac:dyDescent="0.25">
      <c r="A82" s="351" t="s">
        <v>15</v>
      </c>
      <c r="B82" s="352" t="s">
        <v>210</v>
      </c>
      <c r="C82" s="343" t="s">
        <v>6</v>
      </c>
      <c r="D82" s="309">
        <f>SUM(D83:D86)</f>
        <v>9</v>
      </c>
      <c r="E82" s="309"/>
      <c r="F82" s="309">
        <f>SUM(F83:F86)</f>
        <v>3.9699999999999998</v>
      </c>
      <c r="G82" s="309">
        <f t="shared" ref="G82:H82" si="42">SUM(G83:G86)</f>
        <v>0</v>
      </c>
      <c r="H82" s="309">
        <f t="shared" si="42"/>
        <v>0</v>
      </c>
      <c r="I82" s="309"/>
      <c r="J82" s="366"/>
      <c r="K82" s="283"/>
      <c r="N82" s="164"/>
      <c r="O82" s="164"/>
      <c r="P82" s="164"/>
      <c r="Q82" s="164"/>
      <c r="R82" s="164"/>
      <c r="S82" s="164"/>
    </row>
    <row r="83" spans="1:22" ht="38.450000000000003" customHeight="1" x14ac:dyDescent="0.25">
      <c r="A83" s="367" t="s">
        <v>18</v>
      </c>
      <c r="B83" s="361" t="s">
        <v>191</v>
      </c>
      <c r="C83" s="344" t="s">
        <v>6</v>
      </c>
      <c r="D83" s="298"/>
      <c r="E83" s="298"/>
      <c r="F83" s="294">
        <f>'TUMO RONG (1)'!E84+'LONG LEO(2)'!E84+'ĐĂK CHUM 1(3)'!E84+'ĐĂK CHUM II(4)'!E84+'TU CẤP(5)'!E84+'ĐĂK KA(6)'!E84+'VĂN SANG(7)'!E84+'ĐĂK NEANG(8)'!E84+'NGỌC LEANG(9)'!E84+'ĐĂK SIÊNG(10)'!E84+'KON TUN(11)'!E84+'MÔ PẢ(12)'!E84+'TY TU(13)'!E84+'KON LING(14)'!E84+'ĐĂK PƠ TRANG(15)'!E84+'KON PIA(16)'!E84+'ĐĂK HÀ(17)'!E84</f>
        <v>0</v>
      </c>
      <c r="G83" s="294">
        <f>'TUMO RONG (1)'!F84+'LONG LEO(2)'!F84+'ĐĂK CHUM 1(3)'!F84+'ĐĂK CHUM II(4)'!F84+'TU CẤP(5)'!F84+'ĐĂK KA(6)'!F84+'VĂN SANG(7)'!F84+'ĐĂK NEANG(8)'!F84+'NGỌC LEANG(9)'!F84+'ĐĂK SIÊNG(10)'!F84+'KON TUN(11)'!F84+'MÔ PẢ(12)'!F84+'TY TU(13)'!F84+'KON LING(14)'!F84+'ĐĂK PƠ TRANG(15)'!F84+'KON PIA(16)'!F84+'ĐĂK HÀ(17)'!F84</f>
        <v>0</v>
      </c>
      <c r="H83" s="294">
        <f>'TUMO RONG (1)'!G84+'LONG LEO(2)'!G84+'ĐĂK CHUM 1(3)'!G84+'ĐĂK CHUM II(4)'!G84+'TU CẤP(5)'!G84+'ĐĂK KA(6)'!G84+'VĂN SANG(7)'!G84+'ĐĂK NEANG(8)'!G84+'NGỌC LEANG(9)'!G84+'ĐĂK SIÊNG(10)'!G84+'KON TUN(11)'!G84+'MÔ PẢ(12)'!G84+'TY TU(13)'!G84+'KON LING(14)'!G84+'ĐĂK PƠ TRANG(15)'!G84+'KON PIA(16)'!G84+'ĐĂK HÀ(17)'!G84</f>
        <v>0</v>
      </c>
      <c r="I83" s="298"/>
      <c r="J83" s="359"/>
      <c r="K83" s="142"/>
      <c r="N83" s="164"/>
      <c r="O83" s="164"/>
      <c r="P83" s="164"/>
      <c r="Q83" s="164"/>
      <c r="R83" s="164"/>
      <c r="S83" s="164"/>
    </row>
    <row r="84" spans="1:22" ht="38.450000000000003" customHeight="1" x14ac:dyDescent="0.25">
      <c r="A84" s="367" t="s">
        <v>18</v>
      </c>
      <c r="B84" s="361" t="s">
        <v>192</v>
      </c>
      <c r="C84" s="344" t="s">
        <v>6</v>
      </c>
      <c r="D84" s="298"/>
      <c r="E84" s="298"/>
      <c r="F84" s="294">
        <f>'TUMO RONG (1)'!E85+'LONG LEO(2)'!E85+'ĐĂK CHUM 1(3)'!E85+'ĐĂK CHUM II(4)'!E85+'TU CẤP(5)'!E85+'ĐĂK KA(6)'!E85+'VĂN SANG(7)'!E85+'ĐĂK NEANG(8)'!E85+'NGỌC LEANG(9)'!E85+'ĐĂK SIÊNG(10)'!E85+'KON TUN(11)'!E85+'MÔ PẢ(12)'!E85+'TY TU(13)'!E85+'KON LING(14)'!E85+'ĐĂK PƠ TRANG(15)'!E85+'KON PIA(16)'!E85+'ĐĂK HÀ(17)'!E85</f>
        <v>0</v>
      </c>
      <c r="G84" s="294">
        <f>'TUMO RONG (1)'!F85+'LONG LEO(2)'!F85+'ĐĂK CHUM 1(3)'!F85+'ĐĂK CHUM II(4)'!F85+'TU CẤP(5)'!F85+'ĐĂK KA(6)'!F85+'VĂN SANG(7)'!F85+'ĐĂK NEANG(8)'!F85+'NGỌC LEANG(9)'!F85+'ĐĂK SIÊNG(10)'!F85+'KON TUN(11)'!F85+'MÔ PẢ(12)'!F85+'TY TU(13)'!F85+'KON LING(14)'!F85+'ĐĂK PƠ TRANG(15)'!F85+'KON PIA(16)'!F85+'ĐĂK HÀ(17)'!F85</f>
        <v>0</v>
      </c>
      <c r="H84" s="294">
        <f>'TUMO RONG (1)'!G85+'LONG LEO(2)'!G85+'ĐĂK CHUM 1(3)'!G85+'ĐĂK CHUM II(4)'!G85+'TU CẤP(5)'!G85+'ĐĂK KA(6)'!G85+'VĂN SANG(7)'!G85+'ĐĂK NEANG(8)'!G85+'NGỌC LEANG(9)'!G85+'ĐĂK SIÊNG(10)'!G85+'KON TUN(11)'!G85+'MÔ PẢ(12)'!G85+'TY TU(13)'!G85+'KON LING(14)'!G85+'ĐĂK PƠ TRANG(15)'!G85+'KON PIA(16)'!G85+'ĐĂK HÀ(17)'!G85</f>
        <v>0</v>
      </c>
      <c r="I84" s="298"/>
      <c r="J84" s="359"/>
      <c r="K84" s="142"/>
      <c r="N84" s="164"/>
      <c r="O84" s="164"/>
      <c r="P84" s="164"/>
      <c r="Q84" s="164"/>
      <c r="R84" s="164"/>
      <c r="S84" s="164"/>
    </row>
    <row r="85" spans="1:22" ht="38.450000000000003" customHeight="1" x14ac:dyDescent="0.25">
      <c r="A85" s="367" t="s">
        <v>18</v>
      </c>
      <c r="B85" s="361" t="s">
        <v>211</v>
      </c>
      <c r="C85" s="344"/>
      <c r="D85" s="298"/>
      <c r="E85" s="298"/>
      <c r="F85" s="294">
        <f>'TUMO RONG (1)'!E86+'LONG LEO(2)'!E86+'ĐĂK CHUM 1(3)'!E86+'ĐĂK CHUM II(4)'!E86+'TU CẤP(5)'!E86+'ĐĂK KA(6)'!E86+'VĂN SANG(7)'!E86+'ĐĂK NEANG(8)'!E86+'NGỌC LEANG(9)'!E86+'ĐĂK SIÊNG(10)'!E86+'KON TUN(11)'!E86+'MÔ PẢ(12)'!E86+'TY TU(13)'!E86+'KON LING(14)'!E86+'ĐĂK PƠ TRANG(15)'!E86+'KON PIA(16)'!E86+'ĐĂK HÀ(17)'!E86</f>
        <v>0</v>
      </c>
      <c r="G85" s="294">
        <f>'TUMO RONG (1)'!F86+'LONG LEO(2)'!F86+'ĐĂK CHUM 1(3)'!F86+'ĐĂK CHUM II(4)'!F86+'TU CẤP(5)'!F86+'ĐĂK KA(6)'!F86+'VĂN SANG(7)'!F86+'ĐĂK NEANG(8)'!F86+'NGỌC LEANG(9)'!F86+'ĐĂK SIÊNG(10)'!F86+'KON TUN(11)'!F86+'MÔ PẢ(12)'!F86+'TY TU(13)'!F86+'KON LING(14)'!F86+'ĐĂK PƠ TRANG(15)'!F86+'KON PIA(16)'!F86+'ĐĂK HÀ(17)'!F86</f>
        <v>0</v>
      </c>
      <c r="H85" s="294">
        <f>'TUMO RONG (1)'!G86+'LONG LEO(2)'!G86+'ĐĂK CHUM 1(3)'!G86+'ĐĂK CHUM II(4)'!G86+'TU CẤP(5)'!G86+'ĐĂK KA(6)'!G86+'VĂN SANG(7)'!G86+'ĐĂK NEANG(8)'!G86+'NGỌC LEANG(9)'!G86+'ĐĂK SIÊNG(10)'!G86+'KON TUN(11)'!G86+'MÔ PẢ(12)'!G86+'TY TU(13)'!G86+'KON LING(14)'!G86+'ĐĂK PƠ TRANG(15)'!G86+'KON PIA(16)'!G86+'ĐĂK HÀ(17)'!G86</f>
        <v>0</v>
      </c>
      <c r="I85" s="298"/>
      <c r="J85" s="359"/>
      <c r="K85" s="142"/>
      <c r="N85" s="164"/>
      <c r="O85" s="164"/>
      <c r="P85" s="164"/>
      <c r="Q85" s="164"/>
      <c r="R85" s="164"/>
      <c r="S85" s="164"/>
    </row>
    <row r="86" spans="1:22" ht="38.450000000000003" customHeight="1" x14ac:dyDescent="0.25">
      <c r="A86" s="367" t="s">
        <v>18</v>
      </c>
      <c r="B86" s="365" t="s">
        <v>193</v>
      </c>
      <c r="C86" s="344" t="s">
        <v>6</v>
      </c>
      <c r="D86" s="298">
        <f>'TUMO RONG (1)'!D87+'LONG LEO(2)'!D87+'ĐĂK CHUM 1(3)'!D87+'ĐĂK CHUM II(4)'!D87+'TU CẤP(5)'!D87+'ĐĂK KA(6)'!D87+'VĂN SANG(7)'!D87+'ĐĂK NEANG(8)'!D87+'NGỌC LEANG(9)'!D87+'ĐĂK SIÊNG(10)'!D87+'KON TUN(11)'!D87+'MÔ PẢ(12)'!D87+'TY TU(13)'!D87+'KON LING(14)'!D87+'ĐĂK PƠ TRANG(15)'!D87+'KON PIA(16)'!D87+'ĐĂK HÀ(17)'!D87</f>
        <v>9</v>
      </c>
      <c r="E86" s="298"/>
      <c r="F86" s="298">
        <f>'TUMO RONG (1)'!E87+'LONG LEO(2)'!E87+'ĐĂK CHUM 1(3)'!E87+'ĐĂK CHUM II(4)'!E87+'TU CẤP(5)'!E87+'ĐĂK KA(6)'!E87+'VĂN SANG(7)'!E87+'ĐĂK NEANG(8)'!E87+'NGỌC LEANG(9)'!E87+'ĐĂK SIÊNG(10)'!E87+'KON TUN(11)'!E87+'MÔ PẢ(12)'!E87+'TY TU(13)'!E87+'KON LING(14)'!E87+'ĐĂK PƠ TRANG(15)'!E87+'KON PIA(16)'!E87+'ĐĂK HÀ(17)'!E87</f>
        <v>3.9699999999999998</v>
      </c>
      <c r="G86" s="298">
        <f>'TUMO RONG (1)'!F87+'LONG LEO(2)'!F87+'ĐĂK CHUM 1(3)'!F87+'ĐĂK CHUM II(4)'!F87+'TU CẤP(5)'!F87+'ĐĂK KA(6)'!F87+'VĂN SANG(7)'!F87+'ĐĂK NEANG(8)'!F87+'NGỌC LEANG(9)'!F87+'ĐĂK SIÊNG(10)'!F87+'KON TUN(11)'!F87+'MÔ PẢ(12)'!F87+'TY TU(13)'!F87+'KON LING(14)'!F87+'ĐĂK PƠ TRANG(15)'!F87+'KON PIA(16)'!F87+'ĐĂK HÀ(17)'!F87</f>
        <v>0</v>
      </c>
      <c r="H86" s="298">
        <f>'TUMO RONG (1)'!G87+'LONG LEO(2)'!G87+'ĐĂK CHUM 1(3)'!G87+'ĐĂK CHUM II(4)'!G87+'TU CẤP(5)'!G87+'ĐĂK KA(6)'!G87+'VĂN SANG(7)'!G87+'ĐĂK NEANG(8)'!G87+'NGỌC LEANG(9)'!G87+'ĐĂK SIÊNG(10)'!G87+'KON TUN(11)'!G87+'MÔ PẢ(12)'!G87+'TY TU(13)'!G87+'KON LING(14)'!G87+'ĐĂK PƠ TRANG(15)'!G87+'KON PIA(16)'!G87+'ĐĂK HÀ(17)'!G87</f>
        <v>0</v>
      </c>
      <c r="I86" s="298"/>
      <c r="J86" s="359"/>
      <c r="K86" s="142"/>
      <c r="N86" s="164"/>
      <c r="O86" s="164"/>
      <c r="P86" s="164"/>
      <c r="Q86" s="164"/>
      <c r="R86" s="164"/>
    </row>
    <row r="87" spans="1:22" ht="38.450000000000003" customHeight="1" x14ac:dyDescent="0.25">
      <c r="A87" s="332" t="s">
        <v>44</v>
      </c>
      <c r="B87" s="356" t="s">
        <v>45</v>
      </c>
      <c r="C87" s="332"/>
      <c r="D87" s="294">
        <f>D88+D89+D91+D93+D94</f>
        <v>9266</v>
      </c>
      <c r="E87" s="294">
        <f>E88+E89+E91+E93+E94</f>
        <v>3245</v>
      </c>
      <c r="F87" s="294">
        <f>F88+F89+F91+F93+F94</f>
        <v>9572</v>
      </c>
      <c r="G87" s="294">
        <f t="shared" ref="G87:H87" si="43">G88+G89+G91+G93+G94</f>
        <v>8380</v>
      </c>
      <c r="H87" s="294">
        <f t="shared" si="43"/>
        <v>8380</v>
      </c>
      <c r="I87" s="294">
        <f>G87/F87*100</f>
        <v>87.547012118679476</v>
      </c>
      <c r="J87" s="343"/>
      <c r="K87" s="137"/>
      <c r="M87" s="189"/>
      <c r="N87" s="189"/>
    </row>
    <row r="88" spans="1:22" s="194" customFormat="1" ht="38.450000000000003" customHeight="1" x14ac:dyDescent="0.25">
      <c r="A88" s="343">
        <v>1</v>
      </c>
      <c r="B88" s="336" t="s">
        <v>46</v>
      </c>
      <c r="C88" s="343" t="s">
        <v>8</v>
      </c>
      <c r="D88" s="298">
        <f>'TUMO RONG (1)'!D89+'LONG LEO(2)'!D89+'ĐĂK CHUM 1(3)'!D89+'ĐĂK CHUM II(4)'!D89+'TU CẤP(5)'!D89+'ĐĂK KA(6)'!D89+'VĂN SANG(7)'!D89+'ĐĂK NEANG(8)'!D89+'NGỌC LEANG(9)'!D89+'ĐĂK SIÊNG(10)'!D89+'KON TUN(11)'!D89+'MÔ PẢ(12)'!D89+'TY TU(13)'!D89+'KON LING(14)'!D89+'ĐĂK PƠ TRANG(15)'!D89+'KON PIA(16)'!D89+'ĐĂK HÀ(17)'!D89</f>
        <v>845</v>
      </c>
      <c r="E88" s="298">
        <v>907</v>
      </c>
      <c r="F88" s="298">
        <f>'TUMO RONG (1)'!E89+'LONG LEO(2)'!E89+'ĐĂK CHUM 1(3)'!E89+'ĐĂK CHUM II(4)'!E89+'TU CẤP(5)'!E89+'ĐĂK KA(6)'!E89+'VĂN SANG(7)'!E89+'ĐĂK NEANG(8)'!E89+'NGỌC LEANG(9)'!E89+'ĐĂK SIÊNG(10)'!E89+'KON TUN(11)'!E89+'MÔ PẢ(12)'!E89+'TY TU(13)'!E89+'KON LING(14)'!E89+'ĐĂK PƠ TRANG(15)'!E89+'KON PIA(16)'!E89+'ĐĂK HÀ(17)'!E89</f>
        <v>907</v>
      </c>
      <c r="G88" s="298">
        <f>'TUMO RONG (1)'!F89+'LONG LEO(2)'!F89+'ĐĂK CHUM 1(3)'!F89+'ĐĂK CHUM II(4)'!F89+'TU CẤP(5)'!F89+'ĐĂK KA(6)'!F89+'VĂN SANG(7)'!F89+'ĐĂK NEANG(8)'!F89+'NGỌC LEANG(9)'!F89+'ĐĂK SIÊNG(10)'!F89+'KON TUN(11)'!F89+'MÔ PẢ(12)'!F89+'TY TU(13)'!F89+'KON LING(14)'!F89+'ĐĂK PƠ TRANG(15)'!F89+'KON PIA(16)'!F89+'ĐĂK HÀ(17)'!F89</f>
        <v>880</v>
      </c>
      <c r="H88" s="298">
        <f>'TUMO RONG (1)'!G89+'LONG LEO(2)'!G89+'ĐĂK CHUM 1(3)'!G89+'ĐĂK CHUM II(4)'!G89+'TU CẤP(5)'!G89+'ĐĂK KA(6)'!G89+'VĂN SANG(7)'!G89+'ĐĂK NEANG(8)'!G89+'NGỌC LEANG(9)'!G89+'ĐĂK SIÊNG(10)'!G89+'KON TUN(11)'!G89+'MÔ PẢ(12)'!G89+'TY TU(13)'!G89+'KON LING(14)'!G89+'ĐĂK PƠ TRANG(15)'!G89+'KON PIA(16)'!G89+'ĐĂK HÀ(17)'!G89</f>
        <v>880</v>
      </c>
      <c r="I88" s="298">
        <f>G88/F88*100</f>
        <v>97.023153252480711</v>
      </c>
      <c r="J88" s="344"/>
      <c r="K88" s="215"/>
      <c r="L88" s="277"/>
      <c r="M88" s="277"/>
      <c r="N88" s="263"/>
      <c r="O88" s="264"/>
      <c r="P88" s="264"/>
      <c r="Q88" s="265"/>
      <c r="R88" s="265"/>
      <c r="S88" s="265"/>
      <c r="T88" s="257"/>
      <c r="U88" s="257"/>
      <c r="V88" s="257"/>
    </row>
    <row r="89" spans="1:22" s="194" customFormat="1" ht="38.450000000000003" customHeight="1" x14ac:dyDescent="0.25">
      <c r="A89" s="343">
        <v>2</v>
      </c>
      <c r="B89" s="336" t="s">
        <v>47</v>
      </c>
      <c r="C89" s="343" t="s">
        <v>8</v>
      </c>
      <c r="D89" s="298">
        <f>'TUMO RONG (1)'!D90+'LONG LEO(2)'!D90+'ĐĂK CHUM 1(3)'!D90+'ĐĂK CHUM II(4)'!D90+'TU CẤP(5)'!D90+'ĐĂK KA(6)'!D90+'VĂN SANG(7)'!D90+'ĐĂK NEANG(8)'!D90+'NGỌC LEANG(9)'!D90+'ĐĂK SIÊNG(10)'!D90+'KON TUN(11)'!D90+'MÔ PẢ(12)'!D90+'TY TU(13)'!D90+'KON LING(14)'!D90+'ĐĂK PƠ TRANG(15)'!D90+'KON PIA(16)'!D90+'ĐĂK HÀ(17)'!D90</f>
        <v>1400</v>
      </c>
      <c r="E89" s="298">
        <v>1474</v>
      </c>
      <c r="F89" s="298">
        <f>'TUMO RONG (1)'!E90+'LONG LEO(2)'!E90+'ĐĂK CHUM 1(3)'!E90+'ĐĂK CHUM II(4)'!E90+'TU CẤP(5)'!E90+'ĐĂK KA(6)'!E90+'VĂN SANG(7)'!E90+'ĐĂK NEANG(8)'!E90+'NGỌC LEANG(9)'!E90+'ĐĂK SIÊNG(10)'!E90+'KON TUN(11)'!E90+'MÔ PẢ(12)'!E90+'TY TU(13)'!E90+'KON LING(14)'!E90+'ĐĂK PƠ TRANG(15)'!E90+'KON PIA(16)'!E90+'ĐĂK HÀ(17)'!E90</f>
        <v>1474</v>
      </c>
      <c r="G89" s="298">
        <f>'TUMO RONG (1)'!F90+'LONG LEO(2)'!F90+'ĐĂK CHUM 1(3)'!F90+'ĐĂK CHUM II(4)'!F90+'TU CẤP(5)'!F90+'ĐĂK KA(6)'!F90+'VĂN SANG(7)'!F90+'ĐĂK NEANG(8)'!F90+'NGỌC LEANG(9)'!F90+'ĐĂK SIÊNG(10)'!F90+'KON TUN(11)'!F90+'MÔ PẢ(12)'!F90+'TY TU(13)'!F90+'KON LING(14)'!F90+'ĐĂK PƠ TRANG(15)'!F90+'KON PIA(16)'!F90+'ĐĂK HÀ(17)'!F90</f>
        <v>1433</v>
      </c>
      <c r="H89" s="298">
        <f>'TUMO RONG (1)'!G90+'LONG LEO(2)'!G90+'ĐĂK CHUM 1(3)'!G90+'ĐĂK CHUM II(4)'!G90+'TU CẤP(5)'!G90+'ĐĂK KA(6)'!G90+'VĂN SANG(7)'!G90+'ĐĂK NEANG(8)'!G90+'NGỌC LEANG(9)'!G90+'ĐĂK SIÊNG(10)'!G90+'KON TUN(11)'!G90+'MÔ PẢ(12)'!G90+'TY TU(13)'!G90+'KON LING(14)'!G90+'ĐĂK PƠ TRANG(15)'!G90+'KON PIA(16)'!G90+'ĐĂK HÀ(17)'!G90</f>
        <v>1433</v>
      </c>
      <c r="I89" s="298">
        <f t="shared" ref="I89:I96" si="44">G89/F89*100</f>
        <v>97.218453188602439</v>
      </c>
      <c r="J89" s="344"/>
      <c r="K89" s="231"/>
      <c r="L89" s="277"/>
      <c r="M89" s="277"/>
      <c r="N89" s="263"/>
      <c r="O89" s="264"/>
      <c r="P89" s="264"/>
      <c r="Q89" s="269"/>
      <c r="R89" s="265"/>
      <c r="S89" s="265"/>
      <c r="T89" s="257"/>
      <c r="U89" s="257"/>
      <c r="V89" s="257"/>
    </row>
    <row r="90" spans="1:22" s="149" customFormat="1" ht="38.450000000000003" customHeight="1" x14ac:dyDescent="0.25">
      <c r="A90" s="344"/>
      <c r="B90" s="359" t="s">
        <v>251</v>
      </c>
      <c r="C90" s="344" t="s">
        <v>9</v>
      </c>
      <c r="D90" s="301">
        <v>50</v>
      </c>
      <c r="E90" s="301">
        <v>50</v>
      </c>
      <c r="F90" s="301">
        <v>50</v>
      </c>
      <c r="G90" s="301">
        <v>50</v>
      </c>
      <c r="H90" s="301">
        <v>50</v>
      </c>
      <c r="I90" s="298">
        <f>G90/F90*100</f>
        <v>100</v>
      </c>
      <c r="J90" s="344"/>
      <c r="K90" s="142"/>
      <c r="L90" s="282"/>
      <c r="M90" s="189"/>
      <c r="N90" s="261"/>
      <c r="O90" s="262"/>
      <c r="P90" s="262"/>
      <c r="Q90" s="203"/>
      <c r="R90" s="203"/>
      <c r="S90" s="203"/>
      <c r="T90" s="148"/>
      <c r="U90" s="148"/>
      <c r="V90" s="148"/>
    </row>
    <row r="91" spans="1:22" s="194" customFormat="1" ht="38.450000000000003" customHeight="1" x14ac:dyDescent="0.25">
      <c r="A91" s="343">
        <v>3</v>
      </c>
      <c r="B91" s="336" t="s">
        <v>48</v>
      </c>
      <c r="C91" s="343" t="s">
        <v>8</v>
      </c>
      <c r="D91" s="298">
        <f>'TUMO RONG (1)'!D91+'LONG LEO(2)'!D91+'ĐĂK CHUM 1(3)'!D91+'ĐĂK CHUM II(4)'!D91+'TU CẤP(5)'!D91+'ĐĂK KA(6)'!D91+'VĂN SANG(7)'!D91+'ĐĂK NEANG(8)'!D91+'NGỌC LEANG(9)'!D91+'ĐĂK SIÊNG(10)'!D91+'KON TUN(11)'!D91+'MÔ PẢ(12)'!D91+'TY TU(13)'!D91+'KON LING(14)'!D91+'ĐĂK PƠ TRANG(15)'!D91+'KON PIA(16)'!D91+'ĐĂK HÀ(17)'!D91</f>
        <v>800</v>
      </c>
      <c r="E91" s="298">
        <v>864</v>
      </c>
      <c r="F91" s="298">
        <f>'TUMO RONG (1)'!E91+'LONG LEO(2)'!E91+'ĐĂK CHUM 1(3)'!E91+'ĐĂK CHUM II(4)'!E91+'TU CẤP(5)'!E91+'ĐĂK KA(6)'!E91+'VĂN SANG(7)'!E91+'ĐĂK NEANG(8)'!E91+'NGỌC LEANG(9)'!E91+'ĐĂK SIÊNG(10)'!E91+'KON TUN(11)'!E91+'MÔ PẢ(12)'!E91+'TY TU(13)'!E91+'KON LING(14)'!E91+'ĐĂK PƠ TRANG(15)'!E91+'KON PIA(16)'!E91+'ĐĂK HÀ(17)'!E91</f>
        <v>864</v>
      </c>
      <c r="G91" s="298">
        <f>'TUMO RONG (1)'!F91+'LONG LEO(2)'!F91+'ĐĂK CHUM 1(3)'!F91+'ĐĂK CHUM II(4)'!F91+'TU CẤP(5)'!F91+'ĐĂK KA(6)'!F91+'VĂN SANG(7)'!F91+'ĐĂK NEANG(8)'!F91+'NGỌC LEANG(9)'!F91+'ĐĂK SIÊNG(10)'!F91+'KON TUN(11)'!F91+'MÔ PẢ(12)'!F91+'TY TU(13)'!F91+'KON LING(14)'!F91+'ĐĂK PƠ TRANG(15)'!F91+'KON PIA(16)'!F91+'ĐĂK HÀ(17)'!F91</f>
        <v>775</v>
      </c>
      <c r="H91" s="298">
        <f>'TUMO RONG (1)'!G91+'LONG LEO(2)'!G91+'ĐĂK CHUM 1(3)'!G91+'ĐĂK CHUM II(4)'!G91+'TU CẤP(5)'!G91+'ĐĂK KA(6)'!G91+'VĂN SANG(7)'!G91+'ĐĂK NEANG(8)'!G91+'NGỌC LEANG(9)'!G91+'ĐĂK SIÊNG(10)'!G91+'KON TUN(11)'!G91+'MÔ PẢ(12)'!G91+'TY TU(13)'!G91+'KON LING(14)'!G91+'ĐĂK PƠ TRANG(15)'!G91+'KON PIA(16)'!G91+'ĐĂK HÀ(17)'!G91</f>
        <v>775</v>
      </c>
      <c r="I91" s="298">
        <f t="shared" si="44"/>
        <v>89.699074074074076</v>
      </c>
      <c r="J91" s="344"/>
      <c r="K91" s="231"/>
      <c r="L91" s="277"/>
      <c r="M91" s="277"/>
      <c r="N91" s="263"/>
      <c r="O91" s="264"/>
      <c r="P91" s="263"/>
      <c r="Q91" s="265"/>
      <c r="R91" s="265"/>
      <c r="S91" s="265"/>
      <c r="T91" s="257"/>
      <c r="U91" s="257"/>
      <c r="V91" s="257"/>
    </row>
    <row r="92" spans="1:22" s="149" customFormat="1" ht="38.450000000000003" customHeight="1" x14ac:dyDescent="0.25">
      <c r="A92" s="344"/>
      <c r="B92" s="359" t="s">
        <v>252</v>
      </c>
      <c r="C92" s="344" t="s">
        <v>17</v>
      </c>
      <c r="D92" s="301">
        <v>545</v>
      </c>
      <c r="E92" s="301">
        <v>630</v>
      </c>
      <c r="F92" s="301">
        <v>630</v>
      </c>
      <c r="G92" s="301"/>
      <c r="H92" s="301"/>
      <c r="I92" s="298"/>
      <c r="J92" s="344"/>
      <c r="K92" s="142"/>
      <c r="L92" s="282"/>
      <c r="N92" s="261"/>
      <c r="O92" s="262"/>
      <c r="P92" s="262"/>
      <c r="Q92" s="203"/>
      <c r="R92" s="203"/>
      <c r="S92" s="203"/>
      <c r="T92" s="148"/>
      <c r="U92" s="148"/>
      <c r="V92" s="148"/>
    </row>
    <row r="93" spans="1:22" s="194" customFormat="1" ht="38.450000000000003" customHeight="1" x14ac:dyDescent="0.25">
      <c r="A93" s="343">
        <v>4</v>
      </c>
      <c r="B93" s="336" t="s">
        <v>49</v>
      </c>
      <c r="C93" s="343" t="s">
        <v>8</v>
      </c>
      <c r="D93" s="298">
        <f>'TUMO RONG (1)'!D92+'LONG LEO(2)'!D92+'ĐĂK CHUM 1(3)'!D92+'ĐĂK CHUM II(4)'!D92+'TU CẤP(5)'!D92+'ĐĂK KA(6)'!D92+'VĂN SANG(7)'!D92+'ĐĂK NEANG(8)'!D92+'NGỌC LEANG(9)'!D92+'ĐĂK SIÊNG(10)'!D92+'KON TUN(11)'!D92+'MÔ PẢ(12)'!D92+'TY TU(13)'!D92+'KON LING(14)'!D92+'ĐĂK PƠ TRANG(15)'!D92+'KON PIA(16)'!D92+'ĐĂK HÀ(17)'!D92</f>
        <v>80</v>
      </c>
      <c r="E93" s="298"/>
      <c r="F93" s="298">
        <f>'TUMO RONG (1)'!E92+'LONG LEO(2)'!E92+'ĐĂK CHUM 1(3)'!E92+'ĐĂK CHUM II(4)'!E92+'TU CẤP(5)'!E92+'ĐĂK KA(6)'!E92+'VĂN SANG(7)'!E92+'ĐĂK NEANG(8)'!E92+'NGỌC LEANG(9)'!E92+'ĐĂK SIÊNG(10)'!E92+'KON TUN(11)'!E92+'MÔ PẢ(12)'!E92+'TY TU(13)'!E92+'KON LING(14)'!E92+'ĐĂK PƠ TRANG(15)'!E92+'KON PIA(16)'!E92+'ĐĂK HÀ(17)'!E92</f>
        <v>98</v>
      </c>
      <c r="G93" s="298">
        <f>'TUMO RONG (1)'!F92+'LONG LEO(2)'!F92+'ĐĂK CHUM 1(3)'!F92+'ĐĂK CHUM II(4)'!F92+'TU CẤP(5)'!F92+'ĐĂK KA(6)'!F92+'VĂN SANG(7)'!F92+'ĐĂK NEANG(8)'!F92+'NGỌC LEANG(9)'!F92+'ĐĂK SIÊNG(10)'!F92+'KON TUN(11)'!F92+'MÔ PẢ(12)'!F92+'TY TU(13)'!F92+'KON LING(14)'!F92+'ĐĂK PƠ TRANG(15)'!F92+'KON PIA(16)'!F92+'ĐĂK HÀ(17)'!F92</f>
        <v>87</v>
      </c>
      <c r="H93" s="298">
        <f>'TUMO RONG (1)'!G92+'LONG LEO(2)'!G92+'ĐĂK CHUM 1(3)'!G92+'ĐĂK CHUM II(4)'!G92+'TU CẤP(5)'!G92+'ĐĂK KA(6)'!G92+'VĂN SANG(7)'!G92+'ĐĂK NEANG(8)'!G92+'NGỌC LEANG(9)'!G92+'ĐĂK SIÊNG(10)'!G92+'KON TUN(11)'!G92+'MÔ PẢ(12)'!G92+'TY TU(13)'!G92+'KON LING(14)'!G92+'ĐĂK PƠ TRANG(15)'!G92+'KON PIA(16)'!G92+'ĐĂK HÀ(17)'!G92</f>
        <v>87</v>
      </c>
      <c r="I93" s="298">
        <f>G93/F93*100</f>
        <v>88.775510204081627</v>
      </c>
      <c r="J93" s="336"/>
      <c r="K93" s="231"/>
      <c r="L93" s="270"/>
      <c r="M93" s="270"/>
      <c r="N93" s="263"/>
      <c r="O93" s="263"/>
      <c r="P93" s="263"/>
      <c r="Q93" s="269"/>
      <c r="R93" s="265"/>
      <c r="S93" s="265"/>
      <c r="T93" s="257"/>
      <c r="U93" s="257"/>
      <c r="V93" s="257"/>
    </row>
    <row r="94" spans="1:22" s="194" customFormat="1" ht="38.450000000000003" customHeight="1" x14ac:dyDescent="0.25">
      <c r="A94" s="343">
        <v>5</v>
      </c>
      <c r="B94" s="336" t="s">
        <v>50</v>
      </c>
      <c r="C94" s="343" t="s">
        <v>8</v>
      </c>
      <c r="D94" s="298">
        <f>'TUMO RONG (1)'!D93+'LONG LEO(2)'!D93+'ĐĂK CHUM 1(3)'!D93+'ĐĂK CHUM II(4)'!D93+'TU CẤP(5)'!D93+'ĐĂK KA(6)'!D93+'VĂN SANG(7)'!D93+'ĐĂK NEANG(8)'!D93+'NGỌC LEANG(9)'!D93+'ĐĂK SIÊNG(10)'!D93+'KON TUN(11)'!D93+'MÔ PẢ(12)'!D93+'TY TU(13)'!D93+'KON LING(14)'!D93+'ĐĂK PƠ TRANG(15)'!D93+'KON PIA(16)'!D93+'ĐĂK HÀ(17)'!D93</f>
        <v>6141</v>
      </c>
      <c r="E94" s="298"/>
      <c r="F94" s="298">
        <f>'TUMO RONG (1)'!E93+'LONG LEO(2)'!E93+'ĐĂK CHUM 1(3)'!E93+'ĐĂK CHUM II(4)'!E93+'TU CẤP(5)'!E93+'ĐĂK KA(6)'!E93+'VĂN SANG(7)'!E93+'ĐĂK NEANG(8)'!E93+'NGỌC LEANG(9)'!E93+'ĐĂK SIÊNG(10)'!E93+'KON TUN(11)'!E93+'MÔ PẢ(12)'!E93+'TY TU(13)'!E93+'KON LING(14)'!E93+'ĐĂK PƠ TRANG(15)'!E93+'KON PIA(16)'!E93+'ĐĂK HÀ(17)'!E93</f>
        <v>6229</v>
      </c>
      <c r="G94" s="298">
        <f>'TUMO RONG (1)'!F93+'LONG LEO(2)'!F93+'ĐĂK CHUM 1(3)'!F93+'ĐĂK CHUM II(4)'!F93+'TU CẤP(5)'!F93+'ĐĂK KA(6)'!F93+'VĂN SANG(7)'!F93+'ĐĂK NEANG(8)'!F93+'NGỌC LEANG(9)'!F93+'ĐĂK SIÊNG(10)'!F93+'KON TUN(11)'!F93+'MÔ PẢ(12)'!F93+'TY TU(13)'!F93+'KON LING(14)'!F93+'ĐĂK PƠ TRANG(15)'!F93+'KON PIA(16)'!F93+'ĐĂK HÀ(17)'!F93</f>
        <v>5205</v>
      </c>
      <c r="H94" s="298">
        <f>'TUMO RONG (1)'!G93+'LONG LEO(2)'!G93+'ĐĂK CHUM 1(3)'!G93+'ĐĂK CHUM II(4)'!G93+'TU CẤP(5)'!G93+'ĐĂK KA(6)'!G93+'VĂN SANG(7)'!G93+'ĐĂK NEANG(8)'!G93+'NGỌC LEANG(9)'!G93+'ĐĂK SIÊNG(10)'!G93+'KON TUN(11)'!G93+'MÔ PẢ(12)'!G93+'TY TU(13)'!G93+'KON LING(14)'!G93+'ĐĂK PƠ TRANG(15)'!G93+'KON PIA(16)'!G93+'ĐĂK HÀ(17)'!G93</f>
        <v>5205</v>
      </c>
      <c r="I94" s="298">
        <f t="shared" si="44"/>
        <v>83.560764167603153</v>
      </c>
      <c r="J94" s="343"/>
      <c r="K94" s="284"/>
      <c r="L94" s="285"/>
      <c r="M94" s="270"/>
      <c r="N94" s="263"/>
      <c r="O94" s="264"/>
      <c r="P94" s="264"/>
      <c r="Q94" s="265"/>
      <c r="R94" s="265"/>
      <c r="S94" s="265"/>
      <c r="T94" s="257"/>
      <c r="U94" s="257"/>
      <c r="V94" s="257"/>
    </row>
    <row r="95" spans="1:22" s="131" customFormat="1" ht="38.450000000000003" customHeight="1" x14ac:dyDescent="0.25">
      <c r="A95" s="332" t="s">
        <v>51</v>
      </c>
      <c r="B95" s="333" t="s">
        <v>52</v>
      </c>
      <c r="C95" s="332" t="s">
        <v>6</v>
      </c>
      <c r="D95" s="294">
        <f>D96</f>
        <v>7.9</v>
      </c>
      <c r="E95" s="294">
        <v>7.5</v>
      </c>
      <c r="F95" s="294">
        <f>F96</f>
        <v>8.4</v>
      </c>
      <c r="G95" s="294">
        <f t="shared" ref="G95:H95" si="45">G96</f>
        <v>8.4</v>
      </c>
      <c r="H95" s="294">
        <f t="shared" si="45"/>
        <v>8.4</v>
      </c>
      <c r="I95" s="294">
        <f t="shared" si="44"/>
        <v>100</v>
      </c>
      <c r="J95" s="336"/>
      <c r="K95" s="235"/>
      <c r="L95" s="209"/>
      <c r="M95" s="273"/>
    </row>
    <row r="96" spans="1:22" s="271" customFormat="1" ht="38.450000000000003" customHeight="1" x14ac:dyDescent="0.25">
      <c r="A96" s="344" t="s">
        <v>18</v>
      </c>
      <c r="B96" s="361" t="s">
        <v>53</v>
      </c>
      <c r="C96" s="344" t="s">
        <v>6</v>
      </c>
      <c r="D96" s="301">
        <f>'TUMO RONG (1)'!D95+'LONG LEO(2)'!D95+'ĐĂK CHUM 1(3)'!D95+'ĐĂK CHUM II(4)'!D95+'TU CẤP(5)'!D95+'ĐĂK KA(6)'!D95+'VĂN SANG(7)'!D95+'ĐĂK NEANG(8)'!D95+'NGỌC LEANG(9)'!D95+'ĐĂK SIÊNG(10)'!D95+'KON TUN(11)'!D95+'MÔ PẢ(12)'!D95+'TY TU(13)'!D95+'KON LING(14)'!D95+'ĐĂK PƠ TRANG(15)'!D95+'KON PIA(16)'!D95+'ĐĂK HÀ(17)'!D95</f>
        <v>7.9</v>
      </c>
      <c r="E96" s="301">
        <v>7.5</v>
      </c>
      <c r="F96" s="301">
        <f>'TUMO RONG (1)'!E95+'LONG LEO(2)'!E95+'ĐĂK CHUM 1(3)'!E95+'ĐĂK CHUM II(4)'!E95+'TU CẤP(5)'!E95+'ĐĂK KA(6)'!E95+'VĂN SANG(7)'!E95+'ĐĂK NEANG(8)'!E95+'NGỌC LEANG(9)'!E95+'ĐĂK SIÊNG(10)'!E95+'KON TUN(11)'!E95+'MÔ PẢ(12)'!E95+'TY TU(13)'!E95+'KON LING(14)'!E95+'ĐĂK PƠ TRANG(15)'!E95+'KON PIA(16)'!E95+'ĐĂK HÀ(17)'!E95</f>
        <v>8.4</v>
      </c>
      <c r="G96" s="301">
        <f>'TUMO RONG (1)'!F95+'LONG LEO(2)'!F95+'ĐĂK CHUM 1(3)'!F95+'ĐĂK CHUM II(4)'!F95+'TU CẤP(5)'!F95+'ĐĂK KA(6)'!F95+'VĂN SANG(7)'!F95+'ĐĂK NEANG(8)'!F95+'NGỌC LEANG(9)'!F95+'ĐĂK SIÊNG(10)'!F95+'KON TUN(11)'!F95+'MÔ PẢ(12)'!F95+'TY TU(13)'!F95+'KON LING(14)'!F95+'ĐĂK PƠ TRANG(15)'!F95+'KON PIA(16)'!F95+'ĐĂK HÀ(17)'!F95</f>
        <v>8.4</v>
      </c>
      <c r="H96" s="301">
        <f>'TUMO RONG (1)'!G95+'LONG LEO(2)'!G95+'ĐĂK CHUM 1(3)'!G95+'ĐĂK CHUM II(4)'!G95+'TU CẤP(5)'!G95+'ĐĂK KA(6)'!G95+'VĂN SANG(7)'!G95+'ĐĂK NEANG(8)'!G95+'NGỌC LEANG(9)'!G95+'ĐĂK SIÊNG(10)'!G95+'KON TUN(11)'!G95+'MÔ PẢ(12)'!G95+'TY TU(13)'!G95+'KON LING(14)'!G95+'ĐĂK PƠ TRANG(15)'!G95+'KON PIA(16)'!G95+'ĐĂK HÀ(17)'!G95</f>
        <v>8.4</v>
      </c>
      <c r="I96" s="301">
        <f t="shared" si="44"/>
        <v>100</v>
      </c>
      <c r="J96" s="359"/>
      <c r="K96" s="286"/>
      <c r="L96" s="287"/>
      <c r="M96" s="288"/>
    </row>
    <row r="97" spans="1:19" ht="38.450000000000003" customHeight="1" x14ac:dyDescent="0.25">
      <c r="A97" s="344" t="s">
        <v>18</v>
      </c>
      <c r="B97" s="352" t="s">
        <v>243</v>
      </c>
      <c r="C97" s="343" t="s">
        <v>17</v>
      </c>
      <c r="D97" s="298">
        <v>27.6</v>
      </c>
      <c r="E97" s="298">
        <v>29.3</v>
      </c>
      <c r="F97" s="298">
        <v>29.3</v>
      </c>
      <c r="G97" s="298"/>
      <c r="H97" s="298"/>
      <c r="I97" s="298"/>
      <c r="J97" s="336"/>
      <c r="K97" s="132"/>
    </row>
    <row r="98" spans="1:19" ht="38.450000000000003" customHeight="1" x14ac:dyDescent="0.25">
      <c r="A98" s="332" t="s">
        <v>54</v>
      </c>
      <c r="B98" s="333" t="s">
        <v>55</v>
      </c>
      <c r="C98" s="332" t="s">
        <v>6</v>
      </c>
      <c r="D98" s="294">
        <f t="shared" ref="D98:H98" si="46">D99+D102</f>
        <v>28</v>
      </c>
      <c r="E98" s="294">
        <f t="shared" si="46"/>
        <v>5</v>
      </c>
      <c r="F98" s="294">
        <f>F99+F102</f>
        <v>15</v>
      </c>
      <c r="G98" s="294">
        <f t="shared" si="46"/>
        <v>0</v>
      </c>
      <c r="H98" s="294">
        <f t="shared" si="46"/>
        <v>0</v>
      </c>
      <c r="I98" s="294"/>
      <c r="J98" s="343"/>
      <c r="K98" s="137"/>
      <c r="N98" s="195"/>
      <c r="O98" s="195"/>
      <c r="P98" s="126"/>
      <c r="Q98" s="126"/>
      <c r="R98" s="126"/>
      <c r="S98" s="126"/>
    </row>
    <row r="99" spans="1:19" ht="38.450000000000003" customHeight="1" x14ac:dyDescent="0.25">
      <c r="A99" s="343" t="s">
        <v>18</v>
      </c>
      <c r="B99" s="364" t="s">
        <v>250</v>
      </c>
      <c r="C99" s="344" t="s">
        <v>6</v>
      </c>
      <c r="D99" s="298">
        <f>'TUMO RONG (1)'!D97+'LONG LEO(2)'!D97+'ĐĂK CHUM 1(3)'!D97+'ĐĂK CHUM II(4)'!D97+'TU CẤP(5)'!D97+'ĐĂK KA(6)'!D97+'VĂN SANG(7)'!D97+'ĐĂK NEANG(8)'!D97+'NGỌC LEANG(9)'!D97+'ĐĂK SIÊNG(10)'!D97+'KON TUN(11)'!D97+'MÔ PẢ(12)'!D97+'TY TU(13)'!D97+'KON LING(14)'!D97+'ĐĂK PƠ TRANG(15)'!D97+'KON PIA(16)'!D97+'ĐĂK HÀ(17)'!D97</f>
        <v>0</v>
      </c>
      <c r="E99" s="298">
        <f>E100+E101</f>
        <v>5</v>
      </c>
      <c r="F99" s="298">
        <f>'TUMO RONG (1)'!E97+'LONG LEO(2)'!E97+'ĐĂK CHUM 1(3)'!E97+'ĐĂK CHUM II(4)'!E97+'TU CẤP(5)'!E97+'ĐĂK KA(6)'!E97+'VĂN SANG(7)'!E97+'ĐĂK NEANG(8)'!E97+'NGỌC LEANG(9)'!E97+'ĐĂK SIÊNG(10)'!E97+'KON TUN(11)'!E97+'MÔ PẢ(12)'!E97+'TY TU(13)'!E97+'KON LING(14)'!E97+'ĐĂK PƠ TRANG(15)'!E97+'KON PIA(16)'!E97+'ĐĂK HÀ(17)'!E97</f>
        <v>5.0000000000000009</v>
      </c>
      <c r="G99" s="298">
        <f>'TUMO RONG (1)'!F97+'LONG LEO(2)'!F97+'ĐĂK CHUM 1(3)'!F97+'ĐĂK CHUM II(4)'!F97+'TU CẤP(5)'!F97+'ĐĂK KA(6)'!F97+'VĂN SANG(7)'!F97+'ĐĂK NEANG(8)'!F97+'NGỌC LEANG(9)'!F97+'ĐĂK SIÊNG(10)'!F97+'KON TUN(11)'!F97+'MÔ PẢ(12)'!F97+'TY TU(13)'!F97+'KON LING(14)'!F97+'ĐĂK PƠ TRANG(15)'!F97+'KON PIA(16)'!F97+'ĐĂK HÀ(17)'!F97</f>
        <v>0</v>
      </c>
      <c r="H99" s="298">
        <f>'TUMO RONG (1)'!G97+'LONG LEO(2)'!G97+'ĐĂK CHUM 1(3)'!G97+'ĐĂK CHUM II(4)'!G97+'TU CẤP(5)'!G97+'ĐĂK KA(6)'!G97+'VĂN SANG(7)'!G97+'ĐĂK NEANG(8)'!G97+'NGỌC LEANG(9)'!G97+'ĐĂK SIÊNG(10)'!G97+'KON TUN(11)'!G97+'MÔ PẢ(12)'!G97+'TY TU(13)'!G97+'KON LING(14)'!G97+'ĐĂK PƠ TRANG(15)'!G97+'KON PIA(16)'!G97+'ĐĂK HÀ(17)'!G97</f>
        <v>0</v>
      </c>
      <c r="I99" s="298"/>
      <c r="J99" s="344"/>
      <c r="K99" s="132"/>
      <c r="L99" s="289"/>
      <c r="M99" s="289"/>
      <c r="N99" s="126"/>
      <c r="O99" s="126"/>
      <c r="P99" s="135"/>
      <c r="Q99" s="135"/>
      <c r="R99" s="126"/>
      <c r="S99" s="126"/>
    </row>
    <row r="100" spans="1:19" ht="38.450000000000003" customHeight="1" x14ac:dyDescent="0.25">
      <c r="A100" s="343"/>
      <c r="B100" s="368" t="s">
        <v>248</v>
      </c>
      <c r="C100" s="344" t="s">
        <v>6</v>
      </c>
      <c r="D100" s="301"/>
      <c r="E100" s="301"/>
      <c r="F100" s="301"/>
      <c r="G100" s="301"/>
      <c r="H100" s="301"/>
      <c r="I100" s="301"/>
      <c r="J100" s="344"/>
      <c r="K100" s="132"/>
      <c r="N100" s="126"/>
      <c r="O100" s="126"/>
      <c r="P100" s="135"/>
      <c r="Q100" s="135"/>
      <c r="R100" s="126"/>
      <c r="S100" s="126"/>
    </row>
    <row r="101" spans="1:19" ht="38.450000000000003" customHeight="1" x14ac:dyDescent="0.25">
      <c r="A101" s="343"/>
      <c r="B101" s="368" t="s">
        <v>249</v>
      </c>
      <c r="C101" s="344" t="s">
        <v>6</v>
      </c>
      <c r="D101" s="301"/>
      <c r="E101" s="301">
        <v>5</v>
      </c>
      <c r="F101" s="301">
        <v>5</v>
      </c>
      <c r="G101" s="301"/>
      <c r="H101" s="301"/>
      <c r="I101" s="301"/>
      <c r="J101" s="344"/>
      <c r="K101" s="132"/>
      <c r="N101" s="126"/>
      <c r="O101" s="126"/>
      <c r="P101" s="135"/>
      <c r="Q101" s="135"/>
      <c r="R101" s="126"/>
      <c r="S101" s="126"/>
    </row>
    <row r="102" spans="1:19" ht="38.450000000000003" customHeight="1" x14ac:dyDescent="0.25">
      <c r="A102" s="369" t="s">
        <v>18</v>
      </c>
      <c r="B102" s="364" t="s">
        <v>56</v>
      </c>
      <c r="C102" s="344" t="s">
        <v>6</v>
      </c>
      <c r="D102" s="298">
        <f>'TUMO RONG (1)'!D98+'LONG LEO(2)'!D98+'ĐĂK CHUM 1(3)'!D98+'ĐĂK CHUM II(4)'!D98+'TU CẤP(5)'!D98+'ĐĂK KA(6)'!D98+'VĂN SANG(7)'!D98+'ĐĂK NEANG(8)'!D98+'NGỌC LEANG(9)'!D98+'ĐĂK SIÊNG(10)'!D98+'KON TUN(11)'!D98+'MÔ PẢ(12)'!D98+'TY TU(13)'!D98+'KON LING(14)'!D98+'ĐĂK PƠ TRANG(15)'!D98+'KON PIA(16)'!D98+'ĐĂK HÀ(17)'!D98</f>
        <v>28</v>
      </c>
      <c r="E102" s="298">
        <v>0</v>
      </c>
      <c r="F102" s="298">
        <f>'TUMO RONG (1)'!E98+'LONG LEO(2)'!E98+'ĐĂK CHUM 1(3)'!E98+'ĐĂK CHUM II(4)'!E98+'TU CẤP(5)'!E98+'ĐĂK KA(6)'!E98+'VĂN SANG(7)'!E98+'ĐĂK NEANG(8)'!E98+'NGỌC LEANG(9)'!E98+'ĐĂK SIÊNG(10)'!E98+'KON TUN(11)'!E98+'MÔ PẢ(12)'!E98+'TY TU(13)'!E98+'KON LING(14)'!E98+'ĐĂK PƠ TRANG(15)'!E98+'KON PIA(16)'!E98+'ĐĂK HÀ(17)'!E98</f>
        <v>10</v>
      </c>
      <c r="G102" s="298">
        <f>'TUMO RONG (1)'!F98+'LONG LEO(2)'!F98+'ĐĂK CHUM 1(3)'!F98+'ĐĂK CHUM II(4)'!F98+'TU CẤP(5)'!F98+'ĐĂK KA(6)'!F98+'VĂN SANG(7)'!F98+'ĐĂK NEANG(8)'!F98+'NGỌC LEANG(9)'!F98+'ĐĂK SIÊNG(10)'!F98+'KON TUN(11)'!F98+'MÔ PẢ(12)'!F98+'TY TU(13)'!F98+'KON LING(14)'!F98+'ĐĂK PƠ TRANG(15)'!F98+'KON PIA(16)'!F98+'ĐĂK HÀ(17)'!F98</f>
        <v>0</v>
      </c>
      <c r="H102" s="298">
        <f>'TUMO RONG (1)'!G98+'LONG LEO(2)'!G98+'ĐĂK CHUM 1(3)'!G98+'ĐĂK CHUM II(4)'!G98+'TU CẤP(5)'!G98+'ĐĂK KA(6)'!G98+'VĂN SANG(7)'!G98+'ĐĂK NEANG(8)'!G98+'NGỌC LEANG(9)'!G98+'ĐĂK SIÊNG(10)'!G98+'KON TUN(11)'!G98+'MÔ PẢ(12)'!G98+'TY TU(13)'!G98+'KON LING(14)'!G98+'ĐĂK PƠ TRANG(15)'!G98+'KON PIA(16)'!G98+'ĐĂK HÀ(17)'!G98</f>
        <v>0</v>
      </c>
      <c r="I102" s="298"/>
      <c r="J102" s="336"/>
      <c r="K102" s="132"/>
      <c r="N102" s="290"/>
      <c r="O102" s="188"/>
      <c r="P102" s="135"/>
      <c r="Q102" s="135"/>
      <c r="R102" s="126"/>
      <c r="S102" s="126"/>
    </row>
    <row r="103" spans="1:19" ht="38.450000000000003" customHeight="1" x14ac:dyDescent="0.25">
      <c r="A103" s="369" t="s">
        <v>18</v>
      </c>
      <c r="B103" s="336" t="s">
        <v>247</v>
      </c>
      <c r="C103" s="344" t="s">
        <v>6</v>
      </c>
      <c r="D103" s="298">
        <f>D104+D105</f>
        <v>9940</v>
      </c>
      <c r="E103" s="298">
        <f t="shared" ref="E103:H103" si="47">E104+E105</f>
        <v>9940</v>
      </c>
      <c r="F103" s="298">
        <f t="shared" si="47"/>
        <v>9940</v>
      </c>
      <c r="G103" s="298">
        <f t="shared" si="47"/>
        <v>0</v>
      </c>
      <c r="H103" s="298">
        <f t="shared" si="47"/>
        <v>0</v>
      </c>
      <c r="I103" s="370"/>
      <c r="J103" s="336"/>
      <c r="K103" s="128"/>
    </row>
    <row r="104" spans="1:19" ht="38.450000000000003" customHeight="1" x14ac:dyDescent="0.25">
      <c r="A104" s="371"/>
      <c r="B104" s="368" t="s">
        <v>248</v>
      </c>
      <c r="C104" s="344" t="s">
        <v>66</v>
      </c>
      <c r="D104" s="301">
        <v>2805</v>
      </c>
      <c r="E104" s="301">
        <v>2805</v>
      </c>
      <c r="F104" s="301">
        <v>2805</v>
      </c>
      <c r="G104" s="361"/>
      <c r="H104" s="361"/>
      <c r="I104" s="361"/>
      <c r="J104" s="359"/>
      <c r="K104" s="128"/>
    </row>
    <row r="105" spans="1:19" ht="38.450000000000003" customHeight="1" x14ac:dyDescent="0.25">
      <c r="A105" s="371"/>
      <c r="B105" s="368" t="s">
        <v>249</v>
      </c>
      <c r="C105" s="344" t="s">
        <v>66</v>
      </c>
      <c r="D105" s="301">
        <v>7135</v>
      </c>
      <c r="E105" s="301">
        <v>7135</v>
      </c>
      <c r="F105" s="301">
        <v>7135</v>
      </c>
      <c r="G105" s="361"/>
      <c r="H105" s="361"/>
      <c r="I105" s="361"/>
      <c r="J105" s="359"/>
      <c r="K105" s="128"/>
    </row>
    <row r="106" spans="1:19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374"/>
      <c r="K106" s="128"/>
    </row>
    <row r="107" spans="1:19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374"/>
      <c r="K107" s="128"/>
    </row>
    <row r="108" spans="1:19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374"/>
      <c r="K108" s="128"/>
    </row>
    <row r="109" spans="1:19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374"/>
      <c r="K109" s="128"/>
    </row>
    <row r="110" spans="1:19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374"/>
      <c r="K110" s="128"/>
    </row>
    <row r="111" spans="1:19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374"/>
      <c r="K111" s="128"/>
    </row>
    <row r="112" spans="1:19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374"/>
      <c r="K112" s="128"/>
    </row>
    <row r="113" spans="1:11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374"/>
      <c r="K113" s="128"/>
    </row>
    <row r="114" spans="1:11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374"/>
      <c r="K114" s="128"/>
    </row>
    <row r="115" spans="1:11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374"/>
      <c r="K115" s="128"/>
    </row>
    <row r="116" spans="1:11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374"/>
      <c r="K116" s="128"/>
    </row>
    <row r="117" spans="1:11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374"/>
      <c r="K117" s="128"/>
    </row>
    <row r="118" spans="1:11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374"/>
      <c r="K118" s="128"/>
    </row>
    <row r="119" spans="1:11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374"/>
      <c r="K119" s="128"/>
    </row>
    <row r="120" spans="1:11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374"/>
      <c r="K120" s="128"/>
    </row>
    <row r="121" spans="1:11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374"/>
      <c r="K121" s="128"/>
    </row>
    <row r="122" spans="1:11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374"/>
      <c r="K122" s="128"/>
    </row>
    <row r="123" spans="1:11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374"/>
      <c r="K123" s="128"/>
    </row>
    <row r="124" spans="1:11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374"/>
      <c r="K124" s="128"/>
    </row>
    <row r="125" spans="1:11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374"/>
      <c r="K125" s="128"/>
    </row>
    <row r="126" spans="1:11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374"/>
      <c r="K126" s="128"/>
    </row>
    <row r="127" spans="1:11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374"/>
      <c r="K127" s="128"/>
    </row>
    <row r="128" spans="1:11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374"/>
      <c r="K128" s="128"/>
    </row>
    <row r="129" spans="1:11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374"/>
      <c r="K129" s="128"/>
    </row>
    <row r="130" spans="1:11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374"/>
      <c r="K130" s="128"/>
    </row>
    <row r="131" spans="1:11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374"/>
      <c r="K131" s="128"/>
    </row>
    <row r="132" spans="1:11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374"/>
      <c r="K132" s="128"/>
    </row>
    <row r="133" spans="1:11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374"/>
      <c r="K133" s="128"/>
    </row>
    <row r="134" spans="1:11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374"/>
      <c r="K134" s="128"/>
    </row>
    <row r="135" spans="1:11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374"/>
      <c r="K135" s="128"/>
    </row>
    <row r="136" spans="1:11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374"/>
      <c r="K136" s="128"/>
    </row>
    <row r="137" spans="1:11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374"/>
      <c r="K137" s="128"/>
    </row>
    <row r="138" spans="1:11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374"/>
      <c r="K138" s="128"/>
    </row>
    <row r="139" spans="1:11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374"/>
      <c r="K139" s="128"/>
    </row>
    <row r="140" spans="1:11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374"/>
      <c r="K140" s="128"/>
    </row>
    <row r="141" spans="1:11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374"/>
      <c r="K141" s="128"/>
    </row>
    <row r="142" spans="1:11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374"/>
      <c r="K142" s="128"/>
    </row>
    <row r="143" spans="1:11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374"/>
      <c r="K143" s="128"/>
    </row>
    <row r="144" spans="1:11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374"/>
      <c r="K144" s="128"/>
    </row>
    <row r="145" spans="1:11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374"/>
      <c r="K145" s="128"/>
    </row>
    <row r="146" spans="1:11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374"/>
      <c r="K146" s="128"/>
    </row>
    <row r="147" spans="1:11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374"/>
      <c r="K147" s="128"/>
    </row>
    <row r="148" spans="1:11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374"/>
      <c r="K148" s="128"/>
    </row>
    <row r="149" spans="1:11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374"/>
      <c r="K149" s="128"/>
    </row>
    <row r="150" spans="1:11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374"/>
      <c r="K150" s="128"/>
    </row>
    <row r="151" spans="1:11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374"/>
      <c r="K151" s="128"/>
    </row>
    <row r="152" spans="1:11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374"/>
      <c r="K152" s="128"/>
    </row>
    <row r="153" spans="1:11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374"/>
      <c r="K153" s="128"/>
    </row>
    <row r="154" spans="1:11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374"/>
      <c r="K154" s="128"/>
    </row>
    <row r="155" spans="1:11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374"/>
      <c r="K155" s="128"/>
    </row>
    <row r="156" spans="1:11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374"/>
      <c r="K156" s="128"/>
    </row>
    <row r="157" spans="1:11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374"/>
      <c r="K157" s="128"/>
    </row>
    <row r="158" spans="1:11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374"/>
      <c r="K158" s="128"/>
    </row>
    <row r="159" spans="1:11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374"/>
      <c r="K159" s="128"/>
    </row>
    <row r="160" spans="1:11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374"/>
      <c r="K160" s="128"/>
    </row>
    <row r="161" spans="1:11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374"/>
      <c r="K161" s="128"/>
    </row>
    <row r="162" spans="1:11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374"/>
      <c r="K162" s="128"/>
    </row>
    <row r="163" spans="1:11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374"/>
      <c r="K163" s="128"/>
    </row>
    <row r="164" spans="1:11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374"/>
      <c r="K164" s="128"/>
    </row>
    <row r="165" spans="1:11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374"/>
      <c r="K165" s="128"/>
    </row>
    <row r="166" spans="1:11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374"/>
      <c r="K166" s="128"/>
    </row>
    <row r="167" spans="1:11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374"/>
      <c r="K167" s="128"/>
    </row>
    <row r="168" spans="1:11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374"/>
      <c r="K168" s="128"/>
    </row>
    <row r="169" spans="1:11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374"/>
      <c r="K169" s="128"/>
    </row>
    <row r="170" spans="1:11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374"/>
      <c r="K170" s="128"/>
    </row>
    <row r="171" spans="1:11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374"/>
      <c r="K171" s="128"/>
    </row>
    <row r="172" spans="1:11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374"/>
      <c r="K172" s="128"/>
    </row>
    <row r="173" spans="1:11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374"/>
      <c r="K173" s="128"/>
    </row>
    <row r="174" spans="1:11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374"/>
      <c r="K174" s="128"/>
    </row>
    <row r="175" spans="1:11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374"/>
      <c r="K175" s="128"/>
    </row>
    <row r="176" spans="1:11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374"/>
      <c r="K176" s="128"/>
    </row>
    <row r="177" spans="1:11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374"/>
      <c r="K177" s="128"/>
    </row>
    <row r="178" spans="1:11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374"/>
      <c r="K178" s="128"/>
    </row>
    <row r="179" spans="1:11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374"/>
      <c r="K179" s="128"/>
    </row>
    <row r="180" spans="1:11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374"/>
      <c r="K180" s="128"/>
    </row>
    <row r="181" spans="1:11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374"/>
      <c r="K181" s="128"/>
    </row>
    <row r="182" spans="1:11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374"/>
      <c r="K182" s="128"/>
    </row>
    <row r="183" spans="1:11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374"/>
      <c r="K183" s="128"/>
    </row>
    <row r="184" spans="1:11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374"/>
      <c r="K184" s="128"/>
    </row>
    <row r="185" spans="1:11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374"/>
      <c r="K185" s="128"/>
    </row>
    <row r="186" spans="1:11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374"/>
      <c r="K186" s="128"/>
    </row>
    <row r="187" spans="1:11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374"/>
      <c r="K187" s="128"/>
    </row>
    <row r="188" spans="1:11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374"/>
      <c r="K188" s="128"/>
    </row>
    <row r="189" spans="1:11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374"/>
      <c r="K189" s="128"/>
    </row>
    <row r="190" spans="1:11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374"/>
      <c r="K190" s="128"/>
    </row>
    <row r="191" spans="1:11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374"/>
      <c r="K191" s="128"/>
    </row>
    <row r="192" spans="1:11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374"/>
      <c r="K192" s="128"/>
    </row>
    <row r="193" spans="1:11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374"/>
      <c r="K193" s="128"/>
    </row>
    <row r="194" spans="1:11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374"/>
      <c r="K194" s="128"/>
    </row>
    <row r="195" spans="1:11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374"/>
      <c r="K195" s="128"/>
    </row>
    <row r="196" spans="1:11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374"/>
      <c r="K196" s="128"/>
    </row>
    <row r="197" spans="1:11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374"/>
      <c r="K197" s="128"/>
    </row>
    <row r="198" spans="1:11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374"/>
      <c r="K198" s="128"/>
    </row>
    <row r="199" spans="1:11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374"/>
      <c r="K199" s="128"/>
    </row>
    <row r="200" spans="1:11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374"/>
      <c r="K200" s="128"/>
    </row>
    <row r="201" spans="1:11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374"/>
      <c r="K201" s="128"/>
    </row>
    <row r="202" spans="1:11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374"/>
      <c r="K202" s="128"/>
    </row>
    <row r="203" spans="1:11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374"/>
      <c r="K203" s="128"/>
    </row>
    <row r="204" spans="1:11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374"/>
      <c r="K204" s="128"/>
    </row>
    <row r="205" spans="1:11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374"/>
      <c r="K205" s="128"/>
    </row>
    <row r="206" spans="1:11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374"/>
      <c r="K206" s="128"/>
    </row>
    <row r="207" spans="1:11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374"/>
      <c r="K207" s="128"/>
    </row>
    <row r="208" spans="1:11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374"/>
      <c r="K208" s="128"/>
    </row>
    <row r="209" spans="1:11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374"/>
      <c r="K209" s="128"/>
    </row>
    <row r="210" spans="1:11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374"/>
      <c r="K210" s="128"/>
    </row>
    <row r="211" spans="1:11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374"/>
      <c r="K211" s="128"/>
    </row>
    <row r="212" spans="1:11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374"/>
      <c r="K212" s="128"/>
    </row>
    <row r="213" spans="1:11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374"/>
      <c r="K213" s="128"/>
    </row>
    <row r="214" spans="1:11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374"/>
      <c r="K214" s="128"/>
    </row>
    <row r="215" spans="1:11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374"/>
      <c r="K215" s="128"/>
    </row>
    <row r="216" spans="1:11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374"/>
      <c r="K216" s="128"/>
    </row>
    <row r="217" spans="1:11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374"/>
      <c r="K217" s="128"/>
    </row>
    <row r="218" spans="1:11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374"/>
      <c r="K218" s="128"/>
    </row>
    <row r="219" spans="1:11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374"/>
      <c r="K219" s="128"/>
    </row>
    <row r="220" spans="1:11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374"/>
      <c r="K220" s="128"/>
    </row>
    <row r="221" spans="1:11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374"/>
      <c r="K221" s="128"/>
    </row>
    <row r="222" spans="1:11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374"/>
      <c r="K222" s="128"/>
    </row>
    <row r="223" spans="1:11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374"/>
      <c r="K223" s="128"/>
    </row>
    <row r="224" spans="1:11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374"/>
      <c r="K224" s="128"/>
    </row>
    <row r="225" spans="1:11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374"/>
      <c r="K225" s="128"/>
    </row>
    <row r="226" spans="1:11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374"/>
      <c r="K226" s="128"/>
    </row>
    <row r="227" spans="1:11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374"/>
      <c r="K227" s="128"/>
    </row>
    <row r="228" spans="1:11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374"/>
      <c r="K228" s="128"/>
    </row>
    <row r="229" spans="1:11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374"/>
      <c r="K229" s="128"/>
    </row>
    <row r="230" spans="1:11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374"/>
      <c r="K230" s="128"/>
    </row>
    <row r="231" spans="1:11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374"/>
      <c r="K231" s="128"/>
    </row>
    <row r="232" spans="1:11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374"/>
      <c r="K232" s="128"/>
    </row>
    <row r="233" spans="1:11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374"/>
      <c r="K233" s="128"/>
    </row>
    <row r="234" spans="1:11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374"/>
      <c r="K234" s="128"/>
    </row>
    <row r="235" spans="1:11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374"/>
      <c r="K235" s="128"/>
    </row>
    <row r="236" spans="1:11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374"/>
      <c r="K236" s="128"/>
    </row>
    <row r="237" spans="1:11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374"/>
      <c r="K237" s="128"/>
    </row>
    <row r="238" spans="1:11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374"/>
      <c r="K238" s="128"/>
    </row>
    <row r="239" spans="1:11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374"/>
      <c r="K239" s="128"/>
    </row>
    <row r="240" spans="1:11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374"/>
      <c r="K240" s="128"/>
    </row>
    <row r="241" spans="1:11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374"/>
      <c r="K241" s="128"/>
    </row>
    <row r="242" spans="1:11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374"/>
      <c r="K242" s="128"/>
    </row>
    <row r="243" spans="1:11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374"/>
      <c r="K243" s="128"/>
    </row>
    <row r="244" spans="1:11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374"/>
      <c r="K244" s="128"/>
    </row>
    <row r="245" spans="1:11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374"/>
      <c r="K245" s="128"/>
    </row>
    <row r="246" spans="1:11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374"/>
      <c r="K246" s="128"/>
    </row>
    <row r="247" spans="1:11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374"/>
      <c r="K247" s="128"/>
    </row>
    <row r="248" spans="1:11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374"/>
      <c r="K248" s="128"/>
    </row>
    <row r="249" spans="1:11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374"/>
      <c r="K249" s="128"/>
    </row>
    <row r="250" spans="1:11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374"/>
      <c r="K250" s="128"/>
    </row>
    <row r="251" spans="1:11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374"/>
      <c r="K251" s="128"/>
    </row>
    <row r="252" spans="1:11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374"/>
      <c r="K252" s="128"/>
    </row>
    <row r="253" spans="1:11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374"/>
      <c r="K253" s="128"/>
    </row>
    <row r="254" spans="1:11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374"/>
      <c r="K254" s="128"/>
    </row>
    <row r="255" spans="1:11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374"/>
      <c r="K255" s="128"/>
    </row>
    <row r="256" spans="1:11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374"/>
      <c r="K256" s="128"/>
    </row>
    <row r="257" spans="1:11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374"/>
      <c r="K257" s="128"/>
    </row>
    <row r="258" spans="1:11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374"/>
      <c r="K258" s="128"/>
    </row>
    <row r="259" spans="1:11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374"/>
      <c r="K259" s="128"/>
    </row>
    <row r="260" spans="1:11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374"/>
      <c r="K260" s="128"/>
    </row>
    <row r="261" spans="1:11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374"/>
      <c r="K261" s="128"/>
    </row>
    <row r="262" spans="1:11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374"/>
      <c r="K262" s="128"/>
    </row>
    <row r="263" spans="1:11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374"/>
      <c r="K263" s="128"/>
    </row>
    <row r="264" spans="1:11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374"/>
      <c r="K264" s="128"/>
    </row>
    <row r="265" spans="1:11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374"/>
      <c r="K265" s="128"/>
    </row>
    <row r="266" spans="1:11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374"/>
      <c r="K266" s="128"/>
    </row>
    <row r="267" spans="1:11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374"/>
      <c r="K267" s="128"/>
    </row>
    <row r="268" spans="1:11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374"/>
      <c r="K268" s="128"/>
    </row>
    <row r="269" spans="1:11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374"/>
      <c r="K269" s="128"/>
    </row>
    <row r="270" spans="1:11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374"/>
      <c r="K270" s="128"/>
    </row>
    <row r="271" spans="1:11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374"/>
      <c r="K271" s="128"/>
    </row>
    <row r="272" spans="1:11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374"/>
      <c r="K272" s="128"/>
    </row>
    <row r="273" spans="1:11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374"/>
      <c r="K273" s="128"/>
    </row>
    <row r="274" spans="1:11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374"/>
      <c r="K274" s="128"/>
    </row>
    <row r="275" spans="1:11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374"/>
      <c r="K275" s="128"/>
    </row>
    <row r="276" spans="1:11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374"/>
      <c r="K276" s="128"/>
    </row>
    <row r="277" spans="1:11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374"/>
      <c r="K277" s="128"/>
    </row>
    <row r="278" spans="1:11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374"/>
      <c r="K278" s="128"/>
    </row>
    <row r="279" spans="1:11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374"/>
      <c r="K279" s="128"/>
    </row>
    <row r="280" spans="1:11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374"/>
      <c r="K280" s="128"/>
    </row>
    <row r="281" spans="1:11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374"/>
      <c r="K281" s="128"/>
    </row>
    <row r="282" spans="1:11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374"/>
      <c r="K282" s="128"/>
    </row>
    <row r="283" spans="1:11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374"/>
      <c r="K283" s="128"/>
    </row>
    <row r="284" spans="1:11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374"/>
      <c r="K284" s="128"/>
    </row>
    <row r="285" spans="1:11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374"/>
      <c r="K285" s="128"/>
    </row>
    <row r="286" spans="1:11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374"/>
      <c r="K286" s="128"/>
    </row>
    <row r="287" spans="1:11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374"/>
      <c r="K287" s="128"/>
    </row>
    <row r="288" spans="1:11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374"/>
      <c r="K288" s="128"/>
    </row>
    <row r="289" spans="1:11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374"/>
      <c r="K289" s="128"/>
    </row>
    <row r="290" spans="1:11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374"/>
      <c r="K290" s="128"/>
    </row>
    <row r="291" spans="1:11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374"/>
      <c r="K291" s="128"/>
    </row>
    <row r="292" spans="1:11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374"/>
      <c r="K292" s="128"/>
    </row>
    <row r="293" spans="1:11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374"/>
      <c r="K293" s="128"/>
    </row>
    <row r="294" spans="1:11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374"/>
      <c r="K294" s="128"/>
    </row>
    <row r="295" spans="1:11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374"/>
      <c r="K295" s="128"/>
    </row>
    <row r="296" spans="1:11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374"/>
      <c r="K296" s="128"/>
    </row>
    <row r="297" spans="1:11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374"/>
      <c r="K297" s="128"/>
    </row>
    <row r="298" spans="1:11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374"/>
      <c r="K298" s="128"/>
    </row>
    <row r="299" spans="1:11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374"/>
      <c r="K299" s="128"/>
    </row>
    <row r="300" spans="1:11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374"/>
      <c r="K300" s="128"/>
    </row>
    <row r="301" spans="1:11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374"/>
      <c r="K301" s="128"/>
    </row>
    <row r="302" spans="1:11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374"/>
      <c r="K302" s="128"/>
    </row>
    <row r="303" spans="1:11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374"/>
      <c r="K303" s="128"/>
    </row>
    <row r="304" spans="1:11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374"/>
      <c r="K304" s="128"/>
    </row>
    <row r="305" spans="1:11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374"/>
      <c r="K305" s="128"/>
    </row>
    <row r="306" spans="1:11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374"/>
      <c r="K306" s="128"/>
    </row>
    <row r="307" spans="1:11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374"/>
      <c r="K307" s="128"/>
    </row>
    <row r="308" spans="1:11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374"/>
      <c r="K308" s="128"/>
    </row>
    <row r="309" spans="1:11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374"/>
      <c r="K309" s="128"/>
    </row>
    <row r="310" spans="1:11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374"/>
      <c r="K310" s="128"/>
    </row>
    <row r="311" spans="1:11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374"/>
      <c r="K311" s="128"/>
    </row>
    <row r="312" spans="1:11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374"/>
      <c r="K312" s="128"/>
    </row>
    <row r="313" spans="1:11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374"/>
      <c r="K313" s="128"/>
    </row>
    <row r="314" spans="1:11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374"/>
      <c r="K314" s="128"/>
    </row>
    <row r="315" spans="1:11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374"/>
      <c r="K315" s="128"/>
    </row>
    <row r="316" spans="1:11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374"/>
      <c r="K316" s="128"/>
    </row>
    <row r="317" spans="1:11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374"/>
      <c r="K317" s="128"/>
    </row>
    <row r="318" spans="1:11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374"/>
      <c r="K318" s="128"/>
    </row>
    <row r="319" spans="1:11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374"/>
      <c r="K319" s="128"/>
    </row>
    <row r="320" spans="1:11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374"/>
      <c r="K320" s="128"/>
    </row>
    <row r="321" spans="1:11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374"/>
      <c r="K321" s="128"/>
    </row>
    <row r="322" spans="1:11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374"/>
      <c r="K322" s="128"/>
    </row>
    <row r="323" spans="1:11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374"/>
      <c r="K323" s="128"/>
    </row>
    <row r="324" spans="1:11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374"/>
      <c r="K324" s="128"/>
    </row>
    <row r="325" spans="1:11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374"/>
      <c r="K325" s="128"/>
    </row>
    <row r="326" spans="1:11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374"/>
      <c r="K326" s="128"/>
    </row>
    <row r="327" spans="1:11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374"/>
      <c r="K327" s="128"/>
    </row>
    <row r="328" spans="1:11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374"/>
      <c r="K328" s="128"/>
    </row>
    <row r="329" spans="1:11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374"/>
      <c r="K329" s="128"/>
    </row>
    <row r="330" spans="1:11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374"/>
      <c r="K330" s="128"/>
    </row>
    <row r="331" spans="1:11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374"/>
      <c r="K331" s="128"/>
    </row>
    <row r="332" spans="1:11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374"/>
      <c r="K332" s="128"/>
    </row>
    <row r="333" spans="1:11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374"/>
      <c r="K333" s="128"/>
    </row>
    <row r="334" spans="1:11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374"/>
      <c r="K334" s="128"/>
    </row>
    <row r="335" spans="1:11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374"/>
      <c r="K335" s="128"/>
    </row>
    <row r="336" spans="1:11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374"/>
      <c r="K336" s="128"/>
    </row>
    <row r="337" spans="1:11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374"/>
      <c r="K337" s="128"/>
    </row>
    <row r="338" spans="1:11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374"/>
      <c r="K338" s="128"/>
    </row>
    <row r="339" spans="1:11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374"/>
      <c r="K339" s="128"/>
    </row>
    <row r="340" spans="1:11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374"/>
      <c r="K340" s="128"/>
    </row>
    <row r="341" spans="1:11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374"/>
      <c r="K341" s="128"/>
    </row>
    <row r="342" spans="1:11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374"/>
      <c r="K342" s="128"/>
    </row>
    <row r="343" spans="1:11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374"/>
      <c r="K343" s="128"/>
    </row>
    <row r="344" spans="1:11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374"/>
      <c r="K344" s="128"/>
    </row>
    <row r="345" spans="1:11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374"/>
      <c r="K345" s="128"/>
    </row>
    <row r="346" spans="1:11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374"/>
      <c r="K346" s="128"/>
    </row>
    <row r="347" spans="1:11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374"/>
      <c r="K347" s="128"/>
    </row>
    <row r="348" spans="1:11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374"/>
      <c r="K348" s="128"/>
    </row>
    <row r="349" spans="1:11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374"/>
      <c r="K349" s="128"/>
    </row>
    <row r="350" spans="1:11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374"/>
      <c r="K350" s="128"/>
    </row>
    <row r="351" spans="1:11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374"/>
      <c r="K351" s="128"/>
    </row>
    <row r="352" spans="1:11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374"/>
      <c r="K352" s="128"/>
    </row>
    <row r="353" spans="1:11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374"/>
      <c r="K353" s="128"/>
    </row>
    <row r="354" spans="1:11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374"/>
      <c r="K354" s="128"/>
    </row>
    <row r="355" spans="1:11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374"/>
      <c r="K355" s="128"/>
    </row>
    <row r="356" spans="1:11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374"/>
      <c r="K356" s="128"/>
    </row>
    <row r="357" spans="1:11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374"/>
      <c r="K357" s="128"/>
    </row>
    <row r="358" spans="1:11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374"/>
      <c r="K358" s="128"/>
    </row>
    <row r="359" spans="1:11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374"/>
      <c r="K359" s="128"/>
    </row>
    <row r="360" spans="1:11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374"/>
      <c r="K360" s="128"/>
    </row>
    <row r="361" spans="1:11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374"/>
      <c r="K361" s="128"/>
    </row>
    <row r="362" spans="1:11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374"/>
      <c r="K362" s="128"/>
    </row>
    <row r="363" spans="1:11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374"/>
      <c r="K363" s="128"/>
    </row>
    <row r="364" spans="1:11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374"/>
      <c r="K364" s="128"/>
    </row>
    <row r="365" spans="1:11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374"/>
      <c r="K365" s="128"/>
    </row>
    <row r="366" spans="1:11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374"/>
      <c r="K366" s="128"/>
    </row>
    <row r="367" spans="1:11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374"/>
      <c r="K367" s="128"/>
    </row>
    <row r="368" spans="1:11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374"/>
      <c r="K368" s="128"/>
    </row>
    <row r="369" spans="1:11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374"/>
      <c r="K369" s="128"/>
    </row>
    <row r="370" spans="1:11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374"/>
      <c r="K370" s="128"/>
    </row>
    <row r="371" spans="1:11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374"/>
      <c r="K371" s="128"/>
    </row>
    <row r="372" spans="1:11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374"/>
      <c r="K372" s="128"/>
    </row>
    <row r="373" spans="1:11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374"/>
      <c r="K373" s="128"/>
    </row>
    <row r="374" spans="1:11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374"/>
      <c r="K374" s="128"/>
    </row>
    <row r="375" spans="1:11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374"/>
      <c r="K375" s="128"/>
    </row>
    <row r="376" spans="1:11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374"/>
      <c r="K376" s="128"/>
    </row>
    <row r="377" spans="1:11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374"/>
      <c r="K377" s="128"/>
    </row>
    <row r="378" spans="1:11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374"/>
      <c r="K378" s="128"/>
    </row>
    <row r="379" spans="1:11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374"/>
      <c r="K379" s="128"/>
    </row>
    <row r="380" spans="1:11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374"/>
      <c r="K380" s="128"/>
    </row>
    <row r="381" spans="1:11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374"/>
      <c r="K381" s="128"/>
    </row>
    <row r="382" spans="1:11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374"/>
      <c r="K382" s="128"/>
    </row>
    <row r="383" spans="1:11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374"/>
      <c r="K383" s="128"/>
    </row>
    <row r="384" spans="1:11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374"/>
      <c r="K384" s="128"/>
    </row>
    <row r="385" spans="1:11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374"/>
      <c r="K385" s="128"/>
    </row>
    <row r="386" spans="1:11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374"/>
      <c r="K386" s="128"/>
    </row>
    <row r="387" spans="1:11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374"/>
      <c r="K387" s="128"/>
    </row>
    <row r="388" spans="1:11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374"/>
      <c r="K388" s="128"/>
    </row>
    <row r="389" spans="1:11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374"/>
      <c r="K389" s="128"/>
    </row>
    <row r="390" spans="1:11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374"/>
      <c r="K390" s="128"/>
    </row>
    <row r="391" spans="1:11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374"/>
      <c r="K391" s="128"/>
    </row>
    <row r="392" spans="1:11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374"/>
      <c r="K392" s="128"/>
    </row>
    <row r="393" spans="1:11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374"/>
      <c r="K393" s="128"/>
    </row>
    <row r="394" spans="1:11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374"/>
      <c r="K394" s="128"/>
    </row>
    <row r="395" spans="1:11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374"/>
      <c r="K395" s="128"/>
    </row>
    <row r="396" spans="1:11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374"/>
      <c r="K396" s="128"/>
    </row>
    <row r="397" spans="1:11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374"/>
      <c r="K397" s="128"/>
    </row>
    <row r="398" spans="1:11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374"/>
      <c r="K398" s="128"/>
    </row>
    <row r="399" spans="1:11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374"/>
      <c r="K399" s="128"/>
    </row>
    <row r="400" spans="1:11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374"/>
      <c r="K400" s="128"/>
    </row>
    <row r="401" spans="1:11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374"/>
      <c r="K401" s="128"/>
    </row>
    <row r="402" spans="1:11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374"/>
      <c r="K402" s="128"/>
    </row>
    <row r="403" spans="1:11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374"/>
      <c r="K403" s="128"/>
    </row>
    <row r="404" spans="1:11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374"/>
      <c r="K404" s="128"/>
    </row>
    <row r="405" spans="1:11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374"/>
      <c r="K405" s="128"/>
    </row>
    <row r="406" spans="1:11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374"/>
      <c r="K406" s="128"/>
    </row>
    <row r="407" spans="1:11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374"/>
      <c r="K407" s="128"/>
    </row>
    <row r="408" spans="1:11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374"/>
      <c r="K408" s="128"/>
    </row>
    <row r="409" spans="1:11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374"/>
      <c r="K409" s="128"/>
    </row>
    <row r="410" spans="1:11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374"/>
      <c r="K410" s="128"/>
    </row>
    <row r="411" spans="1:11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374"/>
      <c r="K411" s="128"/>
    </row>
    <row r="412" spans="1:11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374"/>
      <c r="K412" s="128"/>
    </row>
    <row r="413" spans="1:11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374"/>
      <c r="K413" s="128"/>
    </row>
    <row r="414" spans="1:11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374"/>
      <c r="K414" s="128"/>
    </row>
    <row r="415" spans="1:11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374"/>
      <c r="K415" s="128"/>
    </row>
    <row r="416" spans="1:11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374"/>
      <c r="K416" s="128"/>
    </row>
    <row r="417" spans="1:11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374"/>
      <c r="K417" s="128"/>
    </row>
    <row r="418" spans="1:11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374"/>
      <c r="K418" s="128"/>
    </row>
    <row r="419" spans="1:11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374"/>
      <c r="K419" s="128"/>
    </row>
    <row r="420" spans="1:11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374"/>
      <c r="K420" s="128"/>
    </row>
    <row r="421" spans="1:11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374"/>
      <c r="K421" s="128"/>
    </row>
    <row r="422" spans="1:11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374"/>
      <c r="K422" s="128"/>
    </row>
    <row r="423" spans="1:11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374"/>
      <c r="K423" s="128"/>
    </row>
    <row r="424" spans="1:11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374"/>
      <c r="K424" s="128"/>
    </row>
    <row r="425" spans="1:11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374"/>
      <c r="K425" s="128"/>
    </row>
    <row r="426" spans="1:11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374"/>
      <c r="K426" s="128"/>
    </row>
    <row r="427" spans="1:11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374"/>
      <c r="K427" s="128"/>
    </row>
    <row r="428" spans="1:11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374"/>
      <c r="K428" s="128"/>
    </row>
    <row r="429" spans="1:11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374"/>
      <c r="K429" s="128"/>
    </row>
    <row r="430" spans="1:11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374"/>
      <c r="K430" s="128"/>
    </row>
    <row r="431" spans="1:11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374"/>
      <c r="K431" s="128"/>
    </row>
    <row r="432" spans="1:11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374"/>
      <c r="K432" s="128"/>
    </row>
    <row r="433" spans="1:11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374"/>
      <c r="K433" s="128"/>
    </row>
    <row r="434" spans="1:11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374"/>
      <c r="K434" s="128"/>
    </row>
    <row r="435" spans="1:11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374"/>
      <c r="K435" s="128"/>
    </row>
    <row r="436" spans="1:11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374"/>
      <c r="K436" s="128"/>
    </row>
    <row r="437" spans="1:11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374"/>
      <c r="K437" s="128"/>
    </row>
    <row r="438" spans="1:11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374"/>
      <c r="K438" s="128"/>
    </row>
    <row r="439" spans="1:11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374"/>
      <c r="K439" s="128"/>
    </row>
    <row r="440" spans="1:11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374"/>
      <c r="K440" s="128"/>
    </row>
    <row r="441" spans="1:11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374"/>
      <c r="K441" s="128"/>
    </row>
    <row r="442" spans="1:11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374"/>
      <c r="K442" s="128"/>
    </row>
    <row r="443" spans="1:11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374"/>
      <c r="K443" s="128"/>
    </row>
    <row r="444" spans="1:11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374"/>
      <c r="K444" s="128"/>
    </row>
    <row r="445" spans="1:11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374"/>
      <c r="K445" s="128"/>
    </row>
    <row r="446" spans="1:11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374"/>
      <c r="K446" s="128"/>
    </row>
    <row r="447" spans="1:11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374"/>
      <c r="K447" s="128"/>
    </row>
    <row r="448" spans="1:11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374"/>
      <c r="K448" s="128"/>
    </row>
    <row r="449" spans="1:11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374"/>
      <c r="K449" s="128"/>
    </row>
    <row r="450" spans="1:11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374"/>
      <c r="K450" s="128"/>
    </row>
    <row r="451" spans="1:11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374"/>
      <c r="K451" s="128"/>
    </row>
    <row r="452" spans="1:11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374"/>
      <c r="K452" s="128"/>
    </row>
    <row r="453" spans="1:11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374"/>
      <c r="K453" s="128"/>
    </row>
    <row r="454" spans="1:11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374"/>
      <c r="K454" s="128"/>
    </row>
    <row r="455" spans="1:11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374"/>
      <c r="K455" s="128"/>
    </row>
    <row r="456" spans="1:11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374"/>
      <c r="K456" s="128"/>
    </row>
    <row r="457" spans="1:11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374"/>
      <c r="K457" s="128"/>
    </row>
    <row r="458" spans="1:11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374"/>
      <c r="K458" s="128"/>
    </row>
    <row r="459" spans="1:11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374"/>
      <c r="K459" s="128"/>
    </row>
    <row r="460" spans="1:11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374"/>
      <c r="K460" s="128"/>
    </row>
    <row r="461" spans="1:11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374"/>
      <c r="K461" s="128"/>
    </row>
    <row r="462" spans="1:11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374"/>
      <c r="K462" s="128"/>
    </row>
    <row r="463" spans="1:11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374"/>
      <c r="K463" s="128"/>
    </row>
    <row r="464" spans="1:11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374"/>
      <c r="K464" s="128"/>
    </row>
    <row r="465" spans="1:11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374"/>
      <c r="K465" s="128"/>
    </row>
    <row r="466" spans="1:11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374"/>
      <c r="K466" s="128"/>
    </row>
    <row r="467" spans="1:11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374"/>
      <c r="K467" s="128"/>
    </row>
    <row r="468" spans="1:11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374"/>
      <c r="K468" s="128"/>
    </row>
    <row r="469" spans="1:11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374"/>
      <c r="K469" s="128"/>
    </row>
    <row r="470" spans="1:11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374"/>
      <c r="K470" s="128"/>
    </row>
    <row r="471" spans="1:11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374"/>
      <c r="K471" s="128"/>
    </row>
    <row r="472" spans="1:11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374"/>
      <c r="K472" s="128"/>
    </row>
    <row r="473" spans="1:11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374"/>
      <c r="K473" s="128"/>
    </row>
    <row r="474" spans="1:11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374"/>
      <c r="K474" s="128"/>
    </row>
    <row r="475" spans="1:11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374"/>
      <c r="K475" s="128"/>
    </row>
    <row r="476" spans="1:11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374"/>
      <c r="K476" s="128"/>
    </row>
    <row r="477" spans="1:11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374"/>
      <c r="K477" s="128"/>
    </row>
    <row r="478" spans="1:11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374"/>
      <c r="K478" s="128"/>
    </row>
    <row r="479" spans="1:11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374"/>
      <c r="K479" s="128"/>
    </row>
    <row r="480" spans="1:11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374"/>
      <c r="K480" s="128"/>
    </row>
    <row r="481" spans="1:11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374"/>
      <c r="K481" s="128"/>
    </row>
    <row r="482" spans="1:11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374"/>
      <c r="K482" s="128"/>
    </row>
    <row r="483" spans="1:11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374"/>
      <c r="K483" s="128"/>
    </row>
    <row r="484" spans="1:11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374"/>
      <c r="K484" s="128"/>
    </row>
    <row r="485" spans="1:11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374"/>
      <c r="K485" s="128"/>
    </row>
    <row r="486" spans="1:11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374"/>
      <c r="K486" s="128"/>
    </row>
    <row r="487" spans="1:11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374"/>
      <c r="K487" s="128"/>
    </row>
    <row r="488" spans="1:11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374"/>
      <c r="K488" s="128"/>
    </row>
    <row r="489" spans="1:11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374"/>
      <c r="K489" s="128"/>
    </row>
    <row r="490" spans="1:11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374"/>
      <c r="K490" s="128"/>
    </row>
    <row r="491" spans="1:11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374"/>
      <c r="K491" s="128"/>
    </row>
    <row r="492" spans="1:11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374"/>
      <c r="K492" s="128"/>
    </row>
    <row r="493" spans="1:11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374"/>
      <c r="K493" s="128"/>
    </row>
    <row r="494" spans="1:11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374"/>
      <c r="K494" s="128"/>
    </row>
    <row r="495" spans="1:11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374"/>
      <c r="K495" s="128"/>
    </row>
    <row r="496" spans="1:11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374"/>
      <c r="K496" s="128"/>
    </row>
    <row r="497" spans="1:11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374"/>
      <c r="K497" s="128"/>
    </row>
    <row r="498" spans="1:11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374"/>
      <c r="K498" s="128"/>
    </row>
    <row r="499" spans="1:11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374"/>
      <c r="K499" s="128"/>
    </row>
    <row r="500" spans="1:11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374"/>
      <c r="K500" s="128"/>
    </row>
    <row r="501" spans="1:11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374"/>
      <c r="K501" s="128"/>
    </row>
    <row r="502" spans="1:11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374"/>
      <c r="K502" s="128"/>
    </row>
    <row r="503" spans="1:11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374"/>
      <c r="K503" s="128"/>
    </row>
    <row r="504" spans="1:11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374"/>
      <c r="K504" s="128"/>
    </row>
    <row r="505" spans="1:11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374"/>
      <c r="K505" s="128"/>
    </row>
    <row r="506" spans="1:11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374"/>
      <c r="K506" s="128"/>
    </row>
    <row r="507" spans="1:11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374"/>
      <c r="K507" s="128"/>
    </row>
    <row r="508" spans="1:11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374"/>
      <c r="K508" s="128"/>
    </row>
    <row r="509" spans="1:11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374"/>
      <c r="K509" s="128"/>
    </row>
    <row r="510" spans="1:11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374"/>
      <c r="K510" s="128"/>
    </row>
    <row r="511" spans="1:11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374"/>
      <c r="K511" s="128"/>
    </row>
    <row r="512" spans="1:11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374"/>
      <c r="K512" s="128"/>
    </row>
    <row r="513" spans="1:11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374"/>
      <c r="K513" s="128"/>
    </row>
    <row r="514" spans="1:11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374"/>
      <c r="K514" s="128"/>
    </row>
    <row r="515" spans="1:11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374"/>
      <c r="K515" s="128"/>
    </row>
    <row r="516" spans="1:11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374"/>
      <c r="K516" s="128"/>
    </row>
    <row r="517" spans="1:11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374"/>
      <c r="K517" s="128"/>
    </row>
    <row r="518" spans="1:11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374"/>
      <c r="K518" s="128"/>
    </row>
    <row r="519" spans="1:11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374"/>
      <c r="K519" s="128"/>
    </row>
    <row r="520" spans="1:11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374"/>
      <c r="K520" s="128"/>
    </row>
    <row r="521" spans="1:11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374"/>
      <c r="K521" s="128"/>
    </row>
    <row r="522" spans="1:11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374"/>
      <c r="K522" s="128"/>
    </row>
    <row r="523" spans="1:11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374"/>
      <c r="K523" s="128"/>
    </row>
    <row r="524" spans="1:11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374"/>
      <c r="K524" s="128"/>
    </row>
    <row r="525" spans="1:11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374"/>
      <c r="K525" s="128"/>
    </row>
    <row r="526" spans="1:11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374"/>
      <c r="K526" s="128"/>
    </row>
    <row r="527" spans="1:11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374"/>
      <c r="K527" s="128"/>
    </row>
    <row r="528" spans="1:11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374"/>
      <c r="K528" s="128"/>
    </row>
    <row r="529" spans="1:11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374"/>
      <c r="K529" s="128"/>
    </row>
    <row r="530" spans="1:11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374"/>
      <c r="K530" s="128"/>
    </row>
    <row r="531" spans="1:11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374"/>
      <c r="K531" s="128"/>
    </row>
    <row r="532" spans="1:11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374"/>
      <c r="K532" s="128"/>
    </row>
    <row r="533" spans="1:11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374"/>
      <c r="K533" s="128"/>
    </row>
    <row r="534" spans="1:11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374"/>
      <c r="K534" s="128"/>
    </row>
    <row r="535" spans="1:11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374"/>
      <c r="K535" s="128"/>
    </row>
    <row r="536" spans="1:11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374"/>
      <c r="K536" s="128"/>
    </row>
    <row r="537" spans="1:11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374"/>
      <c r="K537" s="128"/>
    </row>
    <row r="538" spans="1:11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374"/>
      <c r="K538" s="128"/>
    </row>
    <row r="539" spans="1:11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374"/>
      <c r="K539" s="128"/>
    </row>
    <row r="540" spans="1:11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374"/>
      <c r="K540" s="128"/>
    </row>
    <row r="541" spans="1:11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374"/>
      <c r="K541" s="128"/>
    </row>
    <row r="542" spans="1:11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374"/>
      <c r="K542" s="128"/>
    </row>
    <row r="543" spans="1:11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374"/>
      <c r="K543" s="128"/>
    </row>
    <row r="544" spans="1:11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374"/>
      <c r="K544" s="128"/>
    </row>
    <row r="545" spans="1:11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374"/>
      <c r="K545" s="128"/>
    </row>
    <row r="546" spans="1:11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374"/>
      <c r="K546" s="128"/>
    </row>
    <row r="547" spans="1:11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374"/>
      <c r="K547" s="128"/>
    </row>
    <row r="548" spans="1:11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374"/>
      <c r="K548" s="128"/>
    </row>
    <row r="549" spans="1:11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374"/>
      <c r="K549" s="128"/>
    </row>
    <row r="550" spans="1:11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374"/>
      <c r="K550" s="128"/>
    </row>
    <row r="551" spans="1:11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374"/>
      <c r="K551" s="128"/>
    </row>
    <row r="552" spans="1:11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374"/>
      <c r="K552" s="128"/>
    </row>
    <row r="553" spans="1:11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374"/>
      <c r="K553" s="128"/>
    </row>
    <row r="554" spans="1:11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374"/>
      <c r="K554" s="128"/>
    </row>
    <row r="555" spans="1:11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374"/>
      <c r="K555" s="128"/>
    </row>
    <row r="556" spans="1:11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374"/>
      <c r="K556" s="128"/>
    </row>
    <row r="557" spans="1:11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374"/>
      <c r="K557" s="128"/>
    </row>
    <row r="558" spans="1:11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374"/>
      <c r="K558" s="128"/>
    </row>
    <row r="559" spans="1:11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374"/>
      <c r="K559" s="128"/>
    </row>
    <row r="560" spans="1:11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374"/>
      <c r="K560" s="128"/>
    </row>
    <row r="561" spans="1:11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374"/>
      <c r="K561" s="128"/>
    </row>
    <row r="562" spans="1:11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374"/>
      <c r="K562" s="128"/>
    </row>
    <row r="563" spans="1:11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374"/>
      <c r="K563" s="128"/>
    </row>
    <row r="564" spans="1:11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374"/>
      <c r="K564" s="128"/>
    </row>
    <row r="565" spans="1:11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374"/>
      <c r="K565" s="128"/>
    </row>
    <row r="566" spans="1:11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374"/>
      <c r="K566" s="128"/>
    </row>
    <row r="567" spans="1:11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374"/>
      <c r="K567" s="128"/>
    </row>
    <row r="568" spans="1:11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374"/>
      <c r="K568" s="128"/>
    </row>
    <row r="569" spans="1:11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374"/>
      <c r="K569" s="128"/>
    </row>
    <row r="570" spans="1:11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374"/>
      <c r="K570" s="128"/>
    </row>
    <row r="571" spans="1:11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374"/>
      <c r="K571" s="128"/>
    </row>
    <row r="572" spans="1:11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374"/>
      <c r="K572" s="128"/>
    </row>
    <row r="573" spans="1:11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374"/>
      <c r="K573" s="128"/>
    </row>
    <row r="574" spans="1:11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374"/>
      <c r="K574" s="128"/>
    </row>
  </sheetData>
  <mergeCells count="10">
    <mergeCell ref="F1:J1"/>
    <mergeCell ref="J4:J5"/>
    <mergeCell ref="A4:A5"/>
    <mergeCell ref="B4:B5"/>
    <mergeCell ref="C4:C5"/>
    <mergeCell ref="D4:D5"/>
    <mergeCell ref="A2:J2"/>
    <mergeCell ref="A3:J3"/>
    <mergeCell ref="E4:E5"/>
    <mergeCell ref="F4:I4"/>
  </mergeCells>
  <pageMargins left="0.55000000000000004" right="0.28999999999999998" top="0.35433070866141736" bottom="0.35433070866141736" header="0" footer="0"/>
  <pageSetup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984"/>
  <sheetViews>
    <sheetView zoomScaleNormal="100" workbookViewId="0">
      <pane ySplit="8" topLeftCell="A48" activePane="bottomLeft" state="frozen"/>
      <selection pane="bottomLeft" activeCell="B7" sqref="B7:B8"/>
    </sheetView>
  </sheetViews>
  <sheetFormatPr defaultColWidth="11.21875" defaultRowHeight="15" customHeight="1" x14ac:dyDescent="0.25"/>
  <cols>
    <col min="1" max="1" width="7.21875" style="330" customWidth="1"/>
    <col min="2" max="2" width="30.5546875" style="330" customWidth="1"/>
    <col min="3" max="3" width="10.21875" style="330" customWidth="1"/>
    <col min="4" max="5" width="16.77734375" style="330" customWidth="1"/>
    <col min="6" max="9" width="12.6640625" style="330" customWidth="1"/>
    <col min="10" max="10" width="8.88671875" style="125" customWidth="1"/>
    <col min="11" max="11" width="21.21875" style="125" customWidth="1"/>
    <col min="12" max="14" width="8.88671875" style="125" customWidth="1"/>
    <col min="15" max="16384" width="11.21875" style="125"/>
  </cols>
  <sheetData>
    <row r="1" spans="1:18" ht="15" customHeight="1" x14ac:dyDescent="0.25">
      <c r="H1" s="409"/>
      <c r="I1" s="409"/>
    </row>
    <row r="2" spans="1:18" ht="16.5" x14ac:dyDescent="0.25">
      <c r="A2" s="410"/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  <c r="N2" s="127"/>
    </row>
    <row r="3" spans="1:18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18" ht="16.5" x14ac:dyDescent="0.25">
      <c r="A4" s="405" t="s">
        <v>231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18" ht="16.5" x14ac:dyDescent="0.25">
      <c r="A5" s="417" t="str">
        <f>'ĐĂK NEANG(8)'!A5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18" ht="16.5" x14ac:dyDescent="0.25">
      <c r="A6" s="376"/>
      <c r="B6" s="376"/>
      <c r="C6" s="376"/>
      <c r="D6" s="377"/>
      <c r="E6" s="377"/>
      <c r="F6" s="377"/>
      <c r="G6" s="377"/>
      <c r="H6" s="377"/>
      <c r="I6" s="377"/>
      <c r="J6" s="127"/>
      <c r="K6" s="127"/>
      <c r="L6" s="127"/>
      <c r="M6" s="127"/>
      <c r="N6" s="127"/>
    </row>
    <row r="7" spans="1:18" ht="33.6" customHeight="1" x14ac:dyDescent="0.25">
      <c r="A7" s="412" t="s">
        <v>10</v>
      </c>
      <c r="B7" s="412" t="s">
        <v>1</v>
      </c>
      <c r="C7" s="412" t="s">
        <v>11</v>
      </c>
      <c r="D7" s="414" t="s">
        <v>222</v>
      </c>
      <c r="E7" s="416" t="s">
        <v>256</v>
      </c>
      <c r="F7" s="418"/>
      <c r="G7" s="418"/>
      <c r="H7" s="419"/>
      <c r="I7" s="407" t="s">
        <v>259</v>
      </c>
      <c r="J7" s="127"/>
      <c r="K7" s="153" t="s">
        <v>215</v>
      </c>
      <c r="L7" s="174">
        <v>117</v>
      </c>
      <c r="M7" s="127"/>
      <c r="N7" s="127"/>
    </row>
    <row r="8" spans="1:18" ht="33.6" customHeight="1" x14ac:dyDescent="0.25">
      <c r="A8" s="413"/>
      <c r="B8" s="413"/>
      <c r="C8" s="413"/>
      <c r="D8" s="415"/>
      <c r="E8" s="331" t="s">
        <v>257</v>
      </c>
      <c r="F8" s="331" t="s">
        <v>261</v>
      </c>
      <c r="G8" s="331" t="s">
        <v>263</v>
      </c>
      <c r="H8" s="331" t="s">
        <v>258</v>
      </c>
      <c r="I8" s="423"/>
      <c r="J8" s="127"/>
      <c r="K8" s="153" t="s">
        <v>216</v>
      </c>
      <c r="L8" s="174">
        <v>850</v>
      </c>
      <c r="M8" s="127"/>
      <c r="N8" s="127"/>
    </row>
    <row r="9" spans="1:18" s="131" customFormat="1" ht="33" customHeight="1" x14ac:dyDescent="0.25">
      <c r="A9" s="3" t="s">
        <v>12</v>
      </c>
      <c r="B9" s="335" t="s">
        <v>13</v>
      </c>
      <c r="C9" s="3" t="s">
        <v>6</v>
      </c>
      <c r="D9" s="291">
        <f>D13+D28+D37+D43+D46+D67</f>
        <v>185.26</v>
      </c>
      <c r="E9" s="291">
        <f t="shared" ref="E9:G9" si="0">E13+E28+E37+E43+E46+E67</f>
        <v>191.57999999999998</v>
      </c>
      <c r="F9" s="291">
        <f t="shared" si="0"/>
        <v>55.1</v>
      </c>
      <c r="G9" s="291">
        <f t="shared" si="0"/>
        <v>55.1</v>
      </c>
      <c r="H9" s="291">
        <f>F9/E9*100</f>
        <v>28.760830984445146</v>
      </c>
      <c r="I9" s="291"/>
      <c r="J9" s="213"/>
      <c r="K9" s="213"/>
      <c r="L9" s="213"/>
      <c r="M9" s="213"/>
      <c r="N9" s="213"/>
    </row>
    <row r="10" spans="1:18" s="131" customFormat="1" ht="33" customHeight="1" x14ac:dyDescent="0.25">
      <c r="A10" s="3">
        <v>1</v>
      </c>
      <c r="B10" s="335" t="s">
        <v>14</v>
      </c>
      <c r="C10" s="3" t="s">
        <v>6</v>
      </c>
      <c r="D10" s="291">
        <f>D13+D28</f>
        <v>1</v>
      </c>
      <c r="E10" s="291">
        <f t="shared" ref="E10:G10" si="1">E13+E28</f>
        <v>27.1</v>
      </c>
      <c r="F10" s="291">
        <f t="shared" si="1"/>
        <v>2.08</v>
      </c>
      <c r="G10" s="291">
        <f t="shared" si="1"/>
        <v>2.08</v>
      </c>
      <c r="H10" s="291">
        <f t="shared" ref="H10:H73" si="2">F10/E10*100</f>
        <v>7.6752767527675276</v>
      </c>
      <c r="I10" s="291"/>
      <c r="J10" s="213"/>
      <c r="K10" s="213"/>
      <c r="L10" s="213"/>
      <c r="M10" s="213"/>
      <c r="N10" s="213"/>
    </row>
    <row r="11" spans="1:18" s="131" customFormat="1" ht="33" customHeight="1" x14ac:dyDescent="0.25">
      <c r="A11" s="3"/>
      <c r="B11" s="334" t="s">
        <v>16</v>
      </c>
      <c r="C11" s="3" t="s">
        <v>17</v>
      </c>
      <c r="D11" s="291">
        <f>D12+D30</f>
        <v>3.6850000000000001</v>
      </c>
      <c r="E11" s="291">
        <f t="shared" ref="E11:G11" si="3">E12+E30</f>
        <v>72.424350000000004</v>
      </c>
      <c r="F11" s="291">
        <f t="shared" si="3"/>
        <v>0</v>
      </c>
      <c r="G11" s="291">
        <f t="shared" si="3"/>
        <v>0</v>
      </c>
      <c r="H11" s="291">
        <f t="shared" si="2"/>
        <v>0</v>
      </c>
      <c r="I11" s="291"/>
      <c r="J11" s="213"/>
      <c r="K11" s="213"/>
      <c r="L11" s="213"/>
      <c r="M11" s="213"/>
      <c r="N11" s="213"/>
    </row>
    <row r="12" spans="1:18" s="131" customFormat="1" ht="33" customHeight="1" x14ac:dyDescent="0.25">
      <c r="A12" s="3"/>
      <c r="B12" s="335" t="s">
        <v>221</v>
      </c>
      <c r="C12" s="3" t="s">
        <v>17</v>
      </c>
      <c r="D12" s="291">
        <f>D15</f>
        <v>0</v>
      </c>
      <c r="E12" s="291">
        <f t="shared" ref="E12:G12" si="4">E15</f>
        <v>68.734350000000006</v>
      </c>
      <c r="F12" s="291">
        <f t="shared" si="4"/>
        <v>0</v>
      </c>
      <c r="G12" s="291">
        <f t="shared" si="4"/>
        <v>0</v>
      </c>
      <c r="H12" s="291">
        <f t="shared" si="2"/>
        <v>0</v>
      </c>
      <c r="I12" s="291"/>
      <c r="J12" s="213"/>
      <c r="K12" s="213"/>
      <c r="L12" s="213"/>
      <c r="M12" s="213"/>
      <c r="N12" s="213"/>
    </row>
    <row r="13" spans="1:18" ht="33" customHeight="1" x14ac:dyDescent="0.25">
      <c r="A13" s="3" t="s">
        <v>5</v>
      </c>
      <c r="B13" s="335" t="s">
        <v>19</v>
      </c>
      <c r="C13" s="3" t="s">
        <v>6</v>
      </c>
      <c r="D13" s="291">
        <f>D16+D19</f>
        <v>0</v>
      </c>
      <c r="E13" s="291">
        <f t="shared" ref="E13:G13" si="5">E16+E19</f>
        <v>26.1</v>
      </c>
      <c r="F13" s="291">
        <f t="shared" si="5"/>
        <v>2.08</v>
      </c>
      <c r="G13" s="291">
        <f t="shared" si="5"/>
        <v>2.08</v>
      </c>
      <c r="H13" s="291">
        <f t="shared" si="2"/>
        <v>7.969348659003832</v>
      </c>
      <c r="I13" s="291"/>
      <c r="J13" s="127"/>
      <c r="K13" s="121"/>
      <c r="L13" s="121"/>
      <c r="M13" s="121"/>
      <c r="N13" s="121"/>
    </row>
    <row r="14" spans="1:18" ht="33" customHeight="1" x14ac:dyDescent="0.25">
      <c r="A14" s="3"/>
      <c r="B14" s="337" t="s">
        <v>218</v>
      </c>
      <c r="C14" s="5" t="s">
        <v>219</v>
      </c>
      <c r="D14" s="296">
        <f>(D17+D20)/2</f>
        <v>30.125</v>
      </c>
      <c r="E14" s="296">
        <f t="shared" ref="E14:G14" si="6">(E17+E20)/2</f>
        <v>26.335000000000001</v>
      </c>
      <c r="F14" s="296">
        <f t="shared" si="6"/>
        <v>0</v>
      </c>
      <c r="G14" s="296">
        <f t="shared" si="6"/>
        <v>0</v>
      </c>
      <c r="H14" s="291">
        <f t="shared" si="2"/>
        <v>0</v>
      </c>
      <c r="I14" s="296"/>
      <c r="J14" s="127"/>
      <c r="K14" s="127"/>
      <c r="L14" s="127"/>
      <c r="M14" s="127"/>
      <c r="N14" s="127"/>
    </row>
    <row r="15" spans="1:18" ht="33" customHeight="1" x14ac:dyDescent="0.25">
      <c r="A15" s="3"/>
      <c r="B15" s="337" t="s">
        <v>220</v>
      </c>
      <c r="C15" s="5" t="s">
        <v>17</v>
      </c>
      <c r="D15" s="296">
        <f>D13*D14/10</f>
        <v>0</v>
      </c>
      <c r="E15" s="296">
        <f t="shared" ref="E15:G15" si="7">E13*E14/10</f>
        <v>68.734350000000006</v>
      </c>
      <c r="F15" s="296">
        <f t="shared" si="7"/>
        <v>0</v>
      </c>
      <c r="G15" s="296">
        <f t="shared" si="7"/>
        <v>0</v>
      </c>
      <c r="H15" s="291">
        <f t="shared" si="2"/>
        <v>0</v>
      </c>
      <c r="I15" s="296"/>
      <c r="J15" s="127"/>
      <c r="K15" s="127"/>
      <c r="L15" s="127"/>
      <c r="M15" s="127"/>
      <c r="N15" s="127"/>
    </row>
    <row r="16" spans="1:18" ht="33" customHeight="1" x14ac:dyDescent="0.25">
      <c r="A16" s="3" t="s">
        <v>20</v>
      </c>
      <c r="B16" s="335" t="s">
        <v>21</v>
      </c>
      <c r="C16" s="3" t="s">
        <v>6</v>
      </c>
      <c r="D16" s="291"/>
      <c r="E16" s="291">
        <v>2.08</v>
      </c>
      <c r="F16" s="291">
        <v>2.08</v>
      </c>
      <c r="G16" s="291">
        <v>2.08</v>
      </c>
      <c r="H16" s="291">
        <f t="shared" si="2"/>
        <v>100</v>
      </c>
      <c r="I16" s="291"/>
      <c r="J16" s="214"/>
      <c r="K16" s="214"/>
      <c r="L16" s="214"/>
      <c r="M16" s="214"/>
      <c r="N16" s="214"/>
      <c r="O16" s="135"/>
      <c r="P16" s="135"/>
      <c r="Q16" s="135"/>
      <c r="R16" s="135"/>
    </row>
    <row r="17" spans="1:21" ht="33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>
        <v>0</v>
      </c>
      <c r="G17" s="296">
        <v>0</v>
      </c>
      <c r="H17" s="291">
        <f t="shared" si="2"/>
        <v>0</v>
      </c>
      <c r="I17" s="296"/>
      <c r="J17" s="214"/>
      <c r="K17" s="214"/>
      <c r="L17" s="214"/>
      <c r="M17" s="214"/>
      <c r="N17" s="214"/>
      <c r="O17" s="135"/>
      <c r="P17" s="135"/>
      <c r="Q17" s="135"/>
      <c r="R17" s="135"/>
    </row>
    <row r="18" spans="1:21" ht="33" customHeight="1" x14ac:dyDescent="0.25">
      <c r="A18" s="3"/>
      <c r="B18" s="337" t="s">
        <v>220</v>
      </c>
      <c r="C18" s="5" t="s">
        <v>17</v>
      </c>
      <c r="D18" s="296">
        <f>D16*D17/10</f>
        <v>0</v>
      </c>
      <c r="E18" s="296">
        <f t="shared" ref="E18:G18" si="8">E16*E17/10</f>
        <v>6.9680000000000009</v>
      </c>
      <c r="F18" s="296">
        <f t="shared" si="8"/>
        <v>0</v>
      </c>
      <c r="G18" s="296">
        <f t="shared" si="8"/>
        <v>0</v>
      </c>
      <c r="H18" s="291">
        <f t="shared" si="2"/>
        <v>0</v>
      </c>
      <c r="I18" s="296"/>
      <c r="J18" s="214"/>
      <c r="K18" s="214"/>
      <c r="L18" s="214"/>
      <c r="M18" s="214"/>
      <c r="N18" s="214"/>
      <c r="O18" s="135"/>
      <c r="P18" s="135"/>
      <c r="Q18" s="135"/>
      <c r="R18" s="135"/>
    </row>
    <row r="19" spans="1:21" ht="33" customHeight="1" x14ac:dyDescent="0.25">
      <c r="A19" s="379" t="s">
        <v>22</v>
      </c>
      <c r="B19" s="380" t="s">
        <v>23</v>
      </c>
      <c r="C19" s="379" t="s">
        <v>6</v>
      </c>
      <c r="D19" s="291">
        <f t="shared" ref="D19:G19" si="9">D22+D25</f>
        <v>0</v>
      </c>
      <c r="E19" s="291">
        <f t="shared" si="9"/>
        <v>24.02</v>
      </c>
      <c r="F19" s="291">
        <f t="shared" si="9"/>
        <v>0</v>
      </c>
      <c r="G19" s="291">
        <f t="shared" si="9"/>
        <v>0</v>
      </c>
      <c r="H19" s="291">
        <f t="shared" si="2"/>
        <v>0</v>
      </c>
      <c r="I19" s="291"/>
      <c r="J19" s="128"/>
      <c r="K19" s="128"/>
      <c r="L19" s="128"/>
      <c r="M19" s="128"/>
      <c r="N19" s="128"/>
      <c r="O19" s="126"/>
      <c r="P19" s="133"/>
      <c r="Q19" s="133"/>
      <c r="R19" s="133"/>
      <c r="S19" s="133"/>
      <c r="T19" s="133"/>
      <c r="U19" s="133"/>
    </row>
    <row r="20" spans="1:21" ht="33" customHeight="1" x14ac:dyDescent="0.25">
      <c r="A20" s="379"/>
      <c r="B20" s="337" t="s">
        <v>218</v>
      </c>
      <c r="C20" s="5" t="s">
        <v>219</v>
      </c>
      <c r="D20" s="296">
        <f>(D23+D26)/2</f>
        <v>26.75</v>
      </c>
      <c r="E20" s="296">
        <f t="shared" ref="E20:G20" si="10">(E23+E26)/2</f>
        <v>19.170000000000002</v>
      </c>
      <c r="F20" s="296">
        <f t="shared" si="10"/>
        <v>0</v>
      </c>
      <c r="G20" s="296">
        <f t="shared" si="10"/>
        <v>0</v>
      </c>
      <c r="H20" s="291">
        <f t="shared" si="2"/>
        <v>0</v>
      </c>
      <c r="I20" s="296"/>
      <c r="J20" s="128"/>
      <c r="K20" s="128"/>
      <c r="L20" s="128"/>
      <c r="M20" s="128"/>
      <c r="N20" s="128"/>
      <c r="O20" s="126"/>
      <c r="P20" s="133"/>
      <c r="Q20" s="133"/>
      <c r="R20" s="133"/>
      <c r="S20" s="133"/>
      <c r="T20" s="133"/>
      <c r="U20" s="133"/>
    </row>
    <row r="21" spans="1:21" ht="33" customHeight="1" x14ac:dyDescent="0.25">
      <c r="A21" s="379"/>
      <c r="B21" s="337" t="s">
        <v>220</v>
      </c>
      <c r="C21" s="5" t="s">
        <v>17</v>
      </c>
      <c r="D21" s="296">
        <f>D19*D20/10</f>
        <v>0</v>
      </c>
      <c r="E21" s="296">
        <f t="shared" ref="E21:G21" si="11">E19*E20/10</f>
        <v>46.046340000000001</v>
      </c>
      <c r="F21" s="296">
        <f t="shared" si="11"/>
        <v>0</v>
      </c>
      <c r="G21" s="296">
        <f t="shared" si="11"/>
        <v>0</v>
      </c>
      <c r="H21" s="291">
        <f t="shared" si="2"/>
        <v>0</v>
      </c>
      <c r="I21" s="296"/>
      <c r="J21" s="128"/>
      <c r="K21" s="128"/>
      <c r="L21" s="128"/>
      <c r="M21" s="128"/>
      <c r="N21" s="128"/>
      <c r="O21" s="126"/>
      <c r="P21" s="133"/>
      <c r="Q21" s="133"/>
      <c r="R21" s="133"/>
      <c r="S21" s="133"/>
      <c r="T21" s="133"/>
      <c r="U21" s="133"/>
    </row>
    <row r="22" spans="1:21" ht="33" customHeight="1" x14ac:dyDescent="0.25">
      <c r="A22" s="379" t="s">
        <v>24</v>
      </c>
      <c r="B22" s="380" t="s">
        <v>25</v>
      </c>
      <c r="C22" s="379" t="s">
        <v>6</v>
      </c>
      <c r="D22" s="313"/>
      <c r="E22" s="313">
        <v>24.02</v>
      </c>
      <c r="F22" s="296">
        <v>0</v>
      </c>
      <c r="G22" s="313">
        <v>0</v>
      </c>
      <c r="H22" s="291">
        <f t="shared" si="2"/>
        <v>0</v>
      </c>
      <c r="I22" s="296"/>
      <c r="J22" s="121"/>
      <c r="K22" s="121"/>
      <c r="L22" s="121"/>
      <c r="M22" s="121"/>
      <c r="N22" s="121"/>
      <c r="O22" s="122"/>
      <c r="P22" s="146"/>
      <c r="Q22" s="146"/>
      <c r="R22" s="146"/>
      <c r="S22" s="146"/>
      <c r="T22" s="146"/>
      <c r="U22" s="133"/>
    </row>
    <row r="23" spans="1:21" ht="33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/>
      <c r="G23" s="296"/>
      <c r="H23" s="291">
        <f t="shared" si="2"/>
        <v>0</v>
      </c>
      <c r="I23" s="296"/>
      <c r="J23" s="121"/>
      <c r="K23" s="121"/>
      <c r="L23" s="121"/>
      <c r="M23" s="121"/>
      <c r="N23" s="121"/>
      <c r="O23" s="122"/>
      <c r="P23" s="146"/>
      <c r="Q23" s="146"/>
      <c r="R23" s="146"/>
      <c r="S23" s="146"/>
      <c r="T23" s="146"/>
      <c r="U23" s="133"/>
    </row>
    <row r="24" spans="1:21" ht="33" customHeight="1" x14ac:dyDescent="0.25">
      <c r="A24" s="379"/>
      <c r="B24" s="337" t="s">
        <v>220</v>
      </c>
      <c r="C24" s="5" t="s">
        <v>17</v>
      </c>
      <c r="D24" s="291"/>
      <c r="E24" s="296">
        <f>E22*E23/10</f>
        <v>92.092680000000001</v>
      </c>
      <c r="F24" s="296">
        <f t="shared" ref="F24:G24" si="12">F22*F23/10</f>
        <v>0</v>
      </c>
      <c r="G24" s="296">
        <f t="shared" si="12"/>
        <v>0</v>
      </c>
      <c r="H24" s="291">
        <f t="shared" si="2"/>
        <v>0</v>
      </c>
      <c r="I24" s="296"/>
      <c r="J24" s="121"/>
      <c r="K24" s="212"/>
      <c r="L24" s="121"/>
      <c r="M24" s="121"/>
      <c r="N24" s="121"/>
      <c r="O24" s="122"/>
      <c r="P24" s="146"/>
      <c r="Q24" s="146"/>
      <c r="R24" s="146"/>
      <c r="S24" s="146"/>
      <c r="T24" s="146"/>
      <c r="U24" s="133"/>
    </row>
    <row r="25" spans="1:21" ht="33" customHeight="1" x14ac:dyDescent="0.25">
      <c r="A25" s="379" t="s">
        <v>24</v>
      </c>
      <c r="B25" s="380" t="s">
        <v>26</v>
      </c>
      <c r="C25" s="379" t="s">
        <v>6</v>
      </c>
      <c r="D25" s="291"/>
      <c r="E25" s="291"/>
      <c r="F25" s="296">
        <v>0</v>
      </c>
      <c r="G25" s="296">
        <v>0</v>
      </c>
      <c r="H25" s="291"/>
      <c r="I25" s="296"/>
      <c r="J25" s="124"/>
      <c r="K25" s="124"/>
      <c r="L25" s="124"/>
      <c r="M25" s="124"/>
      <c r="N25" s="124"/>
      <c r="O25" s="123"/>
      <c r="P25" s="123"/>
      <c r="Q25" s="123"/>
      <c r="R25" s="123"/>
      <c r="S25" s="123"/>
      <c r="T25" s="123"/>
    </row>
    <row r="26" spans="1:21" ht="33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0</v>
      </c>
      <c r="F26" s="296"/>
      <c r="G26" s="296"/>
      <c r="H26" s="291"/>
      <c r="I26" s="296"/>
      <c r="J26" s="124"/>
      <c r="K26" s="124"/>
      <c r="L26" s="124"/>
      <c r="M26" s="124"/>
      <c r="N26" s="124"/>
      <c r="O26" s="123"/>
      <c r="P26" s="123"/>
      <c r="Q26" s="123"/>
      <c r="R26" s="123"/>
      <c r="S26" s="123"/>
      <c r="T26" s="123"/>
    </row>
    <row r="27" spans="1:21" ht="33" customHeight="1" x14ac:dyDescent="0.25">
      <c r="A27" s="379"/>
      <c r="B27" s="337" t="s">
        <v>220</v>
      </c>
      <c r="C27" s="5" t="s">
        <v>17</v>
      </c>
      <c r="D27" s="291"/>
      <c r="E27" s="291"/>
      <c r="F27" s="296"/>
      <c r="G27" s="296"/>
      <c r="H27" s="291"/>
      <c r="I27" s="296"/>
      <c r="J27" s="124"/>
      <c r="K27" s="124"/>
      <c r="L27" s="124"/>
      <c r="M27" s="124"/>
      <c r="N27" s="124"/>
      <c r="O27" s="123"/>
      <c r="P27" s="123"/>
      <c r="Q27" s="123"/>
      <c r="R27" s="123"/>
      <c r="S27" s="123"/>
      <c r="T27" s="123"/>
    </row>
    <row r="28" spans="1:21" ht="33" customHeight="1" x14ac:dyDescent="0.25">
      <c r="A28" s="3" t="s">
        <v>7</v>
      </c>
      <c r="B28" s="335" t="s">
        <v>27</v>
      </c>
      <c r="C28" s="3" t="s">
        <v>6</v>
      </c>
      <c r="D28" s="291">
        <f t="shared" ref="D28:G28" si="13">D31+D34</f>
        <v>1</v>
      </c>
      <c r="E28" s="291">
        <f t="shared" si="13"/>
        <v>1</v>
      </c>
      <c r="F28" s="291">
        <f t="shared" si="13"/>
        <v>0</v>
      </c>
      <c r="G28" s="291">
        <f t="shared" si="13"/>
        <v>0</v>
      </c>
      <c r="H28" s="291">
        <f t="shared" si="2"/>
        <v>0</v>
      </c>
      <c r="I28" s="291"/>
      <c r="J28" s="124"/>
      <c r="K28" s="124"/>
      <c r="L28" s="124"/>
      <c r="M28" s="124"/>
      <c r="N28" s="124"/>
      <c r="O28" s="123"/>
      <c r="P28" s="123"/>
      <c r="Q28" s="123"/>
      <c r="R28" s="123"/>
      <c r="S28" s="123"/>
      <c r="T28" s="123"/>
    </row>
    <row r="29" spans="1:21" ht="33" customHeight="1" x14ac:dyDescent="0.25">
      <c r="A29" s="3"/>
      <c r="B29" s="337" t="s">
        <v>218</v>
      </c>
      <c r="C29" s="5" t="s">
        <v>219</v>
      </c>
      <c r="D29" s="296">
        <f>D35</f>
        <v>36.85</v>
      </c>
      <c r="E29" s="296">
        <f t="shared" ref="E29:G29" si="14">E35</f>
        <v>36.9</v>
      </c>
      <c r="F29" s="296">
        <f t="shared" si="14"/>
        <v>0</v>
      </c>
      <c r="G29" s="296">
        <f t="shared" si="14"/>
        <v>0</v>
      </c>
      <c r="H29" s="291">
        <f t="shared" si="2"/>
        <v>0</v>
      </c>
      <c r="I29" s="296"/>
      <c r="J29" s="124"/>
      <c r="K29" s="124"/>
      <c r="L29" s="124"/>
      <c r="M29" s="124"/>
      <c r="N29" s="124"/>
      <c r="O29" s="123"/>
      <c r="P29" s="123"/>
      <c r="Q29" s="123"/>
      <c r="R29" s="123"/>
      <c r="S29" s="123"/>
      <c r="T29" s="123"/>
    </row>
    <row r="30" spans="1:21" ht="33" customHeight="1" x14ac:dyDescent="0.25">
      <c r="A30" s="3"/>
      <c r="B30" s="337" t="s">
        <v>220</v>
      </c>
      <c r="C30" s="5" t="s">
        <v>17</v>
      </c>
      <c r="D30" s="296">
        <f>D28*D29/10</f>
        <v>3.6850000000000001</v>
      </c>
      <c r="E30" s="296">
        <f t="shared" ref="E30:G30" si="15">E28*E29/10</f>
        <v>3.69</v>
      </c>
      <c r="F30" s="296">
        <f t="shared" si="15"/>
        <v>0</v>
      </c>
      <c r="G30" s="296">
        <f t="shared" si="15"/>
        <v>0</v>
      </c>
      <c r="H30" s="291">
        <f t="shared" si="2"/>
        <v>0</v>
      </c>
      <c r="I30" s="296"/>
      <c r="J30" s="124"/>
      <c r="K30" s="124"/>
      <c r="L30" s="124"/>
      <c r="M30" s="124"/>
      <c r="N30" s="124"/>
      <c r="O30" s="123"/>
      <c r="P30" s="123"/>
      <c r="Q30" s="123"/>
      <c r="R30" s="123"/>
      <c r="S30" s="123"/>
      <c r="T30" s="123"/>
    </row>
    <row r="31" spans="1:21" ht="33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/>
      <c r="G31" s="291"/>
      <c r="H31" s="291"/>
      <c r="I31" s="291"/>
      <c r="J31" s="124"/>
      <c r="K31" s="114"/>
      <c r="L31" s="169"/>
      <c r="M31" s="169"/>
      <c r="N31" s="169"/>
      <c r="O31" s="169"/>
      <c r="P31" s="123"/>
      <c r="Q31" s="123"/>
      <c r="R31" s="123"/>
      <c r="S31" s="123"/>
      <c r="T31" s="123"/>
    </row>
    <row r="32" spans="1:21" ht="33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1"/>
      <c r="H32" s="291"/>
      <c r="I32" s="291"/>
      <c r="J32" s="124"/>
      <c r="K32" s="114"/>
      <c r="L32" s="169"/>
      <c r="M32" s="169"/>
      <c r="N32" s="169"/>
      <c r="O32" s="169"/>
      <c r="P32" s="123"/>
      <c r="Q32" s="123"/>
      <c r="R32" s="123"/>
      <c r="S32" s="123"/>
      <c r="T32" s="123"/>
    </row>
    <row r="33" spans="1:23" ht="33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1"/>
      <c r="H33" s="291"/>
      <c r="I33" s="291"/>
      <c r="J33" s="124"/>
      <c r="K33" s="114"/>
      <c r="L33" s="169"/>
      <c r="M33" s="169"/>
      <c r="N33" s="169"/>
      <c r="O33" s="169"/>
      <c r="P33" s="123"/>
      <c r="Q33" s="123"/>
      <c r="R33" s="123"/>
      <c r="S33" s="123"/>
      <c r="T33" s="123"/>
    </row>
    <row r="34" spans="1:23" ht="33" customHeight="1" x14ac:dyDescent="0.25">
      <c r="A34" s="379" t="s">
        <v>22</v>
      </c>
      <c r="B34" s="380" t="s">
        <v>29</v>
      </c>
      <c r="C34" s="379" t="s">
        <v>6</v>
      </c>
      <c r="D34" s="313">
        <v>1</v>
      </c>
      <c r="E34" s="313">
        <v>1</v>
      </c>
      <c r="F34" s="313"/>
      <c r="G34" s="313">
        <v>0</v>
      </c>
      <c r="H34" s="291">
        <f t="shared" si="2"/>
        <v>0</v>
      </c>
      <c r="I34" s="291"/>
      <c r="J34" s="124"/>
      <c r="K34" s="137"/>
      <c r="L34" s="137"/>
      <c r="M34" s="137"/>
      <c r="N34" s="137"/>
      <c r="O34" s="137"/>
      <c r="P34" s="123"/>
      <c r="Q34" s="123"/>
      <c r="R34" s="123"/>
      <c r="S34" s="123"/>
      <c r="T34" s="123"/>
    </row>
    <row r="35" spans="1:23" ht="33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/>
      <c r="G35" s="296"/>
      <c r="H35" s="291">
        <f t="shared" si="2"/>
        <v>0</v>
      </c>
      <c r="I35" s="296"/>
      <c r="J35" s="124"/>
      <c r="K35" s="137"/>
      <c r="L35" s="137"/>
      <c r="M35" s="137"/>
      <c r="N35" s="137"/>
      <c r="O35" s="137"/>
      <c r="P35" s="123"/>
      <c r="Q35" s="123"/>
      <c r="R35" s="123"/>
      <c r="S35" s="123"/>
      <c r="T35" s="123"/>
    </row>
    <row r="36" spans="1:23" ht="33" customHeight="1" x14ac:dyDescent="0.25">
      <c r="A36" s="379"/>
      <c r="B36" s="337" t="s">
        <v>220</v>
      </c>
      <c r="C36" s="5" t="s">
        <v>17</v>
      </c>
      <c r="D36" s="296">
        <f>D34*D35/10</f>
        <v>3.6850000000000001</v>
      </c>
      <c r="E36" s="296">
        <f t="shared" ref="E36:G36" si="16">E34*E35/10</f>
        <v>3.69</v>
      </c>
      <c r="F36" s="296">
        <f t="shared" si="16"/>
        <v>0</v>
      </c>
      <c r="G36" s="296">
        <f t="shared" si="16"/>
        <v>0</v>
      </c>
      <c r="H36" s="291">
        <f t="shared" si="2"/>
        <v>0</v>
      </c>
      <c r="I36" s="296"/>
      <c r="J36" s="124"/>
      <c r="K36" s="137"/>
      <c r="L36" s="137"/>
      <c r="M36" s="137"/>
      <c r="N36" s="137"/>
      <c r="O36" s="137"/>
      <c r="P36" s="123"/>
      <c r="Q36" s="123"/>
      <c r="R36" s="123"/>
      <c r="S36" s="123"/>
      <c r="T36" s="123"/>
    </row>
    <row r="37" spans="1:23" ht="33" customHeight="1" x14ac:dyDescent="0.25">
      <c r="A37" s="3">
        <v>2</v>
      </c>
      <c r="B37" s="335" t="s">
        <v>30</v>
      </c>
      <c r="C37" s="3" t="s">
        <v>6</v>
      </c>
      <c r="D37" s="291">
        <v>114</v>
      </c>
      <c r="E37" s="291">
        <v>99.37</v>
      </c>
      <c r="F37" s="291">
        <v>0</v>
      </c>
      <c r="G37" s="291">
        <v>0</v>
      </c>
      <c r="H37" s="291">
        <f t="shared" si="2"/>
        <v>0</v>
      </c>
      <c r="I37" s="291"/>
      <c r="J37" s="121"/>
      <c r="K37" s="116"/>
      <c r="L37" s="116"/>
      <c r="M37" s="116"/>
      <c r="N37" s="116"/>
      <c r="O37" s="116"/>
      <c r="P37" s="122"/>
      <c r="Q37" s="122"/>
      <c r="R37" s="122"/>
      <c r="S37" s="122"/>
      <c r="T37" s="122"/>
      <c r="U37" s="122"/>
      <c r="V37" s="122"/>
      <c r="W37" s="122"/>
    </row>
    <row r="38" spans="1:23" ht="33" customHeight="1" x14ac:dyDescent="0.25">
      <c r="A38" s="3"/>
      <c r="B38" s="337" t="s">
        <v>218</v>
      </c>
      <c r="C38" s="5" t="s">
        <v>219</v>
      </c>
      <c r="D38" s="296">
        <v>137.5</v>
      </c>
      <c r="E38" s="296">
        <v>140</v>
      </c>
      <c r="F38" s="296"/>
      <c r="G38" s="296"/>
      <c r="H38" s="291">
        <f t="shared" si="2"/>
        <v>0</v>
      </c>
      <c r="I38" s="296"/>
      <c r="J38" s="121"/>
      <c r="K38" s="116"/>
      <c r="L38" s="116"/>
      <c r="M38" s="116"/>
      <c r="N38" s="116"/>
      <c r="O38" s="116"/>
      <c r="P38" s="122"/>
      <c r="Q38" s="122"/>
      <c r="R38" s="122"/>
      <c r="S38" s="122"/>
      <c r="T38" s="122"/>
      <c r="U38" s="122"/>
      <c r="V38" s="122"/>
      <c r="W38" s="122"/>
    </row>
    <row r="39" spans="1:23" ht="33" customHeight="1" x14ac:dyDescent="0.25">
      <c r="A39" s="3"/>
      <c r="B39" s="337" t="s">
        <v>220</v>
      </c>
      <c r="C39" s="5" t="s">
        <v>17</v>
      </c>
      <c r="D39" s="296">
        <f>D37*D38/10</f>
        <v>1567.5</v>
      </c>
      <c r="E39" s="296">
        <f t="shared" ref="E39:G39" si="17">E37*E38/10</f>
        <v>1391.18</v>
      </c>
      <c r="F39" s="296">
        <f t="shared" si="17"/>
        <v>0</v>
      </c>
      <c r="G39" s="296">
        <f t="shared" si="17"/>
        <v>0</v>
      </c>
      <c r="H39" s="291">
        <f t="shared" si="2"/>
        <v>0</v>
      </c>
      <c r="I39" s="296"/>
      <c r="J39" s="121"/>
      <c r="K39" s="116"/>
      <c r="L39" s="116"/>
      <c r="M39" s="116"/>
      <c r="N39" s="116"/>
      <c r="O39" s="116"/>
      <c r="P39" s="122"/>
      <c r="Q39" s="122"/>
      <c r="R39" s="122"/>
      <c r="S39" s="122"/>
      <c r="T39" s="122"/>
      <c r="U39" s="122"/>
      <c r="V39" s="122"/>
      <c r="W39" s="122"/>
    </row>
    <row r="40" spans="1:23" ht="33" customHeight="1" x14ac:dyDescent="0.25">
      <c r="A40" s="3">
        <v>3</v>
      </c>
      <c r="B40" s="333" t="s">
        <v>241</v>
      </c>
      <c r="C40" s="332" t="s">
        <v>6</v>
      </c>
      <c r="D40" s="294"/>
      <c r="E40" s="294">
        <v>0.5</v>
      </c>
      <c r="F40" s="291">
        <v>0</v>
      </c>
      <c r="G40" s="291">
        <v>0</v>
      </c>
      <c r="H40" s="291">
        <f t="shared" si="2"/>
        <v>0</v>
      </c>
      <c r="I40" s="296"/>
      <c r="J40" s="121"/>
      <c r="K40" s="116"/>
      <c r="L40" s="116"/>
      <c r="M40" s="116"/>
      <c r="N40" s="116"/>
      <c r="O40" s="116"/>
      <c r="P40" s="122"/>
      <c r="Q40" s="122"/>
      <c r="R40" s="122"/>
      <c r="S40" s="122"/>
      <c r="T40" s="122"/>
      <c r="U40" s="122"/>
      <c r="V40" s="122"/>
      <c r="W40" s="122"/>
    </row>
    <row r="41" spans="1:23" ht="33" customHeight="1" x14ac:dyDescent="0.25">
      <c r="A41" s="3"/>
      <c r="B41" s="336" t="s">
        <v>218</v>
      </c>
      <c r="C41" s="343" t="s">
        <v>219</v>
      </c>
      <c r="D41" s="298"/>
      <c r="E41" s="298">
        <v>24.1</v>
      </c>
      <c r="F41" s="296"/>
      <c r="G41" s="296"/>
      <c r="H41" s="291">
        <f t="shared" si="2"/>
        <v>0</v>
      </c>
      <c r="I41" s="296"/>
      <c r="J41" s="121"/>
      <c r="K41" s="116"/>
      <c r="L41" s="116"/>
      <c r="M41" s="116"/>
      <c r="N41" s="116"/>
      <c r="O41" s="116"/>
      <c r="P41" s="122"/>
      <c r="Q41" s="122"/>
      <c r="R41" s="122"/>
      <c r="S41" s="122"/>
      <c r="T41" s="122"/>
      <c r="U41" s="122"/>
      <c r="V41" s="122"/>
      <c r="W41" s="122"/>
    </row>
    <row r="42" spans="1:23" ht="33" customHeight="1" x14ac:dyDescent="0.25">
      <c r="A42" s="3"/>
      <c r="B42" s="336" t="s">
        <v>220</v>
      </c>
      <c r="C42" s="343" t="s">
        <v>17</v>
      </c>
      <c r="D42" s="298"/>
      <c r="E42" s="298">
        <f>E40*E41/10</f>
        <v>1.2050000000000001</v>
      </c>
      <c r="F42" s="298">
        <f t="shared" ref="F42:G42" si="18">F40*F41/10</f>
        <v>0</v>
      </c>
      <c r="G42" s="298">
        <f t="shared" si="18"/>
        <v>0</v>
      </c>
      <c r="H42" s="291">
        <f t="shared" si="2"/>
        <v>0</v>
      </c>
      <c r="I42" s="296"/>
      <c r="J42" s="121"/>
      <c r="K42" s="116"/>
      <c r="L42" s="116"/>
      <c r="M42" s="116"/>
      <c r="N42" s="116"/>
      <c r="O42" s="116"/>
      <c r="P42" s="122"/>
      <c r="Q42" s="122"/>
      <c r="R42" s="122"/>
      <c r="S42" s="122"/>
      <c r="T42" s="122"/>
      <c r="U42" s="122"/>
      <c r="V42" s="122"/>
      <c r="W42" s="122"/>
    </row>
    <row r="43" spans="1:23" ht="33" customHeight="1" x14ac:dyDescent="0.25">
      <c r="A43" s="3">
        <v>4</v>
      </c>
      <c r="B43" s="335" t="s">
        <v>242</v>
      </c>
      <c r="C43" s="3" t="s">
        <v>6</v>
      </c>
      <c r="D43" s="291">
        <v>0.5</v>
      </c>
      <c r="E43" s="291">
        <v>0.5</v>
      </c>
      <c r="F43" s="291">
        <v>0.27</v>
      </c>
      <c r="G43" s="291">
        <f>F43</f>
        <v>0.27</v>
      </c>
      <c r="H43" s="291">
        <f t="shared" si="2"/>
        <v>54</v>
      </c>
      <c r="I43" s="291"/>
      <c r="J43" s="127"/>
      <c r="K43" s="134"/>
      <c r="L43" s="215"/>
      <c r="M43" s="215"/>
      <c r="N43" s="215"/>
      <c r="O43" s="215"/>
    </row>
    <row r="44" spans="1:23" ht="33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1">
        <f t="shared" si="2"/>
        <v>0</v>
      </c>
      <c r="I44" s="296"/>
      <c r="J44" s="127"/>
      <c r="K44" s="134"/>
      <c r="L44" s="155"/>
      <c r="M44" s="155"/>
      <c r="N44" s="155"/>
      <c r="O44" s="138"/>
    </row>
    <row r="45" spans="1:23" ht="33" customHeight="1" x14ac:dyDescent="0.25">
      <c r="A45" s="5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19">F43*F44/10</f>
        <v>0</v>
      </c>
      <c r="G45" s="296">
        <f t="shared" si="19"/>
        <v>0</v>
      </c>
      <c r="H45" s="291">
        <f t="shared" si="2"/>
        <v>0</v>
      </c>
      <c r="I45" s="296"/>
      <c r="J45" s="127"/>
      <c r="K45" s="127"/>
      <c r="L45" s="127"/>
      <c r="M45" s="127"/>
      <c r="N45" s="127"/>
    </row>
    <row r="46" spans="1:23" ht="33" customHeight="1" x14ac:dyDescent="0.25">
      <c r="A46" s="3">
        <v>5</v>
      </c>
      <c r="B46" s="335" t="s">
        <v>32</v>
      </c>
      <c r="C46" s="3" t="s">
        <v>6</v>
      </c>
      <c r="D46" s="291">
        <f>D47+D55+D64</f>
        <v>37.71</v>
      </c>
      <c r="E46" s="291">
        <f t="shared" ref="E46:G46" si="20">E47+E55+E64</f>
        <v>47.31</v>
      </c>
      <c r="F46" s="291">
        <f t="shared" si="20"/>
        <v>38.31</v>
      </c>
      <c r="G46" s="291">
        <f t="shared" si="20"/>
        <v>38.31</v>
      </c>
      <c r="H46" s="291">
        <f t="shared" si="2"/>
        <v>80.976537729866834</v>
      </c>
      <c r="I46" s="291"/>
      <c r="J46" s="127"/>
      <c r="K46" s="127"/>
      <c r="L46" s="127"/>
      <c r="M46" s="127"/>
      <c r="N46" s="127"/>
    </row>
    <row r="47" spans="1:23" ht="33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29.21</v>
      </c>
      <c r="E47" s="291">
        <f t="shared" ref="E47:G47" si="21">E48+E49</f>
        <v>37.21</v>
      </c>
      <c r="F47" s="291">
        <f t="shared" si="21"/>
        <v>29.21</v>
      </c>
      <c r="G47" s="291">
        <f t="shared" si="21"/>
        <v>29.21</v>
      </c>
      <c r="H47" s="291">
        <f t="shared" si="2"/>
        <v>78.50040311744155</v>
      </c>
      <c r="I47" s="291"/>
      <c r="J47" s="127"/>
      <c r="K47" s="127"/>
      <c r="L47" s="127"/>
      <c r="M47" s="127"/>
      <c r="N47" s="127"/>
    </row>
    <row r="48" spans="1:23" ht="33" customHeight="1" x14ac:dyDescent="0.25">
      <c r="A48" s="7" t="s">
        <v>24</v>
      </c>
      <c r="B48" s="383" t="s">
        <v>196</v>
      </c>
      <c r="C48" s="384" t="s">
        <v>6</v>
      </c>
      <c r="D48" s="296">
        <v>28.35</v>
      </c>
      <c r="E48" s="296">
        <f>D48+D49</f>
        <v>29.21</v>
      </c>
      <c r="F48" s="296">
        <v>29.21</v>
      </c>
      <c r="G48" s="296">
        <v>29.21</v>
      </c>
      <c r="H48" s="291">
        <f t="shared" si="2"/>
        <v>100</v>
      </c>
      <c r="I48" s="296"/>
      <c r="J48" s="121"/>
      <c r="K48" s="121"/>
      <c r="L48" s="121"/>
      <c r="M48" s="121"/>
      <c r="N48" s="121"/>
      <c r="O48" s="122"/>
      <c r="P48" s="122"/>
      <c r="Q48" s="122"/>
    </row>
    <row r="49" spans="1:19" s="131" customFormat="1" ht="33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0.86</v>
      </c>
      <c r="E49" s="291">
        <f t="shared" ref="E49:G49" si="22">E50+E51</f>
        <v>8</v>
      </c>
      <c r="F49" s="291">
        <f t="shared" si="22"/>
        <v>0</v>
      </c>
      <c r="G49" s="291">
        <f t="shared" si="22"/>
        <v>0</v>
      </c>
      <c r="H49" s="291">
        <f t="shared" si="2"/>
        <v>0</v>
      </c>
      <c r="I49" s="291"/>
      <c r="J49" s="213"/>
      <c r="K49" s="213"/>
      <c r="L49" s="213"/>
      <c r="M49" s="213"/>
      <c r="N49" s="213"/>
    </row>
    <row r="50" spans="1:19" ht="33" customHeight="1" x14ac:dyDescent="0.25">
      <c r="A50" s="384" t="s">
        <v>18</v>
      </c>
      <c r="B50" s="386" t="s">
        <v>194</v>
      </c>
      <c r="C50" s="384" t="s">
        <v>6</v>
      </c>
      <c r="D50" s="296"/>
      <c r="E50" s="296">
        <v>8</v>
      </c>
      <c r="F50" s="296"/>
      <c r="G50" s="296">
        <v>0</v>
      </c>
      <c r="H50" s="291">
        <f t="shared" si="2"/>
        <v>0</v>
      </c>
      <c r="I50" s="296"/>
      <c r="J50" s="214"/>
      <c r="K50" s="127"/>
      <c r="L50" s="127"/>
      <c r="M50" s="127"/>
      <c r="N50" s="127"/>
    </row>
    <row r="51" spans="1:19" ht="33" customHeight="1" x14ac:dyDescent="0.25">
      <c r="A51" s="384" t="s">
        <v>18</v>
      </c>
      <c r="B51" s="386" t="s">
        <v>35</v>
      </c>
      <c r="C51" s="5" t="s">
        <v>6</v>
      </c>
      <c r="D51" s="296">
        <v>0.86</v>
      </c>
      <c r="E51" s="296">
        <v>0</v>
      </c>
      <c r="F51" s="296"/>
      <c r="G51" s="296"/>
      <c r="H51" s="291"/>
      <c r="I51" s="296"/>
      <c r="J51" s="127"/>
      <c r="K51" s="121"/>
      <c r="L51" s="121"/>
      <c r="M51" s="121"/>
      <c r="N51" s="127"/>
    </row>
    <row r="52" spans="1:19" s="131" customFormat="1" ht="33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17.43</v>
      </c>
      <c r="E52" s="291">
        <f t="shared" ref="E52:G52" si="23">E53+E54</f>
        <v>24.0975</v>
      </c>
      <c r="F52" s="291">
        <f t="shared" si="23"/>
        <v>24.1</v>
      </c>
      <c r="G52" s="291">
        <f t="shared" si="23"/>
        <v>24.1</v>
      </c>
      <c r="H52" s="291">
        <f t="shared" si="2"/>
        <v>100.01037452017844</v>
      </c>
      <c r="I52" s="291"/>
      <c r="J52" s="213"/>
      <c r="K52" s="213"/>
      <c r="L52" s="213"/>
      <c r="M52" s="213"/>
      <c r="N52" s="213"/>
    </row>
    <row r="53" spans="1:19" ht="33" customHeight="1" x14ac:dyDescent="0.25">
      <c r="A53" s="387" t="s">
        <v>18</v>
      </c>
      <c r="B53" s="386" t="s">
        <v>198</v>
      </c>
      <c r="C53" s="5" t="s">
        <v>6</v>
      </c>
      <c r="D53" s="296">
        <f>18.43-6</f>
        <v>12.43</v>
      </c>
      <c r="E53" s="296">
        <f>D48*85%</f>
        <v>24.0975</v>
      </c>
      <c r="F53" s="296">
        <v>24.1</v>
      </c>
      <c r="G53" s="296">
        <v>24.1</v>
      </c>
      <c r="H53" s="296">
        <f t="shared" si="2"/>
        <v>100.01037452017844</v>
      </c>
      <c r="I53" s="296"/>
      <c r="J53" s="127"/>
      <c r="K53" s="127"/>
      <c r="L53" s="224"/>
      <c r="M53" s="127"/>
      <c r="N53" s="127"/>
    </row>
    <row r="54" spans="1:19" ht="33" customHeight="1" x14ac:dyDescent="0.25">
      <c r="A54" s="5"/>
      <c r="B54" s="386" t="s">
        <v>199</v>
      </c>
      <c r="C54" s="5" t="s">
        <v>6</v>
      </c>
      <c r="D54" s="296">
        <v>5</v>
      </c>
      <c r="E54" s="296"/>
      <c r="F54" s="296"/>
      <c r="G54" s="296"/>
      <c r="H54" s="291"/>
      <c r="I54" s="296"/>
      <c r="J54" s="127"/>
      <c r="K54" s="127"/>
      <c r="L54" s="127"/>
      <c r="M54" s="127"/>
      <c r="N54" s="127"/>
    </row>
    <row r="55" spans="1:19" ht="33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8.5</v>
      </c>
      <c r="E55" s="291">
        <f t="shared" ref="E55:G55" si="24">E56+E57</f>
        <v>10.1</v>
      </c>
      <c r="F55" s="291">
        <f t="shared" si="24"/>
        <v>9.1</v>
      </c>
      <c r="G55" s="291">
        <f t="shared" si="24"/>
        <v>9.1</v>
      </c>
      <c r="H55" s="291">
        <f t="shared" si="2"/>
        <v>90.099009900990097</v>
      </c>
      <c r="I55" s="291"/>
      <c r="J55" s="127"/>
      <c r="K55" s="127"/>
      <c r="L55" s="127"/>
      <c r="M55" s="127"/>
      <c r="N55" s="127"/>
    </row>
    <row r="56" spans="1:19" ht="33" customHeight="1" x14ac:dyDescent="0.25">
      <c r="A56" s="5" t="s">
        <v>24</v>
      </c>
      <c r="B56" s="383" t="s">
        <v>197</v>
      </c>
      <c r="C56" s="5" t="s">
        <v>6</v>
      </c>
      <c r="D56" s="296">
        <v>8.5</v>
      </c>
      <c r="E56" s="296">
        <f>D56+E58</f>
        <v>9.1</v>
      </c>
      <c r="F56" s="296">
        <v>9.1</v>
      </c>
      <c r="G56" s="296">
        <v>9.1</v>
      </c>
      <c r="H56" s="291">
        <f t="shared" si="2"/>
        <v>100</v>
      </c>
      <c r="I56" s="296"/>
      <c r="J56" s="127"/>
      <c r="K56" s="127"/>
      <c r="L56" s="127"/>
      <c r="M56" s="127"/>
      <c r="N56" s="127"/>
    </row>
    <row r="57" spans="1:19" ht="33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0</v>
      </c>
      <c r="E57" s="296">
        <f t="shared" ref="E57:G57" si="25">E58+E61</f>
        <v>1</v>
      </c>
      <c r="F57" s="296">
        <f t="shared" si="25"/>
        <v>0</v>
      </c>
      <c r="G57" s="296">
        <f t="shared" si="25"/>
        <v>0</v>
      </c>
      <c r="H57" s="291">
        <f t="shared" si="2"/>
        <v>0</v>
      </c>
      <c r="I57" s="296"/>
      <c r="J57" s="127"/>
      <c r="K57" s="127"/>
      <c r="L57" s="127"/>
      <c r="M57" s="127"/>
      <c r="N57" s="127"/>
    </row>
    <row r="58" spans="1:19" s="149" customFormat="1" ht="33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</v>
      </c>
      <c r="E58" s="299">
        <f t="shared" ref="E58:G58" si="26">E59+E60</f>
        <v>0.6</v>
      </c>
      <c r="F58" s="299">
        <f t="shared" si="26"/>
        <v>0</v>
      </c>
      <c r="G58" s="299">
        <f t="shared" si="26"/>
        <v>0</v>
      </c>
      <c r="H58" s="291">
        <f t="shared" si="2"/>
        <v>0</v>
      </c>
      <c r="I58" s="299"/>
      <c r="J58" s="217"/>
      <c r="K58" s="142"/>
      <c r="L58" s="142"/>
      <c r="M58" s="142"/>
      <c r="N58" s="142"/>
      <c r="O58" s="142"/>
      <c r="P58" s="156"/>
      <c r="Q58" s="156"/>
      <c r="R58" s="156"/>
      <c r="S58" s="156"/>
    </row>
    <row r="59" spans="1:19" ht="33" customHeight="1" x14ac:dyDescent="0.25">
      <c r="A59" s="5" t="s">
        <v>18</v>
      </c>
      <c r="B59" s="383" t="s">
        <v>202</v>
      </c>
      <c r="C59" s="5" t="s">
        <v>6</v>
      </c>
      <c r="D59" s="296"/>
      <c r="E59" s="296">
        <v>0.3</v>
      </c>
      <c r="F59" s="296">
        <v>0</v>
      </c>
      <c r="G59" s="296">
        <v>0</v>
      </c>
      <c r="H59" s="291">
        <f t="shared" si="2"/>
        <v>0</v>
      </c>
      <c r="I59" s="296"/>
      <c r="J59" s="214"/>
      <c r="K59" s="132"/>
      <c r="L59" s="114"/>
      <c r="M59" s="114"/>
      <c r="N59" s="114"/>
      <c r="O59" s="114"/>
      <c r="P59" s="138"/>
      <c r="Q59" s="138"/>
      <c r="R59" s="138"/>
      <c r="S59" s="138"/>
    </row>
    <row r="60" spans="1:19" ht="33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0.3</v>
      </c>
      <c r="F60" s="296">
        <v>0</v>
      </c>
      <c r="G60" s="296">
        <v>0</v>
      </c>
      <c r="H60" s="291">
        <f t="shared" si="2"/>
        <v>0</v>
      </c>
      <c r="I60" s="296"/>
      <c r="J60" s="214"/>
      <c r="K60" s="132"/>
      <c r="L60" s="114"/>
      <c r="M60" s="114"/>
      <c r="N60" s="114"/>
      <c r="O60" s="114"/>
      <c r="P60" s="138"/>
      <c r="Q60" s="138"/>
      <c r="R60" s="138"/>
      <c r="S60" s="138"/>
    </row>
    <row r="61" spans="1:19" s="149" customFormat="1" ht="33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0</v>
      </c>
      <c r="E61" s="299">
        <f t="shared" ref="E61:G61" si="27">E62+E63</f>
        <v>0.4</v>
      </c>
      <c r="F61" s="299">
        <f t="shared" si="27"/>
        <v>0</v>
      </c>
      <c r="G61" s="299">
        <f t="shared" si="27"/>
        <v>0</v>
      </c>
      <c r="H61" s="291">
        <f t="shared" si="2"/>
        <v>0</v>
      </c>
      <c r="I61" s="299"/>
      <c r="J61" s="214"/>
      <c r="K61" s="142"/>
      <c r="L61" s="142"/>
      <c r="M61" s="142"/>
      <c r="N61" s="142"/>
      <c r="O61" s="159"/>
      <c r="P61" s="156"/>
      <c r="Q61" s="156"/>
      <c r="R61" s="156"/>
      <c r="S61" s="156"/>
    </row>
    <row r="62" spans="1:19" ht="33" customHeight="1" x14ac:dyDescent="0.25">
      <c r="A62" s="5" t="s">
        <v>18</v>
      </c>
      <c r="B62" s="383" t="s">
        <v>203</v>
      </c>
      <c r="C62" s="5" t="s">
        <v>6</v>
      </c>
      <c r="D62" s="296"/>
      <c r="E62" s="296">
        <v>0.3</v>
      </c>
      <c r="F62" s="296">
        <v>0</v>
      </c>
      <c r="G62" s="296">
        <v>0</v>
      </c>
      <c r="H62" s="291">
        <f t="shared" si="2"/>
        <v>0</v>
      </c>
      <c r="I62" s="296"/>
      <c r="J62" s="214"/>
      <c r="K62" s="132"/>
      <c r="L62" s="114"/>
      <c r="M62" s="114"/>
      <c r="N62" s="114"/>
      <c r="O62" s="114"/>
      <c r="P62" s="138"/>
      <c r="Q62" s="138"/>
      <c r="R62" s="138"/>
      <c r="S62" s="138"/>
    </row>
    <row r="63" spans="1:19" ht="33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0.1</v>
      </c>
      <c r="F63" s="296">
        <v>0</v>
      </c>
      <c r="G63" s="296">
        <v>0</v>
      </c>
      <c r="H63" s="291">
        <f t="shared" si="2"/>
        <v>0</v>
      </c>
      <c r="I63" s="296"/>
      <c r="J63" s="214"/>
      <c r="K63" s="132"/>
      <c r="L63" s="114"/>
      <c r="M63" s="114"/>
      <c r="N63" s="114"/>
      <c r="O63" s="114"/>
      <c r="P63" s="138"/>
      <c r="Q63" s="138"/>
      <c r="R63" s="138"/>
      <c r="S63" s="138"/>
    </row>
    <row r="64" spans="1:19" ht="33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0</v>
      </c>
      <c r="E64" s="291">
        <f t="shared" ref="E64:G64" si="28">E65+E66</f>
        <v>0</v>
      </c>
      <c r="F64" s="291">
        <f t="shared" si="28"/>
        <v>0</v>
      </c>
      <c r="G64" s="291">
        <f t="shared" si="28"/>
        <v>0</v>
      </c>
      <c r="H64" s="291"/>
      <c r="I64" s="291"/>
      <c r="J64" s="127"/>
      <c r="K64" s="155"/>
      <c r="L64" s="155"/>
      <c r="M64" s="155"/>
      <c r="N64" s="155"/>
      <c r="O64" s="138"/>
      <c r="P64" s="138"/>
      <c r="Q64" s="138"/>
      <c r="R64" s="138"/>
      <c r="S64" s="138"/>
    </row>
    <row r="65" spans="1:17" ht="33" customHeight="1" x14ac:dyDescent="0.25">
      <c r="A65" s="5" t="s">
        <v>18</v>
      </c>
      <c r="B65" s="383" t="s">
        <v>196</v>
      </c>
      <c r="C65" s="5" t="s">
        <v>6</v>
      </c>
      <c r="D65" s="296"/>
      <c r="E65" s="296"/>
      <c r="F65" s="296"/>
      <c r="G65" s="296"/>
      <c r="H65" s="291"/>
      <c r="I65" s="296"/>
      <c r="J65" s="127"/>
      <c r="K65" s="127"/>
      <c r="L65" s="127"/>
      <c r="M65" s="127"/>
      <c r="N65" s="127"/>
    </row>
    <row r="66" spans="1:17" ht="33" customHeight="1" x14ac:dyDescent="0.25">
      <c r="A66" s="5" t="s">
        <v>18</v>
      </c>
      <c r="B66" s="337" t="s">
        <v>31</v>
      </c>
      <c r="C66" s="5" t="s">
        <v>6</v>
      </c>
      <c r="D66" s="296"/>
      <c r="E66" s="296"/>
      <c r="F66" s="296"/>
      <c r="G66" s="296"/>
      <c r="H66" s="291"/>
      <c r="I66" s="296"/>
      <c r="J66" s="127"/>
      <c r="K66" s="127"/>
      <c r="L66" s="127"/>
      <c r="M66" s="127"/>
      <c r="N66" s="127"/>
    </row>
    <row r="67" spans="1:17" ht="33" customHeight="1" x14ac:dyDescent="0.25">
      <c r="A67" s="3">
        <v>6</v>
      </c>
      <c r="B67" s="335" t="s">
        <v>38</v>
      </c>
      <c r="C67" s="3" t="s">
        <v>6</v>
      </c>
      <c r="D67" s="291">
        <f>D68+D71</f>
        <v>32.049999999999997</v>
      </c>
      <c r="E67" s="291">
        <f t="shared" ref="E67:G67" si="29">E68+E71</f>
        <v>17.299999999999997</v>
      </c>
      <c r="F67" s="291">
        <f t="shared" si="29"/>
        <v>14.44</v>
      </c>
      <c r="G67" s="291">
        <f t="shared" si="29"/>
        <v>14.44</v>
      </c>
      <c r="H67" s="291">
        <f t="shared" si="2"/>
        <v>83.468208092485568</v>
      </c>
      <c r="I67" s="291"/>
      <c r="J67" s="127"/>
      <c r="K67" s="127"/>
      <c r="L67" s="127"/>
      <c r="M67" s="127"/>
      <c r="N67" s="127"/>
    </row>
    <row r="68" spans="1:17" ht="33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0</v>
      </c>
      <c r="E68" s="291">
        <f>E69+E70</f>
        <v>2</v>
      </c>
      <c r="F68" s="291">
        <f t="shared" ref="F68:G68" si="30">F69+F70</f>
        <v>0</v>
      </c>
      <c r="G68" s="291">
        <f t="shared" si="30"/>
        <v>0</v>
      </c>
      <c r="H68" s="291">
        <f t="shared" si="2"/>
        <v>0</v>
      </c>
      <c r="I68" s="291"/>
      <c r="J68" s="127"/>
      <c r="K68" s="127"/>
      <c r="L68" s="127"/>
      <c r="M68" s="127"/>
      <c r="N68" s="127"/>
    </row>
    <row r="69" spans="1:17" ht="33" customHeight="1" x14ac:dyDescent="0.25">
      <c r="A69" s="5" t="s">
        <v>18</v>
      </c>
      <c r="B69" s="383" t="s">
        <v>205</v>
      </c>
      <c r="C69" s="5" t="s">
        <v>6</v>
      </c>
      <c r="D69" s="296"/>
      <c r="E69" s="296"/>
      <c r="F69" s="296"/>
      <c r="G69" s="296"/>
      <c r="H69" s="291"/>
      <c r="I69" s="296"/>
      <c r="J69" s="127"/>
      <c r="K69" s="127"/>
      <c r="L69" s="127"/>
      <c r="M69" s="127"/>
      <c r="N69" s="127"/>
    </row>
    <row r="70" spans="1:17" ht="33" customHeight="1" x14ac:dyDescent="0.25">
      <c r="A70" s="5" t="s">
        <v>18</v>
      </c>
      <c r="B70" s="383" t="s">
        <v>206</v>
      </c>
      <c r="C70" s="5" t="s">
        <v>6</v>
      </c>
      <c r="D70" s="296"/>
      <c r="E70" s="296">
        <v>2</v>
      </c>
      <c r="F70" s="296"/>
      <c r="G70" s="296"/>
      <c r="H70" s="291">
        <f t="shared" si="2"/>
        <v>0</v>
      </c>
      <c r="I70" s="296"/>
      <c r="J70" s="127"/>
      <c r="K70" s="127"/>
      <c r="L70" s="127"/>
      <c r="M70" s="127"/>
      <c r="N70" s="127"/>
    </row>
    <row r="71" spans="1:17" ht="33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32.049999999999997</v>
      </c>
      <c r="E71" s="291">
        <f t="shared" ref="E71:G71" si="31">E72+E73</f>
        <v>15.299999999999997</v>
      </c>
      <c r="F71" s="291">
        <f t="shared" si="31"/>
        <v>14.44</v>
      </c>
      <c r="G71" s="291">
        <f t="shared" si="31"/>
        <v>14.44</v>
      </c>
      <c r="H71" s="291">
        <f t="shared" si="2"/>
        <v>94.379084967320267</v>
      </c>
      <c r="I71" s="291"/>
      <c r="J71" s="127"/>
      <c r="K71" s="127"/>
      <c r="L71" s="127"/>
      <c r="M71" s="127"/>
      <c r="N71" s="127"/>
    </row>
    <row r="72" spans="1:17" ht="33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30.669999999999998</v>
      </c>
      <c r="E72" s="302">
        <f t="shared" ref="E72:G72" si="32">E75+E82</f>
        <v>14.439999999999998</v>
      </c>
      <c r="F72" s="302">
        <f t="shared" si="32"/>
        <v>14.44</v>
      </c>
      <c r="G72" s="302">
        <f t="shared" si="32"/>
        <v>14.44</v>
      </c>
      <c r="H72" s="291">
        <f t="shared" si="2"/>
        <v>100.00000000000003</v>
      </c>
      <c r="I72" s="302"/>
      <c r="J72" s="127"/>
      <c r="K72" s="127"/>
      <c r="L72" s="127"/>
      <c r="M72" s="127"/>
      <c r="N72" s="127"/>
    </row>
    <row r="73" spans="1:17" ht="33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1.38</v>
      </c>
      <c r="E73" s="291">
        <f>E76+E83</f>
        <v>0.86</v>
      </c>
      <c r="F73" s="291">
        <f t="shared" ref="F73:G73" si="33">F76+F83</f>
        <v>0</v>
      </c>
      <c r="G73" s="291">
        <f t="shared" si="33"/>
        <v>0</v>
      </c>
      <c r="H73" s="291">
        <f t="shared" si="2"/>
        <v>0</v>
      </c>
      <c r="I73" s="291"/>
      <c r="J73" s="213"/>
      <c r="K73" s="213"/>
      <c r="L73" s="213"/>
      <c r="M73" s="213"/>
      <c r="N73" s="213"/>
    </row>
    <row r="74" spans="1:17" ht="33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23.939999999999998</v>
      </c>
      <c r="E74" s="304">
        <f t="shared" ref="E74:G74" si="34">E75+E76</f>
        <v>14.439999999999998</v>
      </c>
      <c r="F74" s="304">
        <f t="shared" si="34"/>
        <v>13.94</v>
      </c>
      <c r="G74" s="304">
        <f t="shared" si="34"/>
        <v>13.94</v>
      </c>
      <c r="H74" s="291">
        <f t="shared" ref="H74:H95" si="35">F74/E74*100</f>
        <v>96.537396121883674</v>
      </c>
      <c r="I74" s="304"/>
      <c r="J74" s="144"/>
      <c r="K74" s="144"/>
      <c r="L74" s="151"/>
      <c r="M74" s="151"/>
      <c r="N74" s="151"/>
      <c r="O74" s="151"/>
      <c r="P74" s="151"/>
      <c r="Q74" s="151"/>
    </row>
    <row r="75" spans="1:17" ht="33" customHeight="1" x14ac:dyDescent="0.25">
      <c r="A75" s="7" t="s">
        <v>24</v>
      </c>
      <c r="B75" s="391" t="s">
        <v>196</v>
      </c>
      <c r="C75" s="5" t="s">
        <v>6</v>
      </c>
      <c r="D75" s="306">
        <f>21.06+2</f>
        <v>23.06</v>
      </c>
      <c r="E75" s="306">
        <f>D75+D76-10</f>
        <v>13.939999999999998</v>
      </c>
      <c r="F75" s="296">
        <v>13.94</v>
      </c>
      <c r="G75" s="296">
        <v>13.94</v>
      </c>
      <c r="H75" s="296">
        <f t="shared" si="35"/>
        <v>100.00000000000003</v>
      </c>
      <c r="I75" s="296"/>
      <c r="J75" s="127"/>
      <c r="K75" s="127"/>
      <c r="L75" s="128"/>
      <c r="M75" s="128"/>
      <c r="N75" s="128"/>
      <c r="O75" s="126"/>
      <c r="P75" s="126"/>
      <c r="Q75" s="126"/>
    </row>
    <row r="76" spans="1:17" ht="33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0.88</v>
      </c>
      <c r="E76" s="307">
        <f>SUM(E77:E80)</f>
        <v>0.5</v>
      </c>
      <c r="F76" s="307">
        <f t="shared" ref="F76:G76" si="36">SUM(F77:F80)</f>
        <v>0</v>
      </c>
      <c r="G76" s="307">
        <f t="shared" si="36"/>
        <v>0</v>
      </c>
      <c r="H76" s="291">
        <f t="shared" si="35"/>
        <v>0</v>
      </c>
      <c r="I76" s="307"/>
      <c r="J76" s="217"/>
      <c r="K76" s="217"/>
      <c r="L76" s="219"/>
      <c r="M76" s="219"/>
      <c r="N76" s="219"/>
      <c r="O76" s="126"/>
      <c r="P76" s="126"/>
      <c r="Q76" s="126"/>
    </row>
    <row r="77" spans="1:17" ht="33" customHeight="1" x14ac:dyDescent="0.25">
      <c r="A77" s="4" t="s">
        <v>18</v>
      </c>
      <c r="B77" s="393" t="s">
        <v>212</v>
      </c>
      <c r="C77" s="4" t="s">
        <v>6</v>
      </c>
      <c r="D77" s="296"/>
      <c r="E77" s="296">
        <v>0.5</v>
      </c>
      <c r="F77" s="296">
        <v>0</v>
      </c>
      <c r="G77" s="296">
        <v>0</v>
      </c>
      <c r="H77" s="291">
        <f t="shared" si="35"/>
        <v>0</v>
      </c>
      <c r="I77" s="296"/>
      <c r="J77" s="217"/>
      <c r="K77" s="217"/>
      <c r="L77" s="219"/>
      <c r="M77" s="220"/>
      <c r="N77" s="220"/>
      <c r="O77" s="126"/>
      <c r="P77" s="164"/>
      <c r="Q77" s="164"/>
    </row>
    <row r="78" spans="1:17" ht="33" customHeight="1" x14ac:dyDescent="0.25">
      <c r="A78" s="4" t="s">
        <v>18</v>
      </c>
      <c r="B78" s="393" t="s">
        <v>189</v>
      </c>
      <c r="C78" s="4" t="s">
        <v>6</v>
      </c>
      <c r="D78" s="296">
        <v>0.88</v>
      </c>
      <c r="E78" s="296">
        <v>0</v>
      </c>
      <c r="F78" s="296"/>
      <c r="G78" s="296"/>
      <c r="H78" s="291"/>
      <c r="I78" s="296"/>
      <c r="J78" s="217"/>
      <c r="K78" s="217"/>
      <c r="L78" s="219"/>
      <c r="M78" s="219"/>
      <c r="N78" s="219"/>
      <c r="O78" s="126"/>
      <c r="P78" s="126"/>
      <c r="Q78" s="126"/>
    </row>
    <row r="79" spans="1:17" ht="33" customHeight="1" x14ac:dyDescent="0.25">
      <c r="A79" s="4" t="s">
        <v>18</v>
      </c>
      <c r="B79" s="393" t="s">
        <v>190</v>
      </c>
      <c r="C79" s="4" t="s">
        <v>6</v>
      </c>
      <c r="D79" s="296"/>
      <c r="E79" s="296"/>
      <c r="F79" s="296"/>
      <c r="G79" s="296"/>
      <c r="H79" s="291"/>
      <c r="I79" s="296"/>
      <c r="J79" s="217"/>
      <c r="K79" s="217"/>
      <c r="L79" s="219"/>
      <c r="M79" s="219"/>
      <c r="N79" s="219"/>
      <c r="O79" s="126"/>
      <c r="P79" s="126"/>
      <c r="Q79" s="126"/>
    </row>
    <row r="80" spans="1:17" ht="33" customHeight="1" x14ac:dyDescent="0.25">
      <c r="A80" s="4" t="s">
        <v>18</v>
      </c>
      <c r="B80" s="394" t="s">
        <v>208</v>
      </c>
      <c r="C80" s="4" t="s">
        <v>6</v>
      </c>
      <c r="D80" s="296"/>
      <c r="E80" s="296"/>
      <c r="F80" s="296"/>
      <c r="G80" s="296"/>
      <c r="H80" s="291"/>
      <c r="I80" s="296"/>
      <c r="J80" s="217"/>
      <c r="K80" s="217"/>
      <c r="L80" s="219"/>
      <c r="M80" s="219"/>
      <c r="N80" s="219"/>
      <c r="O80" s="126"/>
      <c r="P80" s="126"/>
      <c r="Q80" s="126"/>
    </row>
    <row r="81" spans="1:19" s="152" customFormat="1" ht="33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8.11</v>
      </c>
      <c r="E81" s="304">
        <f>E82+E83</f>
        <v>0.86</v>
      </c>
      <c r="F81" s="304">
        <f t="shared" ref="F81:G81" si="37">F82+F83</f>
        <v>0.5</v>
      </c>
      <c r="G81" s="304">
        <f t="shared" si="37"/>
        <v>0.5</v>
      </c>
      <c r="H81" s="313">
        <f t="shared" si="35"/>
        <v>58.139534883720934</v>
      </c>
      <c r="I81" s="304"/>
      <c r="J81" s="144"/>
      <c r="K81" s="144"/>
      <c r="L81" s="151"/>
      <c r="M81" s="151"/>
      <c r="N81" s="151"/>
      <c r="O81" s="151"/>
      <c r="P81" s="151"/>
      <c r="Q81" s="151"/>
    </row>
    <row r="82" spans="1:19" s="149" customFormat="1" ht="33" customHeight="1" x14ac:dyDescent="0.25">
      <c r="A82" s="392" t="s">
        <v>18</v>
      </c>
      <c r="B82" s="393" t="s">
        <v>188</v>
      </c>
      <c r="C82" s="4" t="s">
        <v>6</v>
      </c>
      <c r="D82" s="299">
        <v>7.61</v>
      </c>
      <c r="E82" s="299">
        <v>0.5</v>
      </c>
      <c r="F82" s="299">
        <v>0.5</v>
      </c>
      <c r="G82" s="299">
        <v>0.5</v>
      </c>
      <c r="H82" s="296">
        <f t="shared" si="35"/>
        <v>100</v>
      </c>
      <c r="I82" s="299"/>
      <c r="J82" s="217"/>
      <c r="K82" s="217"/>
      <c r="L82" s="220"/>
      <c r="M82" s="219"/>
      <c r="N82" s="219"/>
      <c r="O82" s="148"/>
      <c r="P82" s="148"/>
      <c r="Q82" s="148"/>
    </row>
    <row r="83" spans="1:19" ht="33" customHeight="1" x14ac:dyDescent="0.25">
      <c r="A83" s="392" t="s">
        <v>15</v>
      </c>
      <c r="B83" s="389" t="s">
        <v>210</v>
      </c>
      <c r="C83" s="5" t="s">
        <v>6</v>
      </c>
      <c r="D83" s="306">
        <f t="shared" ref="D83" si="38">SUM(D84:D87)</f>
        <v>0.5</v>
      </c>
      <c r="E83" s="306">
        <f>SUM(E84:E87)</f>
        <v>0.36</v>
      </c>
      <c r="F83" s="306">
        <f t="shared" ref="F83:G83" si="39">SUM(F84:F87)</f>
        <v>0</v>
      </c>
      <c r="G83" s="306">
        <f t="shared" si="39"/>
        <v>0</v>
      </c>
      <c r="H83" s="291">
        <f t="shared" si="35"/>
        <v>0</v>
      </c>
      <c r="I83" s="306"/>
      <c r="J83" s="217"/>
      <c r="K83" s="217"/>
      <c r="L83" s="217"/>
      <c r="M83" s="217"/>
      <c r="N83" s="217"/>
    </row>
    <row r="84" spans="1:19" ht="33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291"/>
      <c r="I84" s="296"/>
      <c r="J84" s="219"/>
      <c r="K84" s="219"/>
      <c r="L84" s="219"/>
      <c r="M84" s="219"/>
      <c r="N84" s="219"/>
    </row>
    <row r="85" spans="1:19" ht="33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291"/>
      <c r="I85" s="296"/>
      <c r="J85" s="219"/>
      <c r="K85" s="219"/>
      <c r="L85" s="219"/>
      <c r="M85" s="219"/>
      <c r="N85" s="219"/>
    </row>
    <row r="86" spans="1:19" ht="33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291"/>
      <c r="I86" s="296"/>
      <c r="J86" s="219"/>
      <c r="K86" s="219"/>
      <c r="L86" s="219"/>
      <c r="M86" s="219"/>
      <c r="N86" s="126"/>
      <c r="O86" s="126"/>
      <c r="P86" s="126"/>
      <c r="Q86" s="126"/>
    </row>
    <row r="87" spans="1:19" ht="33" customHeight="1" x14ac:dyDescent="0.25">
      <c r="A87" s="392" t="s">
        <v>18</v>
      </c>
      <c r="B87" s="393" t="s">
        <v>193</v>
      </c>
      <c r="C87" s="4" t="s">
        <v>6</v>
      </c>
      <c r="D87" s="296">
        <v>0.5</v>
      </c>
      <c r="E87" s="296">
        <v>0.36</v>
      </c>
      <c r="F87" s="296">
        <v>0</v>
      </c>
      <c r="G87" s="296">
        <v>0</v>
      </c>
      <c r="H87" s="291">
        <f t="shared" si="35"/>
        <v>0</v>
      </c>
      <c r="I87" s="296"/>
      <c r="J87" s="219"/>
      <c r="K87" s="219"/>
      <c r="L87" s="219"/>
      <c r="M87" s="220"/>
      <c r="N87" s="220"/>
      <c r="O87" s="164"/>
      <c r="P87" s="164"/>
      <c r="Q87" s="164"/>
      <c r="R87" s="140"/>
      <c r="S87" s="140"/>
    </row>
    <row r="88" spans="1:19" ht="33" customHeight="1" x14ac:dyDescent="0.25">
      <c r="A88" s="3" t="s">
        <v>44</v>
      </c>
      <c r="B88" s="334" t="s">
        <v>45</v>
      </c>
      <c r="C88" s="3"/>
      <c r="D88" s="291">
        <f>SUM(D89:D93)</f>
        <v>881</v>
      </c>
      <c r="E88" s="291">
        <f t="shared" ref="E88:G88" si="40">SUM(E89:E93)</f>
        <v>823</v>
      </c>
      <c r="F88" s="291">
        <f t="shared" si="40"/>
        <v>761</v>
      </c>
      <c r="G88" s="291">
        <f t="shared" si="40"/>
        <v>761</v>
      </c>
      <c r="H88" s="291">
        <f t="shared" si="35"/>
        <v>92.466585662211415</v>
      </c>
      <c r="I88" s="291"/>
      <c r="J88" s="128"/>
      <c r="K88" s="128"/>
      <c r="L88" s="136"/>
      <c r="M88" s="136"/>
      <c r="N88" s="128"/>
    </row>
    <row r="89" spans="1:19" s="194" customFormat="1" ht="33" customHeight="1" x14ac:dyDescent="0.25">
      <c r="A89" s="5">
        <v>1</v>
      </c>
      <c r="B89" s="337" t="s">
        <v>46</v>
      </c>
      <c r="C89" s="5" t="s">
        <v>8</v>
      </c>
      <c r="D89" s="296">
        <v>79</v>
      </c>
      <c r="E89" s="296">
        <f>50+27</f>
        <v>77</v>
      </c>
      <c r="F89" s="296">
        <v>76</v>
      </c>
      <c r="G89" s="296">
        <f>F89</f>
        <v>76</v>
      </c>
      <c r="H89" s="296">
        <f t="shared" si="35"/>
        <v>98.701298701298697</v>
      </c>
      <c r="I89" s="296"/>
      <c r="J89" s="222"/>
      <c r="K89" s="212"/>
      <c r="L89" s="318"/>
      <c r="M89" s="319"/>
      <c r="N89" s="222"/>
    </row>
    <row r="90" spans="1:19" s="194" customFormat="1" ht="33" customHeight="1" x14ac:dyDescent="0.25">
      <c r="A90" s="5">
        <v>2</v>
      </c>
      <c r="B90" s="337" t="s">
        <v>47</v>
      </c>
      <c r="C90" s="5" t="s">
        <v>8</v>
      </c>
      <c r="D90" s="296">
        <v>132</v>
      </c>
      <c r="E90" s="296">
        <f>130+21</f>
        <v>151</v>
      </c>
      <c r="F90" s="296">
        <v>148</v>
      </c>
      <c r="G90" s="296">
        <f>F90</f>
        <v>148</v>
      </c>
      <c r="H90" s="296">
        <f t="shared" si="35"/>
        <v>98.013245033112582</v>
      </c>
      <c r="I90" s="296"/>
      <c r="J90" s="267"/>
      <c r="K90" s="267"/>
      <c r="L90" s="318"/>
      <c r="M90" s="319"/>
      <c r="N90" s="222"/>
    </row>
    <row r="91" spans="1:19" s="194" customFormat="1" ht="33" customHeight="1" x14ac:dyDescent="0.25">
      <c r="A91" s="5">
        <v>3</v>
      </c>
      <c r="B91" s="337" t="s">
        <v>48</v>
      </c>
      <c r="C91" s="5" t="s">
        <v>8</v>
      </c>
      <c r="D91" s="296">
        <v>75</v>
      </c>
      <c r="E91" s="296">
        <f>76+24</f>
        <v>100</v>
      </c>
      <c r="F91" s="296">
        <v>85</v>
      </c>
      <c r="G91" s="296">
        <f>F91</f>
        <v>85</v>
      </c>
      <c r="H91" s="296">
        <f t="shared" si="35"/>
        <v>85</v>
      </c>
      <c r="I91" s="296"/>
      <c r="J91" s="267"/>
      <c r="K91" s="267"/>
      <c r="L91" s="318"/>
      <c r="M91" s="319"/>
      <c r="N91" s="222"/>
    </row>
    <row r="92" spans="1:19" ht="33" customHeight="1" x14ac:dyDescent="0.25">
      <c r="A92" s="5">
        <v>4</v>
      </c>
      <c r="B92" s="337" t="s">
        <v>49</v>
      </c>
      <c r="C92" s="5" t="s">
        <v>8</v>
      </c>
      <c r="D92" s="296">
        <v>15</v>
      </c>
      <c r="E92" s="296">
        <f>17-17</f>
        <v>0</v>
      </c>
      <c r="F92" s="296"/>
      <c r="G92" s="296"/>
      <c r="H92" s="291"/>
      <c r="I92" s="296"/>
      <c r="J92" s="128"/>
      <c r="K92" s="121"/>
      <c r="L92" s="320"/>
      <c r="M92" s="319"/>
      <c r="N92" s="128"/>
    </row>
    <row r="93" spans="1:19" s="194" customFormat="1" ht="33" customHeight="1" x14ac:dyDescent="0.25">
      <c r="A93" s="5">
        <v>5</v>
      </c>
      <c r="B93" s="337" t="s">
        <v>50</v>
      </c>
      <c r="C93" s="5" t="s">
        <v>8</v>
      </c>
      <c r="D93" s="296">
        <v>580</v>
      </c>
      <c r="E93" s="296">
        <f>548-53</f>
        <v>495</v>
      </c>
      <c r="F93" s="296">
        <v>452</v>
      </c>
      <c r="G93" s="296">
        <f>F93</f>
        <v>452</v>
      </c>
      <c r="H93" s="296">
        <f t="shared" si="35"/>
        <v>91.313131313131308</v>
      </c>
      <c r="I93" s="296"/>
      <c r="J93" s="267"/>
      <c r="K93" s="267"/>
      <c r="L93" s="320"/>
      <c r="M93" s="319"/>
      <c r="N93" s="222"/>
    </row>
    <row r="94" spans="1:19" s="131" customFormat="1" ht="33" customHeight="1" x14ac:dyDescent="0.25">
      <c r="A94" s="3" t="s">
        <v>51</v>
      </c>
      <c r="B94" s="335" t="s">
        <v>52</v>
      </c>
      <c r="C94" s="3" t="s">
        <v>6</v>
      </c>
      <c r="D94" s="291">
        <f>D95</f>
        <v>1.1000000000000001</v>
      </c>
      <c r="E94" s="291">
        <f t="shared" ref="E94:G94" si="41">E95</f>
        <v>1.1000000000000001</v>
      </c>
      <c r="F94" s="291">
        <f t="shared" si="41"/>
        <v>1.1000000000000001</v>
      </c>
      <c r="G94" s="291">
        <f t="shared" si="41"/>
        <v>1.1000000000000001</v>
      </c>
      <c r="H94" s="291">
        <f t="shared" si="35"/>
        <v>100</v>
      </c>
      <c r="I94" s="291"/>
      <c r="J94" s="130"/>
      <c r="K94" s="130"/>
      <c r="L94" s="130"/>
      <c r="M94" s="130"/>
      <c r="N94" s="130"/>
    </row>
    <row r="95" spans="1:19" ht="33" customHeight="1" x14ac:dyDescent="0.25">
      <c r="A95" s="4" t="s">
        <v>18</v>
      </c>
      <c r="B95" s="389" t="s">
        <v>53</v>
      </c>
      <c r="C95" s="4" t="s">
        <v>6</v>
      </c>
      <c r="D95" s="296">
        <v>1.1000000000000001</v>
      </c>
      <c r="E95" s="296">
        <v>1.1000000000000001</v>
      </c>
      <c r="F95" s="296">
        <v>1.1000000000000001</v>
      </c>
      <c r="G95" s="296">
        <v>1.1000000000000001</v>
      </c>
      <c r="H95" s="296">
        <f t="shared" si="35"/>
        <v>100</v>
      </c>
      <c r="I95" s="296"/>
      <c r="J95" s="214"/>
      <c r="K95" s="128"/>
      <c r="L95" s="128"/>
      <c r="M95" s="128"/>
      <c r="N95" s="128"/>
    </row>
    <row r="96" spans="1:19" ht="33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0</v>
      </c>
      <c r="E96" s="291">
        <f t="shared" ref="E96:G96" si="42">E97+E98</f>
        <v>0</v>
      </c>
      <c r="F96" s="291">
        <f t="shared" si="42"/>
        <v>0</v>
      </c>
      <c r="G96" s="291">
        <f t="shared" si="42"/>
        <v>0</v>
      </c>
      <c r="H96" s="291"/>
      <c r="I96" s="291"/>
      <c r="J96" s="128"/>
      <c r="K96" s="128"/>
      <c r="L96" s="128"/>
      <c r="M96" s="128"/>
      <c r="N96" s="128"/>
    </row>
    <row r="97" spans="1:14" ht="33" customHeight="1" x14ac:dyDescent="0.25">
      <c r="A97" s="5" t="s">
        <v>18</v>
      </c>
      <c r="B97" s="391" t="s">
        <v>213</v>
      </c>
      <c r="C97" s="4" t="s">
        <v>6</v>
      </c>
      <c r="D97" s="296"/>
      <c r="E97" s="296"/>
      <c r="F97" s="296"/>
      <c r="G97" s="296"/>
      <c r="H97" s="291"/>
      <c r="I97" s="296"/>
      <c r="J97" s="128"/>
      <c r="K97" s="128"/>
      <c r="L97" s="128"/>
      <c r="M97" s="128"/>
      <c r="N97" s="128"/>
    </row>
    <row r="98" spans="1:14" ht="33" customHeight="1" x14ac:dyDescent="0.25">
      <c r="A98" s="395" t="s">
        <v>18</v>
      </c>
      <c r="B98" s="391" t="s">
        <v>56</v>
      </c>
      <c r="C98" s="4" t="s">
        <v>6</v>
      </c>
      <c r="D98" s="296"/>
      <c r="E98" s="296"/>
      <c r="F98" s="296"/>
      <c r="G98" s="296"/>
      <c r="H98" s="291"/>
      <c r="I98" s="296"/>
      <c r="J98" s="128"/>
      <c r="K98" s="128"/>
      <c r="L98" s="128"/>
      <c r="M98" s="128"/>
      <c r="N98" s="128"/>
    </row>
    <row r="99" spans="1:14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27"/>
      <c r="L99" s="127"/>
      <c r="M99" s="127"/>
      <c r="N99" s="127"/>
    </row>
    <row r="100" spans="1:14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27"/>
      <c r="L100" s="127"/>
      <c r="M100" s="127"/>
      <c r="N100" s="127"/>
    </row>
    <row r="101" spans="1:14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27"/>
      <c r="L101" s="127"/>
      <c r="M101" s="127"/>
      <c r="N101" s="127"/>
    </row>
    <row r="102" spans="1:14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27"/>
      <c r="L102" s="127"/>
      <c r="M102" s="127"/>
      <c r="N102" s="127"/>
    </row>
    <row r="103" spans="1:14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27"/>
      <c r="L103" s="127"/>
      <c r="M103" s="127"/>
      <c r="N103" s="127"/>
    </row>
    <row r="104" spans="1:14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27"/>
      <c r="L104" s="127"/>
      <c r="M104" s="127"/>
      <c r="N104" s="127"/>
    </row>
    <row r="105" spans="1:14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27"/>
      <c r="L105" s="127"/>
      <c r="M105" s="127"/>
      <c r="N105" s="127"/>
    </row>
    <row r="106" spans="1:14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27"/>
      <c r="L106" s="127"/>
      <c r="M106" s="127"/>
      <c r="N106" s="127"/>
    </row>
    <row r="107" spans="1:14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27"/>
      <c r="L107" s="127"/>
      <c r="M107" s="127"/>
      <c r="N107" s="127"/>
    </row>
    <row r="108" spans="1:14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27"/>
      <c r="L108" s="127"/>
      <c r="M108" s="127"/>
      <c r="N108" s="127"/>
    </row>
    <row r="109" spans="1:14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  <c r="N109" s="127"/>
    </row>
    <row r="110" spans="1:14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  <c r="N110" s="127"/>
    </row>
    <row r="111" spans="1:14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  <c r="N111" s="127"/>
    </row>
    <row r="112" spans="1:14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  <c r="N112" s="127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43307086614173229" right="0.35433070866141736" top="0.43307086614173229" bottom="0.27559055118110237" header="0" footer="0"/>
  <pageSetup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984"/>
  <sheetViews>
    <sheetView zoomScaleNormal="100" workbookViewId="0">
      <pane ySplit="8" topLeftCell="A47" activePane="bottomLeft" state="frozen"/>
      <selection pane="bottomLeft" activeCell="B7" sqref="B7:B8"/>
    </sheetView>
  </sheetViews>
  <sheetFormatPr defaultColWidth="11.21875" defaultRowHeight="15" customHeight="1" x14ac:dyDescent="0.25"/>
  <cols>
    <col min="1" max="1" width="7.88671875" style="330" customWidth="1"/>
    <col min="2" max="2" width="29.88671875" style="330" customWidth="1"/>
    <col min="3" max="3" width="9.44140625" style="330" customWidth="1"/>
    <col min="4" max="5" width="17.21875" style="330" customWidth="1"/>
    <col min="6" max="8" width="12.6640625" style="330" customWidth="1"/>
    <col min="9" max="9" width="9" style="330" customWidth="1"/>
    <col min="10" max="10" width="8.88671875" style="125" customWidth="1"/>
    <col min="11" max="11" width="19.109375" style="125" customWidth="1"/>
    <col min="12" max="14" width="8.88671875" style="125" customWidth="1"/>
    <col min="15" max="16384" width="11.21875" style="125"/>
  </cols>
  <sheetData>
    <row r="1" spans="1:14" ht="15" customHeight="1" x14ac:dyDescent="0.25">
      <c r="H1" s="409"/>
      <c r="I1" s="409"/>
    </row>
    <row r="2" spans="1:14" ht="16.5" x14ac:dyDescent="0.25">
      <c r="A2" s="410"/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  <c r="N2" s="127"/>
    </row>
    <row r="3" spans="1:14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14" ht="16.5" x14ac:dyDescent="0.25">
      <c r="A4" s="405" t="s">
        <v>232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14" ht="16.5" x14ac:dyDescent="0.25">
      <c r="A5" s="417" t="str">
        <f>'NGỌC LEANG(9)'!A5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14" ht="16.5" x14ac:dyDescent="0.25">
      <c r="A6" s="376"/>
      <c r="B6" s="376"/>
      <c r="C6" s="376"/>
      <c r="D6" s="377"/>
      <c r="E6" s="377"/>
      <c r="F6" s="377"/>
      <c r="G6" s="377"/>
      <c r="H6" s="377"/>
      <c r="I6" s="377"/>
      <c r="J6" s="127"/>
      <c r="K6" s="127"/>
      <c r="L6" s="127"/>
      <c r="M6" s="127"/>
      <c r="N6" s="127"/>
    </row>
    <row r="7" spans="1:14" ht="33.6" customHeight="1" x14ac:dyDescent="0.25">
      <c r="A7" s="412" t="s">
        <v>10</v>
      </c>
      <c r="B7" s="412" t="s">
        <v>1</v>
      </c>
      <c r="C7" s="412" t="s">
        <v>11</v>
      </c>
      <c r="D7" s="414" t="s">
        <v>222</v>
      </c>
      <c r="E7" s="416" t="s">
        <v>256</v>
      </c>
      <c r="F7" s="418"/>
      <c r="G7" s="418"/>
      <c r="H7" s="419"/>
      <c r="I7" s="407" t="s">
        <v>259</v>
      </c>
      <c r="J7" s="127"/>
      <c r="K7" s="153" t="s">
        <v>215</v>
      </c>
      <c r="L7" s="174">
        <v>45</v>
      </c>
      <c r="M7" s="127"/>
      <c r="N7" s="127"/>
    </row>
    <row r="8" spans="1:14" ht="33.6" customHeight="1" x14ac:dyDescent="0.25">
      <c r="A8" s="413"/>
      <c r="B8" s="413"/>
      <c r="C8" s="413"/>
      <c r="D8" s="415"/>
      <c r="E8" s="331" t="s">
        <v>257</v>
      </c>
      <c r="F8" s="331" t="s">
        <v>261</v>
      </c>
      <c r="G8" s="331" t="s">
        <v>263</v>
      </c>
      <c r="H8" s="331" t="s">
        <v>258</v>
      </c>
      <c r="I8" s="423"/>
      <c r="J8" s="127"/>
      <c r="K8" s="153" t="s">
        <v>216</v>
      </c>
      <c r="L8" s="174">
        <v>195</v>
      </c>
      <c r="M8" s="127"/>
      <c r="N8" s="127"/>
    </row>
    <row r="9" spans="1:14" s="131" customFormat="1" ht="31.15" customHeight="1" x14ac:dyDescent="0.25">
      <c r="A9" s="3" t="s">
        <v>12</v>
      </c>
      <c r="B9" s="335" t="s">
        <v>13</v>
      </c>
      <c r="C9" s="3" t="s">
        <v>6</v>
      </c>
      <c r="D9" s="291">
        <f>D13+D28+D37+D43+D46+D67</f>
        <v>51.7</v>
      </c>
      <c r="E9" s="291">
        <f t="shared" ref="E9:G9" si="0">E13+E28+E37+E43+E46+E67</f>
        <v>59.07</v>
      </c>
      <c r="F9" s="291">
        <f t="shared" si="0"/>
        <v>37.64</v>
      </c>
      <c r="G9" s="291">
        <f t="shared" si="0"/>
        <v>37.64</v>
      </c>
      <c r="H9" s="291">
        <f>F9/E9*100</f>
        <v>63.721008972405627</v>
      </c>
      <c r="I9" s="291"/>
      <c r="J9" s="213"/>
      <c r="K9" s="213"/>
      <c r="L9" s="213"/>
      <c r="M9" s="213"/>
      <c r="N9" s="213"/>
    </row>
    <row r="10" spans="1:14" s="131" customFormat="1" ht="31.15" customHeight="1" x14ac:dyDescent="0.25">
      <c r="A10" s="3">
        <v>1</v>
      </c>
      <c r="B10" s="335" t="s">
        <v>14</v>
      </c>
      <c r="C10" s="3" t="s">
        <v>6</v>
      </c>
      <c r="D10" s="291">
        <f>D13+D28</f>
        <v>1</v>
      </c>
      <c r="E10" s="291">
        <f t="shared" ref="E10:G10" si="1">E13+E28</f>
        <v>1</v>
      </c>
      <c r="F10" s="291">
        <f t="shared" si="1"/>
        <v>0</v>
      </c>
      <c r="G10" s="291">
        <f t="shared" si="1"/>
        <v>0</v>
      </c>
      <c r="H10" s="291">
        <f t="shared" ref="H10:H73" si="2">F10/E10*100</f>
        <v>0</v>
      </c>
      <c r="I10" s="291"/>
      <c r="J10" s="213"/>
      <c r="K10" s="213"/>
      <c r="L10" s="213"/>
      <c r="M10" s="213"/>
      <c r="N10" s="213"/>
    </row>
    <row r="11" spans="1:14" s="178" customFormat="1" ht="31.15" customHeight="1" x14ac:dyDescent="0.25">
      <c r="A11" s="3"/>
      <c r="B11" s="334" t="s">
        <v>16</v>
      </c>
      <c r="C11" s="3" t="s">
        <v>17</v>
      </c>
      <c r="D11" s="291">
        <f>D12+D30</f>
        <v>3.6850000000000001</v>
      </c>
      <c r="E11" s="291">
        <f t="shared" ref="E11:G11" si="3">E12+E30</f>
        <v>3.69</v>
      </c>
      <c r="F11" s="291">
        <f t="shared" si="3"/>
        <v>0</v>
      </c>
      <c r="G11" s="291">
        <f t="shared" si="3"/>
        <v>0</v>
      </c>
      <c r="H11" s="291">
        <f t="shared" si="2"/>
        <v>0</v>
      </c>
      <c r="I11" s="291"/>
      <c r="J11" s="213"/>
      <c r="K11" s="213"/>
      <c r="L11" s="232"/>
      <c r="M11" s="232"/>
      <c r="N11" s="232"/>
    </row>
    <row r="12" spans="1:14" s="178" customFormat="1" ht="31.15" customHeight="1" x14ac:dyDescent="0.25">
      <c r="A12" s="3"/>
      <c r="B12" s="335" t="s">
        <v>221</v>
      </c>
      <c r="C12" s="3" t="s">
        <v>17</v>
      </c>
      <c r="D12" s="291">
        <f>D15</f>
        <v>0</v>
      </c>
      <c r="E12" s="291">
        <f t="shared" ref="E12:G12" si="4">E15</f>
        <v>0</v>
      </c>
      <c r="F12" s="291">
        <f t="shared" si="4"/>
        <v>0</v>
      </c>
      <c r="G12" s="291">
        <f t="shared" si="4"/>
        <v>0</v>
      </c>
      <c r="H12" s="291"/>
      <c r="I12" s="291"/>
      <c r="J12" s="213"/>
      <c r="K12" s="213"/>
      <c r="L12" s="232"/>
      <c r="M12" s="232"/>
      <c r="N12" s="232"/>
    </row>
    <row r="13" spans="1:14" ht="31.15" customHeight="1" x14ac:dyDescent="0.25">
      <c r="A13" s="3" t="s">
        <v>5</v>
      </c>
      <c r="B13" s="335" t="s">
        <v>19</v>
      </c>
      <c r="C13" s="3" t="s">
        <v>6</v>
      </c>
      <c r="D13" s="291">
        <f>D16+D19</f>
        <v>0</v>
      </c>
      <c r="E13" s="291">
        <f t="shared" ref="E13:G13" si="5">E16+E19</f>
        <v>0</v>
      </c>
      <c r="F13" s="291">
        <f t="shared" si="5"/>
        <v>0</v>
      </c>
      <c r="G13" s="291">
        <f t="shared" si="5"/>
        <v>0</v>
      </c>
      <c r="H13" s="291"/>
      <c r="I13" s="291"/>
      <c r="J13" s="127"/>
      <c r="K13" s="127"/>
      <c r="L13" s="127"/>
      <c r="M13" s="127"/>
      <c r="N13" s="127"/>
    </row>
    <row r="14" spans="1:14" ht="31.15" customHeight="1" x14ac:dyDescent="0.25">
      <c r="A14" s="3"/>
      <c r="B14" s="337" t="s">
        <v>218</v>
      </c>
      <c r="C14" s="5" t="s">
        <v>219</v>
      </c>
      <c r="D14" s="296">
        <f>(D17+D20)/2</f>
        <v>30.125</v>
      </c>
      <c r="E14" s="296">
        <f t="shared" ref="E14:G14" si="6">(E17+E20)/2</f>
        <v>30.135000000000002</v>
      </c>
      <c r="F14" s="296">
        <f t="shared" si="6"/>
        <v>0</v>
      </c>
      <c r="G14" s="296">
        <f t="shared" si="6"/>
        <v>0</v>
      </c>
      <c r="H14" s="291">
        <f t="shared" si="2"/>
        <v>0</v>
      </c>
      <c r="I14" s="296"/>
      <c r="J14" s="127"/>
      <c r="K14" s="127"/>
      <c r="L14" s="127"/>
      <c r="M14" s="127"/>
      <c r="N14" s="127"/>
    </row>
    <row r="15" spans="1:14" ht="31.15" customHeight="1" x14ac:dyDescent="0.25">
      <c r="A15" s="3"/>
      <c r="B15" s="337" t="s">
        <v>220</v>
      </c>
      <c r="C15" s="5" t="s">
        <v>17</v>
      </c>
      <c r="D15" s="291">
        <f>D13*D14/10</f>
        <v>0</v>
      </c>
      <c r="E15" s="291">
        <f t="shared" ref="E15:G15" si="7">E13*E14/10</f>
        <v>0</v>
      </c>
      <c r="F15" s="291">
        <f t="shared" si="7"/>
        <v>0</v>
      </c>
      <c r="G15" s="291">
        <f t="shared" si="7"/>
        <v>0</v>
      </c>
      <c r="H15" s="291"/>
      <c r="I15" s="291"/>
      <c r="J15" s="127"/>
      <c r="K15" s="127"/>
      <c r="L15" s="127"/>
      <c r="M15" s="127"/>
      <c r="N15" s="127"/>
    </row>
    <row r="16" spans="1:14" ht="31.15" customHeight="1" x14ac:dyDescent="0.25">
      <c r="A16" s="3" t="s">
        <v>20</v>
      </c>
      <c r="B16" s="335" t="s">
        <v>21</v>
      </c>
      <c r="C16" s="3" t="s">
        <v>6</v>
      </c>
      <c r="D16" s="291"/>
      <c r="E16" s="291">
        <v>0</v>
      </c>
      <c r="F16" s="296">
        <v>0</v>
      </c>
      <c r="G16" s="296">
        <v>0</v>
      </c>
      <c r="H16" s="291"/>
      <c r="I16" s="296"/>
      <c r="J16" s="127"/>
      <c r="K16" s="127"/>
      <c r="L16" s="127"/>
      <c r="M16" s="127"/>
      <c r="N16" s="127"/>
    </row>
    <row r="17" spans="1:15" ht="31.15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/>
      <c r="G17" s="296"/>
      <c r="H17" s="291">
        <f t="shared" si="2"/>
        <v>0</v>
      </c>
      <c r="I17" s="296"/>
      <c r="J17" s="127"/>
      <c r="K17" s="127"/>
      <c r="L17" s="127"/>
      <c r="M17" s="127"/>
      <c r="N17" s="127"/>
    </row>
    <row r="18" spans="1:15" ht="31.15" customHeight="1" x14ac:dyDescent="0.25">
      <c r="A18" s="3"/>
      <c r="B18" s="337" t="s">
        <v>220</v>
      </c>
      <c r="C18" s="5" t="s">
        <v>17</v>
      </c>
      <c r="D18" s="291">
        <f>D16*D17/10</f>
        <v>0</v>
      </c>
      <c r="E18" s="291">
        <f t="shared" ref="E18:G18" si="8">E16*E17/10</f>
        <v>0</v>
      </c>
      <c r="F18" s="291">
        <f t="shared" si="8"/>
        <v>0</v>
      </c>
      <c r="G18" s="291">
        <f t="shared" si="8"/>
        <v>0</v>
      </c>
      <c r="H18" s="291"/>
      <c r="I18" s="291"/>
      <c r="J18" s="127"/>
      <c r="K18" s="127"/>
      <c r="L18" s="127"/>
      <c r="M18" s="127"/>
      <c r="N18" s="127"/>
    </row>
    <row r="19" spans="1:15" ht="31.15" customHeight="1" x14ac:dyDescent="0.25">
      <c r="A19" s="379" t="s">
        <v>22</v>
      </c>
      <c r="B19" s="380" t="s">
        <v>23</v>
      </c>
      <c r="C19" s="379" t="s">
        <v>6</v>
      </c>
      <c r="D19" s="291">
        <f t="shared" ref="D19:G19" si="9">D22+D25</f>
        <v>0</v>
      </c>
      <c r="E19" s="291">
        <f t="shared" si="9"/>
        <v>0</v>
      </c>
      <c r="F19" s="291">
        <f t="shared" si="9"/>
        <v>0</v>
      </c>
      <c r="G19" s="291">
        <f t="shared" si="9"/>
        <v>0</v>
      </c>
      <c r="H19" s="291"/>
      <c r="I19" s="291"/>
      <c r="J19" s="127"/>
      <c r="K19" s="127"/>
      <c r="L19" s="127"/>
      <c r="M19" s="127"/>
      <c r="N19" s="127"/>
    </row>
    <row r="20" spans="1:15" ht="31.15" customHeight="1" x14ac:dyDescent="0.25">
      <c r="A20" s="379"/>
      <c r="B20" s="337" t="s">
        <v>218</v>
      </c>
      <c r="C20" s="5" t="s">
        <v>219</v>
      </c>
      <c r="D20" s="296">
        <f>(D23+D26)/2</f>
        <v>26.75</v>
      </c>
      <c r="E20" s="296">
        <f t="shared" ref="E20:G20" si="10">(E23+E26)/2</f>
        <v>26.770000000000003</v>
      </c>
      <c r="F20" s="296">
        <f t="shared" si="10"/>
        <v>0</v>
      </c>
      <c r="G20" s="296">
        <f t="shared" si="10"/>
        <v>0</v>
      </c>
      <c r="H20" s="291">
        <f t="shared" si="2"/>
        <v>0</v>
      </c>
      <c r="I20" s="296"/>
      <c r="J20" s="127"/>
      <c r="K20" s="127"/>
      <c r="L20" s="127"/>
      <c r="M20" s="127"/>
      <c r="N20" s="127"/>
    </row>
    <row r="21" spans="1:15" ht="31.15" customHeight="1" x14ac:dyDescent="0.25">
      <c r="A21" s="379"/>
      <c r="B21" s="337" t="s">
        <v>220</v>
      </c>
      <c r="C21" s="5" t="s">
        <v>17</v>
      </c>
      <c r="D21" s="291">
        <f>D19*D20/10</f>
        <v>0</v>
      </c>
      <c r="E21" s="291">
        <f t="shared" ref="E21:G21" si="11">E19*E20/10</f>
        <v>0</v>
      </c>
      <c r="F21" s="291">
        <f t="shared" si="11"/>
        <v>0</v>
      </c>
      <c r="G21" s="291">
        <f t="shared" si="11"/>
        <v>0</v>
      </c>
      <c r="H21" s="291"/>
      <c r="I21" s="291"/>
      <c r="J21" s="127"/>
      <c r="K21" s="127"/>
      <c r="L21" s="127"/>
      <c r="M21" s="127"/>
      <c r="N21" s="127"/>
    </row>
    <row r="22" spans="1:15" ht="31.15" customHeight="1" x14ac:dyDescent="0.25">
      <c r="A22" s="379" t="s">
        <v>24</v>
      </c>
      <c r="B22" s="380" t="s">
        <v>25</v>
      </c>
      <c r="C22" s="379" t="s">
        <v>6</v>
      </c>
      <c r="D22" s="291"/>
      <c r="E22" s="291">
        <v>0</v>
      </c>
      <c r="F22" s="291"/>
      <c r="G22" s="291"/>
      <c r="H22" s="291"/>
      <c r="I22" s="291"/>
      <c r="J22" s="127"/>
      <c r="K22" s="127"/>
      <c r="L22" s="127"/>
      <c r="M22" s="127"/>
      <c r="N22" s="127"/>
    </row>
    <row r="23" spans="1:15" ht="31.15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/>
      <c r="G23" s="296"/>
      <c r="H23" s="291">
        <f t="shared" si="2"/>
        <v>0</v>
      </c>
      <c r="I23" s="296"/>
      <c r="J23" s="127"/>
      <c r="K23" s="127"/>
      <c r="L23" s="127"/>
      <c r="M23" s="127"/>
      <c r="N23" s="127"/>
    </row>
    <row r="24" spans="1:15" ht="31.15" customHeight="1" x14ac:dyDescent="0.25">
      <c r="A24" s="379"/>
      <c r="B24" s="337" t="s">
        <v>220</v>
      </c>
      <c r="C24" s="5" t="s">
        <v>17</v>
      </c>
      <c r="D24" s="291"/>
      <c r="E24" s="291"/>
      <c r="F24" s="291"/>
      <c r="G24" s="291"/>
      <c r="H24" s="291"/>
      <c r="I24" s="291"/>
      <c r="J24" s="127"/>
      <c r="K24" s="127"/>
      <c r="L24" s="127"/>
      <c r="M24" s="127"/>
      <c r="N24" s="127"/>
    </row>
    <row r="25" spans="1:15" ht="31.15" customHeight="1" x14ac:dyDescent="0.25">
      <c r="A25" s="379" t="s">
        <v>24</v>
      </c>
      <c r="B25" s="380" t="s">
        <v>26</v>
      </c>
      <c r="C25" s="379" t="s">
        <v>6</v>
      </c>
      <c r="D25" s="291"/>
      <c r="E25" s="291"/>
      <c r="F25" s="291"/>
      <c r="G25" s="291"/>
      <c r="H25" s="291"/>
      <c r="I25" s="291"/>
      <c r="J25" s="127"/>
      <c r="K25" s="127"/>
      <c r="L25" s="127"/>
      <c r="M25" s="127"/>
      <c r="N25" s="127"/>
    </row>
    <row r="26" spans="1:15" ht="31.15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15.2</v>
      </c>
      <c r="F26" s="296"/>
      <c r="G26" s="296"/>
      <c r="H26" s="291">
        <f t="shared" si="2"/>
        <v>0</v>
      </c>
      <c r="I26" s="296"/>
      <c r="J26" s="127"/>
      <c r="K26" s="127"/>
      <c r="L26" s="127"/>
      <c r="M26" s="127"/>
      <c r="N26" s="127"/>
    </row>
    <row r="27" spans="1:15" ht="31.15" customHeight="1" x14ac:dyDescent="0.25">
      <c r="A27" s="379"/>
      <c r="B27" s="337" t="s">
        <v>220</v>
      </c>
      <c r="C27" s="5" t="s">
        <v>17</v>
      </c>
      <c r="D27" s="291"/>
      <c r="E27" s="291"/>
      <c r="F27" s="291"/>
      <c r="G27" s="291"/>
      <c r="H27" s="291"/>
      <c r="I27" s="291"/>
      <c r="J27" s="127"/>
      <c r="K27" s="127"/>
      <c r="L27" s="127"/>
      <c r="M27" s="127"/>
      <c r="N27" s="127"/>
    </row>
    <row r="28" spans="1:15" ht="31.15" customHeight="1" x14ac:dyDescent="0.25">
      <c r="A28" s="3" t="s">
        <v>7</v>
      </c>
      <c r="B28" s="335" t="s">
        <v>27</v>
      </c>
      <c r="C28" s="3" t="s">
        <v>6</v>
      </c>
      <c r="D28" s="291">
        <f t="shared" ref="D28:G28" si="12">D31+D34</f>
        <v>1</v>
      </c>
      <c r="E28" s="291">
        <f t="shared" si="12"/>
        <v>1</v>
      </c>
      <c r="F28" s="291">
        <f t="shared" si="12"/>
        <v>0</v>
      </c>
      <c r="G28" s="291">
        <f t="shared" si="12"/>
        <v>0</v>
      </c>
      <c r="H28" s="291">
        <f t="shared" si="2"/>
        <v>0</v>
      </c>
      <c r="I28" s="291"/>
      <c r="J28" s="127"/>
      <c r="K28" s="127"/>
      <c r="L28" s="127"/>
      <c r="M28" s="127"/>
      <c r="N28" s="127"/>
    </row>
    <row r="29" spans="1:15" ht="31.15" customHeight="1" x14ac:dyDescent="0.25">
      <c r="A29" s="3"/>
      <c r="B29" s="337" t="s">
        <v>218</v>
      </c>
      <c r="C29" s="5" t="s">
        <v>219</v>
      </c>
      <c r="D29" s="296">
        <f>D35</f>
        <v>36.85</v>
      </c>
      <c r="E29" s="296">
        <f t="shared" ref="E29:G29" si="13">E35</f>
        <v>36.9</v>
      </c>
      <c r="F29" s="296">
        <f t="shared" si="13"/>
        <v>0</v>
      </c>
      <c r="G29" s="296">
        <f t="shared" si="13"/>
        <v>0</v>
      </c>
      <c r="H29" s="291">
        <f t="shared" si="2"/>
        <v>0</v>
      </c>
      <c r="I29" s="296"/>
      <c r="J29" s="127"/>
      <c r="K29" s="127"/>
      <c r="L29" s="127"/>
      <c r="M29" s="127"/>
      <c r="N29" s="127"/>
    </row>
    <row r="30" spans="1:15" ht="31.15" customHeight="1" x14ac:dyDescent="0.25">
      <c r="A30" s="3"/>
      <c r="B30" s="337" t="s">
        <v>220</v>
      </c>
      <c r="C30" s="5" t="s">
        <v>17</v>
      </c>
      <c r="D30" s="296">
        <f>D28*D29/10</f>
        <v>3.6850000000000001</v>
      </c>
      <c r="E30" s="296">
        <f t="shared" ref="E30:G30" si="14">E28*E29/10</f>
        <v>3.69</v>
      </c>
      <c r="F30" s="296">
        <f t="shared" si="14"/>
        <v>0</v>
      </c>
      <c r="G30" s="296">
        <f t="shared" si="14"/>
        <v>0</v>
      </c>
      <c r="H30" s="291">
        <f t="shared" si="2"/>
        <v>0</v>
      </c>
      <c r="I30" s="296"/>
      <c r="J30" s="127"/>
      <c r="K30" s="127"/>
      <c r="L30" s="127"/>
      <c r="M30" s="127"/>
      <c r="N30" s="127"/>
    </row>
    <row r="31" spans="1:15" ht="31.15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/>
      <c r="G31" s="291"/>
      <c r="H31" s="291"/>
      <c r="I31" s="291"/>
      <c r="J31" s="127"/>
      <c r="K31" s="114"/>
      <c r="L31" s="169"/>
      <c r="M31" s="169"/>
      <c r="N31" s="169"/>
      <c r="O31" s="169"/>
    </row>
    <row r="32" spans="1:15" ht="31.15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1"/>
      <c r="H32" s="291"/>
      <c r="I32" s="291"/>
      <c r="J32" s="127"/>
      <c r="K32" s="114"/>
      <c r="L32" s="169"/>
      <c r="M32" s="169"/>
      <c r="N32" s="169"/>
      <c r="O32" s="169"/>
    </row>
    <row r="33" spans="1:25" ht="31.15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1"/>
      <c r="H33" s="291"/>
      <c r="I33" s="291"/>
      <c r="J33" s="127"/>
      <c r="K33" s="114"/>
      <c r="L33" s="169"/>
      <c r="M33" s="169"/>
      <c r="N33" s="169"/>
      <c r="O33" s="169"/>
    </row>
    <row r="34" spans="1:25" ht="31.15" customHeight="1" x14ac:dyDescent="0.25">
      <c r="A34" s="379" t="s">
        <v>22</v>
      </c>
      <c r="B34" s="380" t="s">
        <v>29</v>
      </c>
      <c r="C34" s="379" t="s">
        <v>6</v>
      </c>
      <c r="D34" s="313">
        <v>1</v>
      </c>
      <c r="E34" s="313">
        <v>1</v>
      </c>
      <c r="F34" s="313">
        <v>0</v>
      </c>
      <c r="G34" s="313">
        <v>0</v>
      </c>
      <c r="H34" s="291">
        <f t="shared" si="2"/>
        <v>0</v>
      </c>
      <c r="I34" s="291"/>
      <c r="J34" s="127"/>
      <c r="K34" s="137"/>
      <c r="L34" s="137"/>
      <c r="M34" s="137"/>
      <c r="N34" s="137"/>
      <c r="O34" s="137"/>
    </row>
    <row r="35" spans="1:25" ht="31.15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/>
      <c r="G35" s="296"/>
      <c r="H35" s="291">
        <f t="shared" si="2"/>
        <v>0</v>
      </c>
      <c r="I35" s="296"/>
      <c r="J35" s="127"/>
      <c r="K35" s="137"/>
      <c r="L35" s="137"/>
      <c r="M35" s="137"/>
      <c r="N35" s="137"/>
      <c r="O35" s="137"/>
    </row>
    <row r="36" spans="1:25" ht="31.15" customHeight="1" x14ac:dyDescent="0.25">
      <c r="A36" s="379"/>
      <c r="B36" s="337" t="s">
        <v>220</v>
      </c>
      <c r="C36" s="5" t="s">
        <v>17</v>
      </c>
      <c r="D36" s="296">
        <f>D34*D35/10</f>
        <v>3.6850000000000001</v>
      </c>
      <c r="E36" s="296">
        <f t="shared" ref="E36:G36" si="15">E34*E35/10</f>
        <v>3.69</v>
      </c>
      <c r="F36" s="296">
        <f t="shared" si="15"/>
        <v>0</v>
      </c>
      <c r="G36" s="296">
        <f t="shared" si="15"/>
        <v>0</v>
      </c>
      <c r="H36" s="291">
        <f t="shared" si="2"/>
        <v>0</v>
      </c>
      <c r="I36" s="296"/>
      <c r="J36" s="127"/>
      <c r="K36" s="137"/>
      <c r="L36" s="137"/>
      <c r="M36" s="137"/>
      <c r="N36" s="137"/>
      <c r="O36" s="137"/>
    </row>
    <row r="37" spans="1:25" ht="31.15" customHeight="1" x14ac:dyDescent="0.25">
      <c r="A37" s="3">
        <v>2</v>
      </c>
      <c r="B37" s="335" t="s">
        <v>30</v>
      </c>
      <c r="C37" s="3" t="s">
        <v>6</v>
      </c>
      <c r="D37" s="291">
        <v>10.199999999999999</v>
      </c>
      <c r="E37" s="291">
        <v>9.51</v>
      </c>
      <c r="F37" s="291">
        <v>0</v>
      </c>
      <c r="G37" s="291">
        <v>0</v>
      </c>
      <c r="H37" s="291">
        <f t="shared" si="2"/>
        <v>0</v>
      </c>
      <c r="I37" s="291"/>
      <c r="J37" s="121"/>
      <c r="K37" s="116"/>
      <c r="L37" s="116"/>
      <c r="M37" s="116"/>
      <c r="N37" s="116"/>
      <c r="O37" s="116"/>
      <c r="P37" s="122"/>
      <c r="Q37" s="122"/>
      <c r="R37" s="122"/>
      <c r="S37" s="122"/>
      <c r="T37" s="122"/>
      <c r="U37" s="122"/>
      <c r="V37" s="122"/>
      <c r="W37" s="122"/>
      <c r="X37" s="122"/>
      <c r="Y37" s="122"/>
    </row>
    <row r="38" spans="1:25" ht="31.15" customHeight="1" x14ac:dyDescent="0.25">
      <c r="A38" s="3"/>
      <c r="B38" s="337" t="s">
        <v>218</v>
      </c>
      <c r="C38" s="5" t="s">
        <v>219</v>
      </c>
      <c r="D38" s="296">
        <v>137.5</v>
      </c>
      <c r="E38" s="296">
        <v>140</v>
      </c>
      <c r="F38" s="296"/>
      <c r="G38" s="296"/>
      <c r="H38" s="291">
        <f t="shared" si="2"/>
        <v>0</v>
      </c>
      <c r="I38" s="296"/>
      <c r="J38" s="121"/>
      <c r="K38" s="116"/>
      <c r="L38" s="116"/>
      <c r="M38" s="116"/>
      <c r="N38" s="116"/>
      <c r="O38" s="116"/>
      <c r="P38" s="122"/>
      <c r="Q38" s="122"/>
      <c r="R38" s="122"/>
      <c r="S38" s="122"/>
      <c r="T38" s="122"/>
      <c r="U38" s="122"/>
      <c r="V38" s="122"/>
      <c r="W38" s="122"/>
      <c r="X38" s="122"/>
      <c r="Y38" s="122"/>
    </row>
    <row r="39" spans="1:25" ht="31.15" customHeight="1" x14ac:dyDescent="0.25">
      <c r="A39" s="3"/>
      <c r="B39" s="337" t="s">
        <v>220</v>
      </c>
      <c r="C39" s="5" t="s">
        <v>17</v>
      </c>
      <c r="D39" s="296">
        <f>D37*D38/10</f>
        <v>140.25</v>
      </c>
      <c r="E39" s="296">
        <f t="shared" ref="E39:G39" si="16">E37*E38/10</f>
        <v>133.13999999999999</v>
      </c>
      <c r="F39" s="296">
        <f t="shared" si="16"/>
        <v>0</v>
      </c>
      <c r="G39" s="296">
        <f t="shared" si="16"/>
        <v>0</v>
      </c>
      <c r="H39" s="291">
        <f t="shared" si="2"/>
        <v>0</v>
      </c>
      <c r="I39" s="296"/>
      <c r="J39" s="121"/>
      <c r="K39" s="116"/>
      <c r="L39" s="116"/>
      <c r="M39" s="116"/>
      <c r="N39" s="116"/>
      <c r="O39" s="116"/>
      <c r="P39" s="122"/>
      <c r="Q39" s="122"/>
      <c r="R39" s="122"/>
      <c r="S39" s="122"/>
      <c r="T39" s="122"/>
      <c r="U39" s="122"/>
      <c r="V39" s="122"/>
      <c r="W39" s="122"/>
      <c r="X39" s="122"/>
      <c r="Y39" s="122"/>
    </row>
    <row r="40" spans="1:25" ht="31.15" customHeight="1" x14ac:dyDescent="0.25">
      <c r="A40" s="3">
        <v>3</v>
      </c>
      <c r="B40" s="333" t="s">
        <v>241</v>
      </c>
      <c r="C40" s="332" t="s">
        <v>6</v>
      </c>
      <c r="D40" s="294">
        <v>0.5</v>
      </c>
      <c r="E40" s="294">
        <v>0.5</v>
      </c>
      <c r="F40" s="291">
        <v>0</v>
      </c>
      <c r="G40" s="291">
        <v>0</v>
      </c>
      <c r="H40" s="291">
        <f t="shared" si="2"/>
        <v>0</v>
      </c>
      <c r="I40" s="296"/>
      <c r="J40" s="121"/>
      <c r="K40" s="116"/>
      <c r="L40" s="116"/>
      <c r="M40" s="116"/>
      <c r="N40" s="116"/>
      <c r="O40" s="116"/>
      <c r="P40" s="122"/>
      <c r="Q40" s="122"/>
      <c r="R40" s="122"/>
      <c r="S40" s="122"/>
      <c r="T40" s="122"/>
      <c r="U40" s="122"/>
      <c r="V40" s="122"/>
      <c r="W40" s="122"/>
      <c r="X40" s="122"/>
      <c r="Y40" s="122"/>
    </row>
    <row r="41" spans="1:25" ht="31.15" customHeight="1" x14ac:dyDescent="0.25">
      <c r="A41" s="3"/>
      <c r="B41" s="336" t="s">
        <v>218</v>
      </c>
      <c r="C41" s="343" t="s">
        <v>219</v>
      </c>
      <c r="D41" s="298">
        <v>25</v>
      </c>
      <c r="E41" s="298">
        <v>24.1</v>
      </c>
      <c r="F41" s="296"/>
      <c r="G41" s="296"/>
      <c r="H41" s="291">
        <f t="shared" si="2"/>
        <v>0</v>
      </c>
      <c r="I41" s="296"/>
      <c r="J41" s="121"/>
      <c r="K41" s="116"/>
      <c r="L41" s="116"/>
      <c r="M41" s="116"/>
      <c r="N41" s="116"/>
      <c r="O41" s="116"/>
      <c r="P41" s="122"/>
      <c r="Q41" s="122"/>
      <c r="R41" s="122"/>
      <c r="S41" s="122"/>
      <c r="T41" s="122"/>
      <c r="U41" s="122"/>
      <c r="V41" s="122"/>
      <c r="W41" s="122"/>
      <c r="X41" s="122"/>
      <c r="Y41" s="122"/>
    </row>
    <row r="42" spans="1:25" ht="31.15" customHeight="1" x14ac:dyDescent="0.25">
      <c r="A42" s="3"/>
      <c r="B42" s="336" t="s">
        <v>220</v>
      </c>
      <c r="C42" s="343" t="s">
        <v>17</v>
      </c>
      <c r="D42" s="298">
        <f>D40*D41/10</f>
        <v>1.25</v>
      </c>
      <c r="E42" s="298">
        <f>E40*E41/10</f>
        <v>1.2050000000000001</v>
      </c>
      <c r="F42" s="298">
        <f t="shared" ref="F42:G42" si="17">F40*F41/10</f>
        <v>0</v>
      </c>
      <c r="G42" s="298">
        <f t="shared" si="17"/>
        <v>0</v>
      </c>
      <c r="H42" s="291">
        <f t="shared" si="2"/>
        <v>0</v>
      </c>
      <c r="I42" s="296"/>
      <c r="J42" s="121"/>
      <c r="K42" s="116"/>
      <c r="L42" s="116"/>
      <c r="M42" s="116"/>
      <c r="N42" s="116"/>
      <c r="O42" s="116"/>
      <c r="P42" s="122"/>
      <c r="Q42" s="122"/>
      <c r="R42" s="122"/>
      <c r="S42" s="122"/>
      <c r="T42" s="122"/>
      <c r="U42" s="122"/>
      <c r="V42" s="122"/>
      <c r="W42" s="122"/>
      <c r="X42" s="122"/>
      <c r="Y42" s="122"/>
    </row>
    <row r="43" spans="1:25" ht="31.15" customHeight="1" x14ac:dyDescent="0.25">
      <c r="A43" s="3">
        <v>4</v>
      </c>
      <c r="B43" s="335" t="s">
        <v>242</v>
      </c>
      <c r="C43" s="3" t="s">
        <v>6</v>
      </c>
      <c r="D43" s="291">
        <v>0.5</v>
      </c>
      <c r="E43" s="291">
        <v>0.5</v>
      </c>
      <c r="F43" s="291">
        <v>0.27</v>
      </c>
      <c r="G43" s="291">
        <f>F43</f>
        <v>0.27</v>
      </c>
      <c r="H43" s="291">
        <f t="shared" si="2"/>
        <v>54</v>
      </c>
      <c r="I43" s="291"/>
      <c r="J43" s="127"/>
      <c r="K43" s="134"/>
      <c r="L43" s="215"/>
      <c r="M43" s="215"/>
      <c r="N43" s="215"/>
      <c r="O43" s="215"/>
    </row>
    <row r="44" spans="1:25" ht="31.15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1">
        <f t="shared" si="2"/>
        <v>0</v>
      </c>
      <c r="I44" s="296"/>
      <c r="J44" s="127"/>
      <c r="K44" s="216"/>
      <c r="L44" s="155"/>
      <c r="M44" s="155"/>
      <c r="N44" s="155"/>
      <c r="O44" s="138"/>
    </row>
    <row r="45" spans="1:25" ht="31.15" customHeight="1" x14ac:dyDescent="0.25">
      <c r="A45" s="5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18">F43*F44/10</f>
        <v>0</v>
      </c>
      <c r="G45" s="296">
        <f t="shared" si="18"/>
        <v>0</v>
      </c>
      <c r="H45" s="291">
        <f t="shared" si="2"/>
        <v>0</v>
      </c>
      <c r="I45" s="296"/>
      <c r="J45" s="127"/>
      <c r="K45" s="127"/>
      <c r="L45" s="127"/>
      <c r="M45" s="127"/>
      <c r="N45" s="127"/>
    </row>
    <row r="46" spans="1:25" ht="31.15" customHeight="1" x14ac:dyDescent="0.25">
      <c r="A46" s="3">
        <v>5</v>
      </c>
      <c r="B46" s="335" t="s">
        <v>32</v>
      </c>
      <c r="C46" s="3" t="s">
        <v>6</v>
      </c>
      <c r="D46" s="291">
        <f>D47+D55+D64</f>
        <v>26.55</v>
      </c>
      <c r="E46" s="291">
        <f t="shared" ref="E46:G46" si="19">E47+E55+E64</f>
        <v>35.450000000000003</v>
      </c>
      <c r="F46" s="291">
        <f t="shared" si="19"/>
        <v>26.85</v>
      </c>
      <c r="G46" s="291">
        <f t="shared" si="19"/>
        <v>26.85</v>
      </c>
      <c r="H46" s="291">
        <f t="shared" si="2"/>
        <v>75.740479548660076</v>
      </c>
      <c r="I46" s="291"/>
      <c r="J46" s="127"/>
      <c r="K46" s="127"/>
      <c r="L46" s="127"/>
      <c r="M46" s="127"/>
      <c r="N46" s="127"/>
    </row>
    <row r="47" spans="1:25" ht="31.15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22.05</v>
      </c>
      <c r="E47" s="291">
        <f t="shared" ref="E47:G47" si="20">E48+E49</f>
        <v>30.05</v>
      </c>
      <c r="F47" s="291">
        <f t="shared" si="20"/>
        <v>22.05</v>
      </c>
      <c r="G47" s="291">
        <f t="shared" si="20"/>
        <v>22.05</v>
      </c>
      <c r="H47" s="291">
        <f t="shared" si="2"/>
        <v>73.37770382695507</v>
      </c>
      <c r="I47" s="291"/>
      <c r="J47" s="127"/>
      <c r="K47" s="127"/>
      <c r="L47" s="127"/>
      <c r="M47" s="127"/>
      <c r="N47" s="127"/>
    </row>
    <row r="48" spans="1:25" ht="31.15" customHeight="1" x14ac:dyDescent="0.25">
      <c r="A48" s="7" t="s">
        <v>24</v>
      </c>
      <c r="B48" s="383" t="s">
        <v>196</v>
      </c>
      <c r="C48" s="384" t="s">
        <v>6</v>
      </c>
      <c r="D48" s="296">
        <v>22.05</v>
      </c>
      <c r="E48" s="296">
        <f>D48+D49</f>
        <v>22.05</v>
      </c>
      <c r="F48" s="296">
        <v>22.05</v>
      </c>
      <c r="G48" s="296">
        <v>22.05</v>
      </c>
      <c r="H48" s="296">
        <f t="shared" si="2"/>
        <v>100</v>
      </c>
      <c r="I48" s="296"/>
      <c r="J48" s="121"/>
      <c r="K48" s="121"/>
      <c r="L48" s="121"/>
      <c r="M48" s="121"/>
      <c r="N48" s="121"/>
      <c r="O48" s="122"/>
      <c r="P48" s="122"/>
    </row>
    <row r="49" spans="1:16" s="131" customFormat="1" ht="31.15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0</v>
      </c>
      <c r="E49" s="291">
        <f t="shared" ref="E49:G49" si="21">E50+E51</f>
        <v>8</v>
      </c>
      <c r="F49" s="291">
        <f t="shared" si="21"/>
        <v>0</v>
      </c>
      <c r="G49" s="291">
        <f t="shared" si="21"/>
        <v>0</v>
      </c>
      <c r="H49" s="291">
        <f t="shared" si="2"/>
        <v>0</v>
      </c>
      <c r="I49" s="291"/>
      <c r="J49" s="213"/>
      <c r="K49" s="213"/>
      <c r="L49" s="213"/>
      <c r="M49" s="213"/>
      <c r="N49" s="213"/>
    </row>
    <row r="50" spans="1:16" ht="31.15" customHeight="1" x14ac:dyDescent="0.25">
      <c r="A50" s="384" t="s">
        <v>18</v>
      </c>
      <c r="B50" s="386" t="s">
        <v>194</v>
      </c>
      <c r="C50" s="384" t="s">
        <v>6</v>
      </c>
      <c r="D50" s="296"/>
      <c r="E50" s="296">
        <v>8</v>
      </c>
      <c r="F50" s="296">
        <v>0</v>
      </c>
      <c r="G50" s="296">
        <v>0</v>
      </c>
      <c r="H50" s="291">
        <f t="shared" si="2"/>
        <v>0</v>
      </c>
      <c r="I50" s="296"/>
      <c r="J50" s="214"/>
      <c r="K50" s="127"/>
      <c r="L50" s="127"/>
      <c r="M50" s="127"/>
      <c r="N50" s="127"/>
    </row>
    <row r="51" spans="1:16" ht="31.15" customHeight="1" x14ac:dyDescent="0.25">
      <c r="A51" s="384" t="s">
        <v>18</v>
      </c>
      <c r="B51" s="386" t="s">
        <v>35</v>
      </c>
      <c r="C51" s="5" t="s">
        <v>6</v>
      </c>
      <c r="D51" s="296"/>
      <c r="E51" s="296"/>
      <c r="F51" s="296"/>
      <c r="G51" s="296"/>
      <c r="H51" s="291"/>
      <c r="I51" s="296"/>
      <c r="J51" s="127"/>
      <c r="K51" s="127"/>
      <c r="L51" s="127"/>
      <c r="M51" s="127"/>
      <c r="N51" s="127"/>
    </row>
    <row r="52" spans="1:16" s="131" customFormat="1" ht="31.15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13.33</v>
      </c>
      <c r="E52" s="291">
        <f t="shared" ref="E52:G52" si="22">E53+E54</f>
        <v>18.7425</v>
      </c>
      <c r="F52" s="291">
        <f t="shared" si="22"/>
        <v>18.739999999999998</v>
      </c>
      <c r="G52" s="291">
        <f t="shared" si="22"/>
        <v>18.739999999999998</v>
      </c>
      <c r="H52" s="291">
        <f t="shared" si="2"/>
        <v>99.986661331199144</v>
      </c>
      <c r="I52" s="291"/>
      <c r="J52" s="213"/>
      <c r="K52" s="213"/>
      <c r="L52" s="213"/>
      <c r="M52" s="213"/>
      <c r="N52" s="213"/>
    </row>
    <row r="53" spans="1:16" ht="31.15" customHeight="1" x14ac:dyDescent="0.25">
      <c r="A53" s="387" t="s">
        <v>18</v>
      </c>
      <c r="B53" s="386" t="s">
        <v>198</v>
      </c>
      <c r="C53" s="5" t="s">
        <v>6</v>
      </c>
      <c r="D53" s="296">
        <f>14.33-4</f>
        <v>10.33</v>
      </c>
      <c r="E53" s="296">
        <f>D48*85%</f>
        <v>18.7425</v>
      </c>
      <c r="F53" s="296">
        <v>18.739999999999998</v>
      </c>
      <c r="G53" s="296">
        <v>18.739999999999998</v>
      </c>
      <c r="H53" s="296">
        <f t="shared" si="2"/>
        <v>99.986661331199144</v>
      </c>
      <c r="I53" s="296"/>
      <c r="J53" s="127"/>
      <c r="K53" s="127"/>
      <c r="L53" s="224"/>
      <c r="M53" s="127"/>
      <c r="N53" s="127"/>
    </row>
    <row r="54" spans="1:16" ht="31.15" customHeight="1" x14ac:dyDescent="0.25">
      <c r="A54" s="5"/>
      <c r="B54" s="386" t="s">
        <v>199</v>
      </c>
      <c r="C54" s="5" t="s">
        <v>6</v>
      </c>
      <c r="D54" s="296">
        <v>3</v>
      </c>
      <c r="E54" s="296"/>
      <c r="F54" s="296"/>
      <c r="G54" s="296"/>
      <c r="H54" s="291"/>
      <c r="I54" s="296"/>
      <c r="J54" s="127"/>
      <c r="K54" s="127"/>
      <c r="L54" s="127"/>
      <c r="M54" s="127"/>
      <c r="N54" s="127"/>
    </row>
    <row r="55" spans="1:16" ht="31.15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4.5</v>
      </c>
      <c r="E55" s="291">
        <f t="shared" ref="E55:G55" si="23">E56+E57</f>
        <v>5.4</v>
      </c>
      <c r="F55" s="291">
        <f t="shared" si="23"/>
        <v>4.8</v>
      </c>
      <c r="G55" s="291">
        <f t="shared" si="23"/>
        <v>4.8</v>
      </c>
      <c r="H55" s="291">
        <f t="shared" si="2"/>
        <v>88.888888888888886</v>
      </c>
      <c r="I55" s="291"/>
      <c r="J55" s="127"/>
      <c r="K55" s="127"/>
      <c r="L55" s="127"/>
      <c r="M55" s="127"/>
      <c r="N55" s="127"/>
    </row>
    <row r="56" spans="1:16" ht="31.15" customHeight="1" x14ac:dyDescent="0.25">
      <c r="A56" s="5" t="s">
        <v>24</v>
      </c>
      <c r="B56" s="383" t="s">
        <v>197</v>
      </c>
      <c r="C56" s="5" t="s">
        <v>6</v>
      </c>
      <c r="D56" s="296">
        <v>4.5</v>
      </c>
      <c r="E56" s="296">
        <f>D56+E58</f>
        <v>4.8</v>
      </c>
      <c r="F56" s="296">
        <v>4.8</v>
      </c>
      <c r="G56" s="296">
        <v>4.8</v>
      </c>
      <c r="H56" s="296">
        <f t="shared" si="2"/>
        <v>100</v>
      </c>
      <c r="I56" s="296"/>
      <c r="J56" s="127"/>
      <c r="K56" s="127"/>
      <c r="L56" s="127"/>
      <c r="M56" s="127"/>
      <c r="N56" s="127"/>
    </row>
    <row r="57" spans="1:16" ht="31.15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0</v>
      </c>
      <c r="E57" s="296">
        <f t="shared" ref="E57:G57" si="24">E58+E61</f>
        <v>0.60000000000000009</v>
      </c>
      <c r="F57" s="296">
        <f t="shared" si="24"/>
        <v>0</v>
      </c>
      <c r="G57" s="296">
        <f t="shared" si="24"/>
        <v>0</v>
      </c>
      <c r="H57" s="291">
        <f t="shared" si="2"/>
        <v>0</v>
      </c>
      <c r="I57" s="296"/>
      <c r="J57" s="127"/>
      <c r="K57" s="127"/>
      <c r="L57" s="127"/>
      <c r="M57" s="127"/>
      <c r="N57" s="127"/>
    </row>
    <row r="58" spans="1:16" s="149" customFormat="1" ht="31.15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</v>
      </c>
      <c r="E58" s="299">
        <f t="shared" ref="E58:G58" si="25">E59+E60</f>
        <v>0.30000000000000004</v>
      </c>
      <c r="F58" s="299">
        <f t="shared" si="25"/>
        <v>0</v>
      </c>
      <c r="G58" s="299">
        <f t="shared" si="25"/>
        <v>0</v>
      </c>
      <c r="H58" s="291">
        <f t="shared" si="2"/>
        <v>0</v>
      </c>
      <c r="I58" s="299"/>
      <c r="J58" s="217"/>
      <c r="K58" s="219"/>
      <c r="L58" s="219"/>
      <c r="M58" s="219"/>
      <c r="N58" s="219"/>
      <c r="O58" s="219"/>
    </row>
    <row r="59" spans="1:16" ht="31.15" customHeight="1" x14ac:dyDescent="0.25">
      <c r="A59" s="5" t="s">
        <v>18</v>
      </c>
      <c r="B59" s="383" t="s">
        <v>202</v>
      </c>
      <c r="C59" s="5" t="s">
        <v>6</v>
      </c>
      <c r="D59" s="296"/>
      <c r="E59" s="296">
        <v>0.2</v>
      </c>
      <c r="F59" s="296">
        <v>0</v>
      </c>
      <c r="G59" s="296">
        <v>0</v>
      </c>
      <c r="H59" s="291">
        <f t="shared" si="2"/>
        <v>0</v>
      </c>
      <c r="I59" s="296"/>
      <c r="J59" s="214"/>
      <c r="K59" s="114"/>
      <c r="L59" s="114"/>
      <c r="M59" s="114"/>
      <c r="N59" s="114"/>
      <c r="O59" s="114"/>
      <c r="P59" s="138"/>
    </row>
    <row r="60" spans="1:16" ht="31.15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0.1</v>
      </c>
      <c r="F60" s="296">
        <v>0</v>
      </c>
      <c r="G60" s="296">
        <v>0</v>
      </c>
      <c r="H60" s="291">
        <f t="shared" si="2"/>
        <v>0</v>
      </c>
      <c r="I60" s="296"/>
      <c r="J60" s="214"/>
      <c r="K60" s="114"/>
      <c r="L60" s="114"/>
      <c r="M60" s="114"/>
      <c r="N60" s="114"/>
      <c r="O60" s="114"/>
      <c r="P60" s="138"/>
    </row>
    <row r="61" spans="1:16" s="149" customFormat="1" ht="31.15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0</v>
      </c>
      <c r="E61" s="299">
        <f t="shared" ref="E61:G61" si="26">E62+E63</f>
        <v>0.30000000000000004</v>
      </c>
      <c r="F61" s="299">
        <f t="shared" si="26"/>
        <v>0</v>
      </c>
      <c r="G61" s="299">
        <f t="shared" si="26"/>
        <v>0</v>
      </c>
      <c r="H61" s="291">
        <f t="shared" si="2"/>
        <v>0</v>
      </c>
      <c r="I61" s="299"/>
      <c r="J61" s="214"/>
      <c r="K61" s="142"/>
      <c r="L61" s="218"/>
      <c r="M61" s="218"/>
      <c r="N61" s="218"/>
      <c r="O61" s="156"/>
      <c r="P61" s="156"/>
    </row>
    <row r="62" spans="1:16" ht="31.15" customHeight="1" x14ac:dyDescent="0.25">
      <c r="A62" s="5" t="s">
        <v>18</v>
      </c>
      <c r="B62" s="383" t="s">
        <v>203</v>
      </c>
      <c r="C62" s="5" t="s">
        <v>6</v>
      </c>
      <c r="D62" s="296"/>
      <c r="E62" s="296">
        <v>0.2</v>
      </c>
      <c r="F62" s="296">
        <v>0</v>
      </c>
      <c r="G62" s="296">
        <v>0</v>
      </c>
      <c r="H62" s="291">
        <f t="shared" si="2"/>
        <v>0</v>
      </c>
      <c r="I62" s="296"/>
      <c r="J62" s="214"/>
      <c r="K62" s="114"/>
      <c r="L62" s="114"/>
      <c r="M62" s="114"/>
      <c r="N62" s="114"/>
      <c r="O62" s="114"/>
      <c r="P62" s="138"/>
    </row>
    <row r="63" spans="1:16" ht="31.15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0.1</v>
      </c>
      <c r="F63" s="296">
        <v>0</v>
      </c>
      <c r="G63" s="296">
        <v>0</v>
      </c>
      <c r="H63" s="291">
        <f t="shared" si="2"/>
        <v>0</v>
      </c>
      <c r="I63" s="296"/>
      <c r="J63" s="214"/>
      <c r="K63" s="114"/>
      <c r="L63" s="114"/>
      <c r="M63" s="114"/>
      <c r="N63" s="114"/>
      <c r="O63" s="114"/>
      <c r="P63" s="138"/>
    </row>
    <row r="64" spans="1:16" ht="31.15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0</v>
      </c>
      <c r="E64" s="291">
        <f>E65+E66</f>
        <v>0</v>
      </c>
      <c r="F64" s="291">
        <f t="shared" ref="F64:G64" si="27">F65+F66</f>
        <v>0</v>
      </c>
      <c r="G64" s="291">
        <f t="shared" si="27"/>
        <v>0</v>
      </c>
      <c r="H64" s="291"/>
      <c r="I64" s="291"/>
      <c r="J64" s="214"/>
      <c r="K64" s="127"/>
      <c r="L64" s="127"/>
      <c r="M64" s="127"/>
      <c r="N64" s="127"/>
    </row>
    <row r="65" spans="1:17" ht="31.15" customHeight="1" x14ac:dyDescent="0.25">
      <c r="A65" s="5" t="s">
        <v>18</v>
      </c>
      <c r="B65" s="383" t="s">
        <v>196</v>
      </c>
      <c r="C65" s="5" t="s">
        <v>6</v>
      </c>
      <c r="D65" s="296"/>
      <c r="E65" s="296"/>
      <c r="F65" s="296"/>
      <c r="G65" s="296"/>
      <c r="H65" s="291"/>
      <c r="I65" s="296"/>
      <c r="J65" s="127"/>
      <c r="K65" s="127"/>
      <c r="L65" s="127"/>
      <c r="M65" s="127"/>
      <c r="N65" s="127"/>
    </row>
    <row r="66" spans="1:17" ht="31.15" customHeight="1" x14ac:dyDescent="0.25">
      <c r="A66" s="5" t="s">
        <v>18</v>
      </c>
      <c r="B66" s="337" t="s">
        <v>31</v>
      </c>
      <c r="C66" s="5" t="s">
        <v>6</v>
      </c>
      <c r="D66" s="296"/>
      <c r="E66" s="296"/>
      <c r="F66" s="296"/>
      <c r="G66" s="296"/>
      <c r="H66" s="291"/>
      <c r="I66" s="296"/>
      <c r="J66" s="127"/>
      <c r="K66" s="127"/>
      <c r="L66" s="127"/>
      <c r="M66" s="127"/>
      <c r="N66" s="127"/>
    </row>
    <row r="67" spans="1:17" ht="31.15" customHeight="1" x14ac:dyDescent="0.25">
      <c r="A67" s="3">
        <v>6</v>
      </c>
      <c r="B67" s="335" t="s">
        <v>38</v>
      </c>
      <c r="C67" s="3" t="s">
        <v>6</v>
      </c>
      <c r="D67" s="291">
        <f>D68+D71</f>
        <v>13.45</v>
      </c>
      <c r="E67" s="291">
        <f t="shared" ref="E67:G67" si="28">E68+E71</f>
        <v>12.61</v>
      </c>
      <c r="F67" s="291">
        <f t="shared" si="28"/>
        <v>10.52</v>
      </c>
      <c r="G67" s="291">
        <f t="shared" si="28"/>
        <v>10.52</v>
      </c>
      <c r="H67" s="291">
        <f t="shared" si="2"/>
        <v>83.425852498017449</v>
      </c>
      <c r="I67" s="291"/>
      <c r="J67" s="127"/>
      <c r="K67" s="127"/>
      <c r="L67" s="127"/>
      <c r="M67" s="127"/>
      <c r="N67" s="127"/>
    </row>
    <row r="68" spans="1:17" ht="31.15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0.92</v>
      </c>
      <c r="E68" s="291">
        <f t="shared" ref="E68:G68" si="29">E69+E70</f>
        <v>2.87</v>
      </c>
      <c r="F68" s="291">
        <f t="shared" si="29"/>
        <v>0.92</v>
      </c>
      <c r="G68" s="291">
        <f t="shared" si="29"/>
        <v>0.92</v>
      </c>
      <c r="H68" s="291">
        <f t="shared" si="2"/>
        <v>32.055749128919857</v>
      </c>
      <c r="I68" s="291"/>
      <c r="J68" s="127"/>
      <c r="K68" s="127"/>
      <c r="L68" s="127"/>
      <c r="M68" s="127"/>
      <c r="N68" s="127"/>
    </row>
    <row r="69" spans="1:17" ht="31.15" customHeight="1" x14ac:dyDescent="0.25">
      <c r="A69" s="5" t="s">
        <v>18</v>
      </c>
      <c r="B69" s="383" t="s">
        <v>205</v>
      </c>
      <c r="C69" s="5" t="s">
        <v>6</v>
      </c>
      <c r="D69" s="296">
        <v>0.77</v>
      </c>
      <c r="E69" s="296">
        <f>D69+D70</f>
        <v>0.92</v>
      </c>
      <c r="F69" s="296">
        <v>0.92</v>
      </c>
      <c r="G69" s="296">
        <v>0.92</v>
      </c>
      <c r="H69" s="296">
        <f t="shared" si="2"/>
        <v>100</v>
      </c>
      <c r="I69" s="296"/>
      <c r="J69" s="127"/>
      <c r="K69" s="127"/>
      <c r="L69" s="127"/>
      <c r="M69" s="127"/>
      <c r="N69" s="127"/>
    </row>
    <row r="70" spans="1:17" ht="31.15" customHeight="1" x14ac:dyDescent="0.25">
      <c r="A70" s="5" t="s">
        <v>18</v>
      </c>
      <c r="B70" s="383" t="s">
        <v>206</v>
      </c>
      <c r="C70" s="5" t="s">
        <v>6</v>
      </c>
      <c r="D70" s="296">
        <v>0.15</v>
      </c>
      <c r="E70" s="296">
        <v>1.95</v>
      </c>
      <c r="F70" s="296"/>
      <c r="G70" s="296"/>
      <c r="H70" s="291">
        <f t="shared" si="2"/>
        <v>0</v>
      </c>
      <c r="I70" s="296"/>
      <c r="J70" s="127"/>
      <c r="K70" s="128"/>
      <c r="L70" s="214"/>
      <c r="M70" s="128"/>
      <c r="N70" s="127"/>
    </row>
    <row r="71" spans="1:17" ht="31.15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12.53</v>
      </c>
      <c r="E71" s="291">
        <f t="shared" ref="E71:G71" si="30">E72+E73</f>
        <v>9.74</v>
      </c>
      <c r="F71" s="291">
        <f t="shared" si="30"/>
        <v>9.6</v>
      </c>
      <c r="G71" s="291">
        <f t="shared" si="30"/>
        <v>9.6</v>
      </c>
      <c r="H71" s="291">
        <f t="shared" si="2"/>
        <v>98.562628336755637</v>
      </c>
      <c r="I71" s="291"/>
      <c r="J71" s="127"/>
      <c r="K71" s="127"/>
      <c r="L71" s="127"/>
      <c r="M71" s="127"/>
      <c r="N71" s="127"/>
    </row>
    <row r="72" spans="1:17" ht="31.15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12.03</v>
      </c>
      <c r="E72" s="302">
        <f>E75+E82</f>
        <v>9.6</v>
      </c>
      <c r="F72" s="302">
        <f t="shared" ref="F72:G72" si="31">F75+F82</f>
        <v>9.6</v>
      </c>
      <c r="G72" s="302">
        <f t="shared" si="31"/>
        <v>9.6</v>
      </c>
      <c r="H72" s="291">
        <f t="shared" si="2"/>
        <v>100</v>
      </c>
      <c r="I72" s="302"/>
      <c r="J72" s="127"/>
      <c r="K72" s="127"/>
      <c r="L72" s="127"/>
      <c r="M72" s="127"/>
      <c r="N72" s="127"/>
    </row>
    <row r="73" spans="1:17" ht="31.15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0.5</v>
      </c>
      <c r="E73" s="291">
        <f t="shared" ref="E73:G73" si="32">E76+E83</f>
        <v>0.14000000000000001</v>
      </c>
      <c r="F73" s="291">
        <f t="shared" si="32"/>
        <v>0</v>
      </c>
      <c r="G73" s="291">
        <f t="shared" si="32"/>
        <v>0</v>
      </c>
      <c r="H73" s="291">
        <f t="shared" si="2"/>
        <v>0</v>
      </c>
      <c r="I73" s="291"/>
      <c r="J73" s="213"/>
      <c r="K73" s="213"/>
      <c r="L73" s="213"/>
      <c r="M73" s="213"/>
      <c r="N73" s="213"/>
    </row>
    <row r="74" spans="1:17" ht="31.15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9.1</v>
      </c>
      <c r="E74" s="304">
        <f t="shared" ref="E74:G74" si="33">E75+E76</f>
        <v>9.1</v>
      </c>
      <c r="F74" s="304">
        <f t="shared" si="33"/>
        <v>9.1</v>
      </c>
      <c r="G74" s="304">
        <f t="shared" si="33"/>
        <v>9.1</v>
      </c>
      <c r="H74" s="291">
        <f t="shared" ref="H74:H93" si="34">F74/E74*100</f>
        <v>100</v>
      </c>
      <c r="I74" s="304"/>
      <c r="J74" s="144"/>
      <c r="K74" s="144"/>
      <c r="L74" s="151"/>
      <c r="M74" s="151"/>
      <c r="N74" s="151"/>
      <c r="O74" s="151"/>
      <c r="P74" s="151"/>
      <c r="Q74" s="151"/>
    </row>
    <row r="75" spans="1:17" ht="31.15" customHeight="1" x14ac:dyDescent="0.25">
      <c r="A75" s="7" t="s">
        <v>24</v>
      </c>
      <c r="B75" s="391" t="s">
        <v>196</v>
      </c>
      <c r="C75" s="5" t="s">
        <v>6</v>
      </c>
      <c r="D75" s="306">
        <f>8.1+1</f>
        <v>9.1</v>
      </c>
      <c r="E75" s="306">
        <f>D75+D76</f>
        <v>9.1</v>
      </c>
      <c r="F75" s="306">
        <v>9.1</v>
      </c>
      <c r="G75" s="306">
        <v>9.1</v>
      </c>
      <c r="H75" s="296">
        <f t="shared" si="34"/>
        <v>100</v>
      </c>
      <c r="I75" s="296"/>
      <c r="J75" s="127"/>
      <c r="K75" s="127"/>
      <c r="L75" s="226"/>
      <c r="M75" s="128"/>
      <c r="N75" s="128"/>
      <c r="O75" s="126"/>
      <c r="P75" s="126"/>
      <c r="Q75" s="126"/>
    </row>
    <row r="76" spans="1:17" ht="31.15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0</v>
      </c>
      <c r="E76" s="307">
        <f>SUM(E77:E80)</f>
        <v>0</v>
      </c>
      <c r="F76" s="307">
        <f t="shared" ref="F76:G76" si="35">SUM(F77:F80)</f>
        <v>0</v>
      </c>
      <c r="G76" s="307">
        <f t="shared" si="35"/>
        <v>0</v>
      </c>
      <c r="H76" s="291"/>
      <c r="I76" s="307"/>
      <c r="J76" s="217"/>
      <c r="K76" s="217"/>
      <c r="L76" s="219"/>
      <c r="M76" s="219"/>
      <c r="N76" s="219"/>
      <c r="O76" s="126"/>
      <c r="P76" s="126"/>
      <c r="Q76" s="126"/>
    </row>
    <row r="77" spans="1:17" ht="31.15" customHeight="1" x14ac:dyDescent="0.25">
      <c r="A77" s="4" t="s">
        <v>18</v>
      </c>
      <c r="B77" s="393" t="s">
        <v>212</v>
      </c>
      <c r="C77" s="4" t="s">
        <v>6</v>
      </c>
      <c r="D77" s="296"/>
      <c r="E77" s="296"/>
      <c r="F77" s="296"/>
      <c r="G77" s="296"/>
      <c r="H77" s="291"/>
      <c r="I77" s="296"/>
      <c r="J77" s="217"/>
      <c r="K77" s="217"/>
      <c r="L77" s="219"/>
      <c r="M77" s="219"/>
      <c r="N77" s="220"/>
      <c r="O77" s="126"/>
      <c r="P77" s="164"/>
      <c r="Q77" s="126"/>
    </row>
    <row r="78" spans="1:17" ht="31.15" customHeight="1" x14ac:dyDescent="0.25">
      <c r="A78" s="4" t="s">
        <v>18</v>
      </c>
      <c r="B78" s="393" t="s">
        <v>189</v>
      </c>
      <c r="C78" s="4" t="s">
        <v>6</v>
      </c>
      <c r="D78" s="296"/>
      <c r="E78" s="296">
        <v>0</v>
      </c>
      <c r="F78" s="296"/>
      <c r="G78" s="296"/>
      <c r="H78" s="291"/>
      <c r="I78" s="296"/>
      <c r="J78" s="217"/>
      <c r="K78" s="217"/>
      <c r="L78" s="219"/>
      <c r="M78" s="219"/>
      <c r="N78" s="219"/>
      <c r="O78" s="126"/>
      <c r="P78" s="126"/>
      <c r="Q78" s="126"/>
    </row>
    <row r="79" spans="1:17" ht="31.15" customHeight="1" x14ac:dyDescent="0.25">
      <c r="A79" s="4" t="s">
        <v>18</v>
      </c>
      <c r="B79" s="393" t="s">
        <v>190</v>
      </c>
      <c r="C79" s="4" t="s">
        <v>6</v>
      </c>
      <c r="D79" s="296"/>
      <c r="E79" s="296"/>
      <c r="F79" s="296"/>
      <c r="G79" s="296"/>
      <c r="H79" s="291"/>
      <c r="I79" s="296"/>
      <c r="J79" s="217"/>
      <c r="K79" s="217"/>
      <c r="L79" s="219"/>
      <c r="M79" s="219"/>
      <c r="N79" s="219"/>
      <c r="O79" s="126"/>
      <c r="P79" s="126"/>
      <c r="Q79" s="126"/>
    </row>
    <row r="80" spans="1:17" ht="31.15" customHeight="1" x14ac:dyDescent="0.25">
      <c r="A80" s="4" t="s">
        <v>18</v>
      </c>
      <c r="B80" s="394" t="s">
        <v>208</v>
      </c>
      <c r="C80" s="4" t="s">
        <v>6</v>
      </c>
      <c r="D80" s="296"/>
      <c r="E80" s="296"/>
      <c r="F80" s="296"/>
      <c r="G80" s="296"/>
      <c r="H80" s="291"/>
      <c r="I80" s="296"/>
      <c r="J80" s="217"/>
      <c r="K80" s="217"/>
      <c r="L80" s="219"/>
      <c r="M80" s="219"/>
      <c r="N80" s="219"/>
      <c r="O80" s="126"/>
      <c r="P80" s="126"/>
      <c r="Q80" s="126"/>
    </row>
    <row r="81" spans="1:18" s="152" customFormat="1" ht="31.15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3.43</v>
      </c>
      <c r="E81" s="304">
        <f>E82+E83</f>
        <v>0.64</v>
      </c>
      <c r="F81" s="304">
        <f t="shared" ref="F81:G81" si="36">F82+F83</f>
        <v>0.5</v>
      </c>
      <c r="G81" s="304">
        <f t="shared" si="36"/>
        <v>0.5</v>
      </c>
      <c r="H81" s="313">
        <f t="shared" si="34"/>
        <v>78.125</v>
      </c>
      <c r="I81" s="304"/>
      <c r="J81" s="144"/>
      <c r="K81" s="144"/>
      <c r="L81" s="151"/>
      <c r="M81" s="151"/>
      <c r="N81" s="151"/>
      <c r="O81" s="151"/>
      <c r="P81" s="151"/>
      <c r="Q81" s="151"/>
    </row>
    <row r="82" spans="1:18" s="149" customFormat="1" ht="31.15" customHeight="1" x14ac:dyDescent="0.25">
      <c r="A82" s="392" t="s">
        <v>18</v>
      </c>
      <c r="B82" s="393" t="s">
        <v>188</v>
      </c>
      <c r="C82" s="4" t="s">
        <v>6</v>
      </c>
      <c r="D82" s="299">
        <v>2.93</v>
      </c>
      <c r="E82" s="299">
        <v>0.5</v>
      </c>
      <c r="F82" s="299">
        <v>0.5</v>
      </c>
      <c r="G82" s="299">
        <v>0.5</v>
      </c>
      <c r="H82" s="296">
        <f t="shared" si="34"/>
        <v>100</v>
      </c>
      <c r="I82" s="299"/>
      <c r="J82" s="217"/>
      <c r="K82" s="217"/>
      <c r="L82" s="220"/>
      <c r="M82" s="219"/>
      <c r="N82" s="219"/>
      <c r="O82" s="148"/>
      <c r="P82" s="148"/>
      <c r="Q82" s="148"/>
    </row>
    <row r="83" spans="1:18" ht="31.15" customHeight="1" x14ac:dyDescent="0.25">
      <c r="A83" s="392" t="s">
        <v>15</v>
      </c>
      <c r="B83" s="389" t="s">
        <v>210</v>
      </c>
      <c r="C83" s="5" t="s">
        <v>6</v>
      </c>
      <c r="D83" s="306">
        <f t="shared" ref="D83:G83" si="37">SUM(D84:D87)</f>
        <v>0.5</v>
      </c>
      <c r="E83" s="306">
        <f>SUM(E84:E87)</f>
        <v>0.14000000000000001</v>
      </c>
      <c r="F83" s="306">
        <f t="shared" si="37"/>
        <v>0</v>
      </c>
      <c r="G83" s="306">
        <f t="shared" si="37"/>
        <v>0</v>
      </c>
      <c r="H83" s="291">
        <f t="shared" si="34"/>
        <v>0</v>
      </c>
      <c r="I83" s="306"/>
      <c r="J83" s="217"/>
      <c r="K83" s="217"/>
      <c r="L83" s="217"/>
      <c r="M83" s="217"/>
      <c r="N83" s="217"/>
    </row>
    <row r="84" spans="1:18" ht="31.15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291"/>
      <c r="I84" s="296"/>
      <c r="J84" s="219"/>
      <c r="K84" s="219"/>
      <c r="L84" s="219"/>
      <c r="M84" s="219"/>
      <c r="N84" s="219"/>
    </row>
    <row r="85" spans="1:18" ht="31.15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291"/>
      <c r="I85" s="296"/>
      <c r="J85" s="219"/>
      <c r="K85" s="219"/>
      <c r="L85" s="219"/>
      <c r="M85" s="219"/>
      <c r="N85" s="219"/>
    </row>
    <row r="86" spans="1:18" ht="31.15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291"/>
      <c r="I86" s="296"/>
      <c r="J86" s="219"/>
      <c r="K86" s="219"/>
      <c r="L86" s="219"/>
      <c r="M86" s="219"/>
      <c r="N86" s="126"/>
      <c r="O86" s="126"/>
      <c r="P86" s="126"/>
      <c r="Q86" s="126"/>
    </row>
    <row r="87" spans="1:18" ht="31.15" customHeight="1" x14ac:dyDescent="0.25">
      <c r="A87" s="392" t="s">
        <v>18</v>
      </c>
      <c r="B87" s="393" t="s">
        <v>193</v>
      </c>
      <c r="C87" s="4" t="s">
        <v>6</v>
      </c>
      <c r="D87" s="296">
        <v>0.5</v>
      </c>
      <c r="E87" s="296">
        <v>0.14000000000000001</v>
      </c>
      <c r="F87" s="296">
        <v>0</v>
      </c>
      <c r="G87" s="296">
        <v>0</v>
      </c>
      <c r="H87" s="291">
        <f t="shared" si="34"/>
        <v>0</v>
      </c>
      <c r="I87" s="296"/>
      <c r="J87" s="219"/>
      <c r="K87" s="219"/>
      <c r="L87" s="219"/>
      <c r="M87" s="220"/>
      <c r="N87" s="220"/>
      <c r="O87" s="164"/>
      <c r="P87" s="164"/>
      <c r="Q87" s="164"/>
      <c r="R87" s="140"/>
    </row>
    <row r="88" spans="1:18" ht="31.15" customHeight="1" x14ac:dyDescent="0.25">
      <c r="A88" s="3" t="s">
        <v>44</v>
      </c>
      <c r="B88" s="334" t="s">
        <v>45</v>
      </c>
      <c r="C88" s="3"/>
      <c r="D88" s="291">
        <f>SUM(D89:D93)</f>
        <v>363</v>
      </c>
      <c r="E88" s="291">
        <f t="shared" ref="E88:G88" si="38">SUM(E89:E93)</f>
        <v>322</v>
      </c>
      <c r="F88" s="291">
        <f t="shared" si="38"/>
        <v>266</v>
      </c>
      <c r="G88" s="291">
        <f t="shared" si="38"/>
        <v>266</v>
      </c>
      <c r="H88" s="291">
        <f t="shared" si="34"/>
        <v>82.608695652173907</v>
      </c>
      <c r="I88" s="291"/>
      <c r="J88" s="128"/>
      <c r="K88" s="128"/>
      <c r="L88" s="136"/>
      <c r="M88" s="136"/>
      <c r="N88" s="128"/>
    </row>
    <row r="89" spans="1:18" s="194" customFormat="1" ht="31.15" customHeight="1" x14ac:dyDescent="0.25">
      <c r="A89" s="5">
        <v>1</v>
      </c>
      <c r="B89" s="337" t="s">
        <v>46</v>
      </c>
      <c r="C89" s="5" t="s">
        <v>8</v>
      </c>
      <c r="D89" s="296">
        <v>30</v>
      </c>
      <c r="E89" s="296">
        <f>31+16</f>
        <v>47</v>
      </c>
      <c r="F89" s="296">
        <v>45</v>
      </c>
      <c r="G89" s="296">
        <f>F89</f>
        <v>45</v>
      </c>
      <c r="H89" s="296">
        <f t="shared" si="34"/>
        <v>95.744680851063833</v>
      </c>
      <c r="I89" s="296"/>
      <c r="J89" s="222"/>
      <c r="K89" s="267"/>
      <c r="L89" s="318"/>
      <c r="M89" s="319"/>
      <c r="N89" s="222"/>
    </row>
    <row r="90" spans="1:18" s="194" customFormat="1" ht="31.15" customHeight="1" x14ac:dyDescent="0.25">
      <c r="A90" s="5">
        <v>2</v>
      </c>
      <c r="B90" s="337" t="s">
        <v>47</v>
      </c>
      <c r="C90" s="5" t="s">
        <v>8</v>
      </c>
      <c r="D90" s="296">
        <f>51+5</f>
        <v>56</v>
      </c>
      <c r="E90" s="296">
        <f>50+8</f>
        <v>58</v>
      </c>
      <c r="F90" s="296">
        <v>56</v>
      </c>
      <c r="G90" s="296">
        <f>F90</f>
        <v>56</v>
      </c>
      <c r="H90" s="296">
        <f t="shared" si="34"/>
        <v>96.551724137931032</v>
      </c>
      <c r="I90" s="296"/>
      <c r="J90" s="222"/>
      <c r="K90" s="227"/>
      <c r="L90" s="318"/>
      <c r="M90" s="319"/>
      <c r="N90" s="222"/>
    </row>
    <row r="91" spans="1:18" s="194" customFormat="1" ht="31.15" customHeight="1" x14ac:dyDescent="0.25">
      <c r="A91" s="5">
        <v>3</v>
      </c>
      <c r="B91" s="337" t="s">
        <v>48</v>
      </c>
      <c r="C91" s="5" t="s">
        <v>8</v>
      </c>
      <c r="D91" s="296">
        <f>29+10</f>
        <v>39</v>
      </c>
      <c r="E91" s="296">
        <f>20+6</f>
        <v>26</v>
      </c>
      <c r="F91" s="296">
        <v>20</v>
      </c>
      <c r="G91" s="296">
        <f>F91</f>
        <v>20</v>
      </c>
      <c r="H91" s="296">
        <f t="shared" si="34"/>
        <v>76.923076923076934</v>
      </c>
      <c r="I91" s="296"/>
      <c r="J91" s="222"/>
      <c r="K91" s="227"/>
      <c r="L91" s="318"/>
      <c r="M91" s="319"/>
      <c r="N91" s="222"/>
    </row>
    <row r="92" spans="1:18" ht="31.15" customHeight="1" x14ac:dyDescent="0.25">
      <c r="A92" s="5">
        <v>4</v>
      </c>
      <c r="B92" s="337" t="s">
        <v>49</v>
      </c>
      <c r="C92" s="5" t="s">
        <v>8</v>
      </c>
      <c r="D92" s="296"/>
      <c r="E92" s="296"/>
      <c r="F92" s="296"/>
      <c r="G92" s="296"/>
      <c r="H92" s="291"/>
      <c r="I92" s="296"/>
      <c r="J92" s="128"/>
      <c r="K92" s="128"/>
      <c r="L92" s="320"/>
      <c r="M92" s="319"/>
      <c r="N92" s="128"/>
    </row>
    <row r="93" spans="1:18" s="194" customFormat="1" ht="31.15" customHeight="1" x14ac:dyDescent="0.25">
      <c r="A93" s="5">
        <v>5</v>
      </c>
      <c r="B93" s="337" t="s">
        <v>50</v>
      </c>
      <c r="C93" s="5" t="s">
        <v>8</v>
      </c>
      <c r="D93" s="296">
        <f>223+15</f>
        <v>238</v>
      </c>
      <c r="E93" s="296">
        <f>211-20</f>
        <v>191</v>
      </c>
      <c r="F93" s="296">
        <v>145</v>
      </c>
      <c r="G93" s="296">
        <f>F93</f>
        <v>145</v>
      </c>
      <c r="H93" s="296">
        <f t="shared" si="34"/>
        <v>75.916230366492144</v>
      </c>
      <c r="I93" s="296"/>
      <c r="J93" s="267"/>
      <c r="K93" s="267"/>
      <c r="L93" s="320"/>
      <c r="M93" s="319"/>
      <c r="N93" s="222"/>
    </row>
    <row r="94" spans="1:18" s="131" customFormat="1" ht="31.15" customHeight="1" x14ac:dyDescent="0.25">
      <c r="A94" s="3" t="s">
        <v>51</v>
      </c>
      <c r="B94" s="335" t="s">
        <v>52</v>
      </c>
      <c r="C94" s="3" t="s">
        <v>6</v>
      </c>
      <c r="D94" s="291">
        <f>D95</f>
        <v>0</v>
      </c>
      <c r="E94" s="291">
        <f t="shared" ref="E94:G94" si="39">E95</f>
        <v>0</v>
      </c>
      <c r="F94" s="291">
        <f t="shared" si="39"/>
        <v>0</v>
      </c>
      <c r="G94" s="291">
        <f t="shared" si="39"/>
        <v>0</v>
      </c>
      <c r="H94" s="291"/>
      <c r="I94" s="291"/>
      <c r="J94" s="130"/>
      <c r="K94" s="130"/>
      <c r="L94" s="130"/>
      <c r="M94" s="130"/>
      <c r="N94" s="130"/>
    </row>
    <row r="95" spans="1:18" ht="31.15" customHeight="1" x14ac:dyDescent="0.25">
      <c r="A95" s="4" t="s">
        <v>18</v>
      </c>
      <c r="B95" s="389" t="s">
        <v>53</v>
      </c>
      <c r="C95" s="4" t="s">
        <v>6</v>
      </c>
      <c r="D95" s="296"/>
      <c r="E95" s="296"/>
      <c r="F95" s="296"/>
      <c r="G95" s="296"/>
      <c r="H95" s="291"/>
      <c r="I95" s="296"/>
      <c r="J95" s="214"/>
      <c r="K95" s="128"/>
      <c r="L95" s="128"/>
      <c r="M95" s="128"/>
      <c r="N95" s="128"/>
    </row>
    <row r="96" spans="1:18" ht="31.15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0</v>
      </c>
      <c r="E96" s="291">
        <f t="shared" ref="E96:G96" si="40">E97+E98</f>
        <v>0</v>
      </c>
      <c r="F96" s="291">
        <f t="shared" si="40"/>
        <v>0</v>
      </c>
      <c r="G96" s="291">
        <f t="shared" si="40"/>
        <v>0</v>
      </c>
      <c r="H96" s="291"/>
      <c r="I96" s="291"/>
      <c r="J96" s="128"/>
      <c r="K96" s="128"/>
      <c r="L96" s="128"/>
      <c r="M96" s="128"/>
      <c r="N96" s="128"/>
    </row>
    <row r="97" spans="1:14" ht="31.15" customHeight="1" x14ac:dyDescent="0.25">
      <c r="A97" s="5" t="s">
        <v>18</v>
      </c>
      <c r="B97" s="391" t="s">
        <v>213</v>
      </c>
      <c r="C97" s="4" t="s">
        <v>6</v>
      </c>
      <c r="D97" s="296"/>
      <c r="E97" s="296"/>
      <c r="F97" s="296"/>
      <c r="G97" s="296"/>
      <c r="H97" s="291"/>
      <c r="I97" s="296"/>
      <c r="J97" s="128"/>
      <c r="K97" s="128"/>
      <c r="L97" s="128"/>
      <c r="M97" s="128"/>
      <c r="N97" s="128"/>
    </row>
    <row r="98" spans="1:14" ht="31.15" customHeight="1" x14ac:dyDescent="0.25">
      <c r="A98" s="395" t="s">
        <v>18</v>
      </c>
      <c r="B98" s="391" t="s">
        <v>56</v>
      </c>
      <c r="C98" s="4" t="s">
        <v>6</v>
      </c>
      <c r="D98" s="296"/>
      <c r="E98" s="296"/>
      <c r="F98" s="296"/>
      <c r="G98" s="296"/>
      <c r="H98" s="291"/>
      <c r="I98" s="296"/>
      <c r="J98" s="128"/>
      <c r="K98" s="128"/>
      <c r="L98" s="128"/>
      <c r="M98" s="128"/>
      <c r="N98" s="128"/>
    </row>
    <row r="99" spans="1:14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27"/>
      <c r="L99" s="127"/>
      <c r="M99" s="127"/>
      <c r="N99" s="127"/>
    </row>
    <row r="100" spans="1:14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27"/>
      <c r="L100" s="127"/>
      <c r="M100" s="127"/>
      <c r="N100" s="127"/>
    </row>
    <row r="101" spans="1:14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27"/>
      <c r="L101" s="127"/>
      <c r="M101" s="127"/>
      <c r="N101" s="127"/>
    </row>
    <row r="102" spans="1:14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27"/>
      <c r="L102" s="127"/>
      <c r="M102" s="127"/>
      <c r="N102" s="127"/>
    </row>
    <row r="103" spans="1:14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27"/>
      <c r="L103" s="127"/>
      <c r="M103" s="127"/>
      <c r="N103" s="127"/>
    </row>
    <row r="104" spans="1:14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27"/>
      <c r="L104" s="127"/>
      <c r="M104" s="127"/>
      <c r="N104" s="127"/>
    </row>
    <row r="105" spans="1:14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27"/>
      <c r="L105" s="127"/>
      <c r="M105" s="127"/>
      <c r="N105" s="127"/>
    </row>
    <row r="106" spans="1:14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27"/>
      <c r="L106" s="127"/>
      <c r="M106" s="127"/>
      <c r="N106" s="127"/>
    </row>
    <row r="107" spans="1:14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27"/>
      <c r="L107" s="127"/>
      <c r="M107" s="127"/>
      <c r="N107" s="127"/>
    </row>
    <row r="108" spans="1:14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27"/>
      <c r="L108" s="127"/>
      <c r="M108" s="127"/>
      <c r="N108" s="127"/>
    </row>
    <row r="109" spans="1:14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  <c r="N109" s="127"/>
    </row>
    <row r="110" spans="1:14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  <c r="N110" s="127"/>
    </row>
    <row r="111" spans="1:14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  <c r="N111" s="127"/>
    </row>
    <row r="112" spans="1:14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  <c r="N112" s="127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59055118110236227" bottom="0.55118110236220474" header="0" footer="0"/>
  <pageSetup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984"/>
  <sheetViews>
    <sheetView zoomScale="90" zoomScaleNormal="90" workbookViewId="0">
      <pane ySplit="8" topLeftCell="A46" activePane="bottomLeft" state="frozen"/>
      <selection pane="bottomLeft" activeCell="B7" sqref="B7:B8"/>
    </sheetView>
  </sheetViews>
  <sheetFormatPr defaultColWidth="11.21875" defaultRowHeight="15" customHeight="1" x14ac:dyDescent="0.25"/>
  <cols>
    <col min="1" max="1" width="6.21875" style="330" customWidth="1"/>
    <col min="2" max="2" width="31" style="330" customWidth="1"/>
    <col min="3" max="3" width="9.6640625" style="330" customWidth="1"/>
    <col min="4" max="4" width="17.77734375" style="330" customWidth="1"/>
    <col min="5" max="5" width="17.88671875" style="330" customWidth="1"/>
    <col min="6" max="9" width="12.6640625" style="330" customWidth="1"/>
    <col min="10" max="10" width="8.88671875" style="125" customWidth="1"/>
    <col min="11" max="11" width="20.77734375" style="125" customWidth="1"/>
    <col min="12" max="12" width="11.5546875" style="125" customWidth="1"/>
    <col min="13" max="14" width="8.88671875" style="125" customWidth="1"/>
    <col min="15" max="16384" width="11.21875" style="125"/>
  </cols>
  <sheetData>
    <row r="1" spans="1:14" ht="15" customHeight="1" x14ac:dyDescent="0.25">
      <c r="H1" s="409"/>
      <c r="I1" s="409"/>
    </row>
    <row r="2" spans="1:14" ht="16.5" x14ac:dyDescent="0.25">
      <c r="A2" s="410"/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  <c r="N2" s="127"/>
    </row>
    <row r="3" spans="1:14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14" ht="16.5" x14ac:dyDescent="0.25">
      <c r="A4" s="405" t="s">
        <v>233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14" ht="16.5" x14ac:dyDescent="0.25">
      <c r="A5" s="417" t="str">
        <f>'ĐĂK SIÊNG(10)'!A5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14" ht="16.5" x14ac:dyDescent="0.25">
      <c r="A6" s="376"/>
      <c r="B6" s="376"/>
      <c r="C6" s="376"/>
      <c r="D6" s="377"/>
      <c r="E6" s="377"/>
      <c r="F6" s="377"/>
      <c r="G6" s="377"/>
      <c r="H6" s="377"/>
      <c r="I6" s="377"/>
      <c r="J6" s="127"/>
      <c r="K6" s="127"/>
      <c r="L6" s="127"/>
      <c r="M6" s="127"/>
      <c r="N6" s="127"/>
    </row>
    <row r="7" spans="1:14" ht="33.6" customHeight="1" x14ac:dyDescent="0.25">
      <c r="A7" s="412" t="s">
        <v>10</v>
      </c>
      <c r="B7" s="412" t="s">
        <v>1</v>
      </c>
      <c r="C7" s="412" t="s">
        <v>11</v>
      </c>
      <c r="D7" s="414" t="s">
        <v>222</v>
      </c>
      <c r="E7" s="416" t="s">
        <v>256</v>
      </c>
      <c r="F7" s="418"/>
      <c r="G7" s="418"/>
      <c r="H7" s="419"/>
      <c r="I7" s="407" t="s">
        <v>259</v>
      </c>
      <c r="J7" s="127"/>
      <c r="K7" s="153" t="s">
        <v>215</v>
      </c>
      <c r="L7" s="174">
        <v>113</v>
      </c>
      <c r="M7" s="127"/>
      <c r="N7" s="127"/>
    </row>
    <row r="8" spans="1:14" ht="33.6" customHeight="1" x14ac:dyDescent="0.25">
      <c r="A8" s="413"/>
      <c r="B8" s="413"/>
      <c r="C8" s="413"/>
      <c r="D8" s="415"/>
      <c r="E8" s="331" t="s">
        <v>257</v>
      </c>
      <c r="F8" s="331" t="s">
        <v>261</v>
      </c>
      <c r="G8" s="331" t="s">
        <v>263</v>
      </c>
      <c r="H8" s="331" t="s">
        <v>258</v>
      </c>
      <c r="I8" s="423"/>
      <c r="J8" s="127"/>
      <c r="K8" s="153" t="s">
        <v>216</v>
      </c>
      <c r="L8" s="174">
        <v>416</v>
      </c>
      <c r="M8" s="127"/>
      <c r="N8" s="127"/>
    </row>
    <row r="9" spans="1:14" s="131" customFormat="1" ht="32.450000000000003" customHeight="1" x14ac:dyDescent="0.25">
      <c r="A9" s="3" t="s">
        <v>12</v>
      </c>
      <c r="B9" s="335" t="s">
        <v>13</v>
      </c>
      <c r="C9" s="3" t="s">
        <v>6</v>
      </c>
      <c r="D9" s="291">
        <f>D13+D28+D37+D43+D46+D67</f>
        <v>88.3</v>
      </c>
      <c r="E9" s="291">
        <f t="shared" ref="E9:G9" si="0">E13+E28+E37+E43+E46+E67</f>
        <v>96.78</v>
      </c>
      <c r="F9" s="291">
        <f t="shared" si="0"/>
        <v>53.39</v>
      </c>
      <c r="G9" s="291">
        <f t="shared" si="0"/>
        <v>53.39</v>
      </c>
      <c r="H9" s="291">
        <f>F9/E9*100</f>
        <v>55.166356685265548</v>
      </c>
      <c r="I9" s="291"/>
      <c r="J9" s="213"/>
      <c r="K9" s="213"/>
      <c r="L9" s="213"/>
      <c r="M9" s="213"/>
      <c r="N9" s="213"/>
    </row>
    <row r="10" spans="1:14" s="131" customFormat="1" ht="32.450000000000003" customHeight="1" x14ac:dyDescent="0.25">
      <c r="A10" s="3">
        <v>1</v>
      </c>
      <c r="B10" s="335" t="s">
        <v>14</v>
      </c>
      <c r="C10" s="3" t="s">
        <v>6</v>
      </c>
      <c r="D10" s="291">
        <f>D13+D28</f>
        <v>1</v>
      </c>
      <c r="E10" s="291">
        <f t="shared" ref="E10:G10" si="1">E13+E28</f>
        <v>1</v>
      </c>
      <c r="F10" s="291">
        <f t="shared" si="1"/>
        <v>0</v>
      </c>
      <c r="G10" s="291">
        <f t="shared" si="1"/>
        <v>0</v>
      </c>
      <c r="H10" s="291">
        <f t="shared" ref="H10:H73" si="2">F10/E10*100</f>
        <v>0</v>
      </c>
      <c r="I10" s="291"/>
      <c r="J10" s="213"/>
      <c r="K10" s="213"/>
      <c r="L10" s="213"/>
      <c r="M10" s="213"/>
      <c r="N10" s="213"/>
    </row>
    <row r="11" spans="1:14" s="131" customFormat="1" ht="32.450000000000003" customHeight="1" x14ac:dyDescent="0.25">
      <c r="A11" s="3"/>
      <c r="B11" s="334" t="s">
        <v>16</v>
      </c>
      <c r="C11" s="3" t="s">
        <v>17</v>
      </c>
      <c r="D11" s="291">
        <f>D12+D30</f>
        <v>3.6850000000000001</v>
      </c>
      <c r="E11" s="291">
        <f t="shared" ref="E11:G11" si="3">E12+E30</f>
        <v>3.69</v>
      </c>
      <c r="F11" s="291">
        <f t="shared" si="3"/>
        <v>0</v>
      </c>
      <c r="G11" s="291">
        <f t="shared" si="3"/>
        <v>0</v>
      </c>
      <c r="H11" s="291">
        <f t="shared" si="2"/>
        <v>0</v>
      </c>
      <c r="I11" s="291"/>
      <c r="J11" s="213"/>
      <c r="K11" s="213"/>
      <c r="L11" s="213"/>
      <c r="M11" s="213"/>
      <c r="N11" s="213"/>
    </row>
    <row r="12" spans="1:14" s="131" customFormat="1" ht="32.450000000000003" customHeight="1" x14ac:dyDescent="0.25">
      <c r="A12" s="3"/>
      <c r="B12" s="335" t="s">
        <v>221</v>
      </c>
      <c r="C12" s="3" t="s">
        <v>17</v>
      </c>
      <c r="D12" s="291">
        <f>D15</f>
        <v>0</v>
      </c>
      <c r="E12" s="291">
        <f t="shared" ref="E12:G12" si="4">E15</f>
        <v>0</v>
      </c>
      <c r="F12" s="291">
        <f t="shared" si="4"/>
        <v>0</v>
      </c>
      <c r="G12" s="291">
        <f t="shared" si="4"/>
        <v>0</v>
      </c>
      <c r="H12" s="291"/>
      <c r="I12" s="291"/>
      <c r="J12" s="213"/>
      <c r="K12" s="213"/>
      <c r="L12" s="213"/>
      <c r="M12" s="213"/>
      <c r="N12" s="213"/>
    </row>
    <row r="13" spans="1:14" ht="32.450000000000003" customHeight="1" x14ac:dyDescent="0.25">
      <c r="A13" s="3" t="s">
        <v>5</v>
      </c>
      <c r="B13" s="335" t="s">
        <v>19</v>
      </c>
      <c r="C13" s="3" t="s">
        <v>6</v>
      </c>
      <c r="D13" s="291">
        <f>D16+D19</f>
        <v>0</v>
      </c>
      <c r="E13" s="291">
        <f>E16+E19</f>
        <v>0</v>
      </c>
      <c r="F13" s="291">
        <f t="shared" ref="F13" si="5">F16+F19</f>
        <v>0</v>
      </c>
      <c r="G13" s="291">
        <f>G16+G19</f>
        <v>0</v>
      </c>
      <c r="H13" s="291"/>
      <c r="I13" s="291"/>
      <c r="J13" s="127"/>
      <c r="K13" s="127"/>
      <c r="L13" s="127"/>
      <c r="M13" s="127"/>
      <c r="N13" s="127"/>
    </row>
    <row r="14" spans="1:14" ht="32.450000000000003" customHeight="1" x14ac:dyDescent="0.25">
      <c r="A14" s="3"/>
      <c r="B14" s="337" t="s">
        <v>218</v>
      </c>
      <c r="C14" s="5" t="s">
        <v>219</v>
      </c>
      <c r="D14" s="296">
        <f>(D17+D20)/2</f>
        <v>30.125</v>
      </c>
      <c r="E14" s="296">
        <f t="shared" ref="E14:G14" si="6">(E17+E20)/2</f>
        <v>30.135000000000002</v>
      </c>
      <c r="F14" s="296">
        <f t="shared" si="6"/>
        <v>0</v>
      </c>
      <c r="G14" s="296">
        <f t="shared" si="6"/>
        <v>0</v>
      </c>
      <c r="H14" s="291">
        <f t="shared" si="2"/>
        <v>0</v>
      </c>
      <c r="I14" s="296"/>
      <c r="J14" s="127"/>
      <c r="K14" s="127"/>
      <c r="L14" s="127"/>
      <c r="M14" s="127"/>
      <c r="N14" s="127"/>
    </row>
    <row r="15" spans="1:14" ht="32.450000000000003" customHeight="1" x14ac:dyDescent="0.25">
      <c r="A15" s="3"/>
      <c r="B15" s="337" t="s">
        <v>220</v>
      </c>
      <c r="C15" s="5" t="s">
        <v>17</v>
      </c>
      <c r="D15" s="296">
        <f>D13*D14/10</f>
        <v>0</v>
      </c>
      <c r="E15" s="296">
        <f t="shared" ref="E15:G15" si="7">E13*E14/10</f>
        <v>0</v>
      </c>
      <c r="F15" s="296">
        <f t="shared" si="7"/>
        <v>0</v>
      </c>
      <c r="G15" s="296">
        <f t="shared" si="7"/>
        <v>0</v>
      </c>
      <c r="H15" s="291"/>
      <c r="I15" s="296"/>
      <c r="J15" s="127"/>
      <c r="K15" s="127"/>
      <c r="L15" s="127"/>
      <c r="M15" s="127"/>
      <c r="N15" s="127"/>
    </row>
    <row r="16" spans="1:14" ht="32.450000000000003" customHeight="1" x14ac:dyDescent="0.25">
      <c r="A16" s="3" t="s">
        <v>20</v>
      </c>
      <c r="B16" s="335" t="s">
        <v>21</v>
      </c>
      <c r="C16" s="3" t="s">
        <v>6</v>
      </c>
      <c r="D16" s="291"/>
      <c r="E16" s="291"/>
      <c r="F16" s="296"/>
      <c r="G16" s="296"/>
      <c r="H16" s="291"/>
      <c r="I16" s="296"/>
      <c r="J16" s="127"/>
      <c r="K16" s="127"/>
      <c r="L16" s="127"/>
      <c r="M16" s="127"/>
      <c r="N16" s="127"/>
    </row>
    <row r="17" spans="1:19" ht="32.450000000000003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/>
      <c r="G17" s="296"/>
      <c r="H17" s="291">
        <f t="shared" si="2"/>
        <v>0</v>
      </c>
      <c r="I17" s="296"/>
      <c r="J17" s="127"/>
      <c r="K17" s="127"/>
      <c r="L17" s="127"/>
      <c r="M17" s="127"/>
      <c r="N17" s="127"/>
    </row>
    <row r="18" spans="1:19" ht="32.450000000000003" customHeight="1" x14ac:dyDescent="0.25">
      <c r="A18" s="3"/>
      <c r="B18" s="337" t="s">
        <v>220</v>
      </c>
      <c r="C18" s="5" t="s">
        <v>17</v>
      </c>
      <c r="D18" s="291"/>
      <c r="E18" s="291"/>
      <c r="F18" s="296"/>
      <c r="G18" s="296"/>
      <c r="H18" s="291"/>
      <c r="I18" s="296"/>
      <c r="J18" s="127"/>
      <c r="K18" s="127"/>
      <c r="L18" s="127"/>
      <c r="M18" s="127"/>
      <c r="N18" s="127"/>
    </row>
    <row r="19" spans="1:19" ht="32.450000000000003" customHeight="1" x14ac:dyDescent="0.25">
      <c r="A19" s="379" t="s">
        <v>22</v>
      </c>
      <c r="B19" s="380" t="s">
        <v>23</v>
      </c>
      <c r="C19" s="379" t="s">
        <v>6</v>
      </c>
      <c r="D19" s="291">
        <f t="shared" ref="D19:G19" si="8">D22+D25</f>
        <v>0</v>
      </c>
      <c r="E19" s="291">
        <f t="shared" si="8"/>
        <v>0</v>
      </c>
      <c r="F19" s="291">
        <f t="shared" si="8"/>
        <v>0</v>
      </c>
      <c r="G19" s="291">
        <f t="shared" si="8"/>
        <v>0</v>
      </c>
      <c r="H19" s="291"/>
      <c r="I19" s="291"/>
      <c r="J19" s="127"/>
      <c r="K19" s="127"/>
      <c r="L19" s="127"/>
      <c r="M19" s="127"/>
      <c r="N19" s="127"/>
    </row>
    <row r="20" spans="1:19" ht="32.450000000000003" customHeight="1" x14ac:dyDescent="0.25">
      <c r="A20" s="379"/>
      <c r="B20" s="337" t="s">
        <v>218</v>
      </c>
      <c r="C20" s="5" t="s">
        <v>219</v>
      </c>
      <c r="D20" s="296">
        <f>(D23+D26)/2</f>
        <v>26.75</v>
      </c>
      <c r="E20" s="296">
        <f t="shared" ref="E20:G20" si="9">(E23+E26)/2</f>
        <v>26.770000000000003</v>
      </c>
      <c r="F20" s="296">
        <f t="shared" si="9"/>
        <v>0</v>
      </c>
      <c r="G20" s="296">
        <f t="shared" si="9"/>
        <v>0</v>
      </c>
      <c r="H20" s="291">
        <f t="shared" si="2"/>
        <v>0</v>
      </c>
      <c r="I20" s="296"/>
      <c r="J20" s="127"/>
      <c r="K20" s="127"/>
      <c r="L20" s="127"/>
      <c r="M20" s="127"/>
      <c r="N20" s="127"/>
    </row>
    <row r="21" spans="1:19" ht="32.450000000000003" customHeight="1" x14ac:dyDescent="0.25">
      <c r="A21" s="379"/>
      <c r="B21" s="337" t="s">
        <v>220</v>
      </c>
      <c r="C21" s="5" t="s">
        <v>17</v>
      </c>
      <c r="D21" s="296">
        <f>D19*D20/10</f>
        <v>0</v>
      </c>
      <c r="E21" s="296">
        <f t="shared" ref="E21:G21" si="10">E19*E20/10</f>
        <v>0</v>
      </c>
      <c r="F21" s="296">
        <f t="shared" si="10"/>
        <v>0</v>
      </c>
      <c r="G21" s="296">
        <f t="shared" si="10"/>
        <v>0</v>
      </c>
      <c r="H21" s="291"/>
      <c r="I21" s="296"/>
      <c r="J21" s="127"/>
      <c r="K21" s="127"/>
      <c r="L21" s="127"/>
      <c r="M21" s="127"/>
      <c r="N21" s="127"/>
    </row>
    <row r="22" spans="1:19" ht="32.450000000000003" customHeight="1" x14ac:dyDescent="0.25">
      <c r="A22" s="379" t="s">
        <v>24</v>
      </c>
      <c r="B22" s="380" t="s">
        <v>25</v>
      </c>
      <c r="C22" s="379" t="s">
        <v>6</v>
      </c>
      <c r="D22" s="291"/>
      <c r="E22" s="296">
        <v>0</v>
      </c>
      <c r="F22" s="296"/>
      <c r="G22" s="296"/>
      <c r="H22" s="291"/>
      <c r="I22" s="296"/>
      <c r="J22" s="127"/>
      <c r="K22" s="127"/>
      <c r="L22" s="127"/>
      <c r="M22" s="127"/>
      <c r="N22" s="127"/>
    </row>
    <row r="23" spans="1:19" ht="32.450000000000003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/>
      <c r="G23" s="296"/>
      <c r="H23" s="291">
        <f t="shared" si="2"/>
        <v>0</v>
      </c>
      <c r="I23" s="296"/>
      <c r="J23" s="127"/>
      <c r="K23" s="127"/>
      <c r="L23" s="127"/>
      <c r="M23" s="127"/>
      <c r="N23" s="127"/>
    </row>
    <row r="24" spans="1:19" ht="32.450000000000003" customHeight="1" x14ac:dyDescent="0.25">
      <c r="A24" s="379"/>
      <c r="B24" s="337" t="s">
        <v>220</v>
      </c>
      <c r="C24" s="5" t="s">
        <v>17</v>
      </c>
      <c r="D24" s="291">
        <f>D22*D23/10</f>
        <v>0</v>
      </c>
      <c r="E24" s="291">
        <f t="shared" ref="E24:G24" si="11">E22*E23/10</f>
        <v>0</v>
      </c>
      <c r="F24" s="291">
        <f t="shared" si="11"/>
        <v>0</v>
      </c>
      <c r="G24" s="291">
        <f t="shared" si="11"/>
        <v>0</v>
      </c>
      <c r="H24" s="291"/>
      <c r="I24" s="291"/>
      <c r="J24" s="127"/>
      <c r="K24" s="127"/>
      <c r="L24" s="127"/>
      <c r="M24" s="127"/>
      <c r="N24" s="127"/>
    </row>
    <row r="25" spans="1:19" ht="32.450000000000003" customHeight="1" x14ac:dyDescent="0.25">
      <c r="A25" s="379" t="s">
        <v>24</v>
      </c>
      <c r="B25" s="380" t="s">
        <v>26</v>
      </c>
      <c r="C25" s="379" t="s">
        <v>6</v>
      </c>
      <c r="D25" s="291"/>
      <c r="E25" s="291">
        <v>0</v>
      </c>
      <c r="F25" s="296"/>
      <c r="G25" s="296"/>
      <c r="H25" s="291"/>
      <c r="I25" s="296"/>
      <c r="J25" s="121"/>
      <c r="K25" s="121"/>
      <c r="L25" s="121"/>
      <c r="M25" s="121"/>
      <c r="N25" s="121"/>
      <c r="O25" s="122"/>
      <c r="P25" s="122"/>
      <c r="Q25" s="122"/>
      <c r="R25" s="122"/>
      <c r="S25" s="126"/>
    </row>
    <row r="26" spans="1:19" ht="32.450000000000003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15.2</v>
      </c>
      <c r="F26" s="296"/>
      <c r="G26" s="296"/>
      <c r="H26" s="291"/>
      <c r="I26" s="296"/>
      <c r="J26" s="121"/>
      <c r="K26" s="121"/>
      <c r="L26" s="121"/>
      <c r="M26" s="121"/>
      <c r="N26" s="121"/>
      <c r="O26" s="122"/>
      <c r="P26" s="122"/>
      <c r="Q26" s="122"/>
      <c r="R26" s="122"/>
      <c r="S26" s="126"/>
    </row>
    <row r="27" spans="1:19" ht="32.450000000000003" customHeight="1" x14ac:dyDescent="0.25">
      <c r="A27" s="379"/>
      <c r="B27" s="337" t="s">
        <v>220</v>
      </c>
      <c r="C27" s="5" t="s">
        <v>17</v>
      </c>
      <c r="D27" s="296">
        <f>D25*D26/10</f>
        <v>0</v>
      </c>
      <c r="E27" s="296">
        <f t="shared" ref="E27:G27" si="12">E25*E26/10</f>
        <v>0</v>
      </c>
      <c r="F27" s="296">
        <f t="shared" si="12"/>
        <v>0</v>
      </c>
      <c r="G27" s="296">
        <f t="shared" si="12"/>
        <v>0</v>
      </c>
      <c r="H27" s="291"/>
      <c r="I27" s="296"/>
      <c r="J27" s="121"/>
      <c r="K27" s="121"/>
      <c r="L27" s="121"/>
      <c r="M27" s="121"/>
      <c r="N27" s="121"/>
      <c r="O27" s="122"/>
      <c r="P27" s="122"/>
      <c r="Q27" s="122"/>
      <c r="R27" s="122"/>
      <c r="S27" s="126"/>
    </row>
    <row r="28" spans="1:19" ht="32.450000000000003" customHeight="1" x14ac:dyDescent="0.25">
      <c r="A28" s="3" t="s">
        <v>7</v>
      </c>
      <c r="B28" s="335" t="s">
        <v>27</v>
      </c>
      <c r="C28" s="3" t="s">
        <v>6</v>
      </c>
      <c r="D28" s="291">
        <f t="shared" ref="D28:G28" si="13">D31+D34</f>
        <v>1</v>
      </c>
      <c r="E28" s="291">
        <f t="shared" si="13"/>
        <v>1</v>
      </c>
      <c r="F28" s="291">
        <f t="shared" si="13"/>
        <v>0</v>
      </c>
      <c r="G28" s="291">
        <f t="shared" si="13"/>
        <v>0</v>
      </c>
      <c r="H28" s="291">
        <f t="shared" si="2"/>
        <v>0</v>
      </c>
      <c r="I28" s="291"/>
      <c r="J28" s="127"/>
      <c r="K28" s="127"/>
      <c r="L28" s="127"/>
      <c r="M28" s="127"/>
      <c r="N28" s="127"/>
    </row>
    <row r="29" spans="1:19" s="177" customFormat="1" ht="32.450000000000003" customHeight="1" x14ac:dyDescent="0.25">
      <c r="A29" s="3"/>
      <c r="B29" s="337" t="s">
        <v>218</v>
      </c>
      <c r="C29" s="5" t="s">
        <v>219</v>
      </c>
      <c r="D29" s="296">
        <f>D35</f>
        <v>36.85</v>
      </c>
      <c r="E29" s="296">
        <f t="shared" ref="E29:G29" si="14">E35</f>
        <v>36.9</v>
      </c>
      <c r="F29" s="296">
        <f t="shared" si="14"/>
        <v>0</v>
      </c>
      <c r="G29" s="296">
        <f t="shared" si="14"/>
        <v>0</v>
      </c>
      <c r="H29" s="291">
        <f t="shared" si="2"/>
        <v>0</v>
      </c>
      <c r="I29" s="296"/>
      <c r="J29" s="127"/>
      <c r="K29" s="127"/>
      <c r="L29" s="233"/>
      <c r="M29" s="233"/>
      <c r="N29" s="233"/>
    </row>
    <row r="30" spans="1:19" s="177" customFormat="1" ht="32.450000000000003" customHeight="1" x14ac:dyDescent="0.25">
      <c r="A30" s="3"/>
      <c r="B30" s="337" t="s">
        <v>220</v>
      </c>
      <c r="C30" s="5" t="s">
        <v>17</v>
      </c>
      <c r="D30" s="296">
        <f>D28*D29/10</f>
        <v>3.6850000000000001</v>
      </c>
      <c r="E30" s="296">
        <f t="shared" ref="E30:G30" si="15">E28*E29/10</f>
        <v>3.69</v>
      </c>
      <c r="F30" s="296">
        <f t="shared" si="15"/>
        <v>0</v>
      </c>
      <c r="G30" s="296">
        <f t="shared" si="15"/>
        <v>0</v>
      </c>
      <c r="H30" s="291">
        <f t="shared" si="2"/>
        <v>0</v>
      </c>
      <c r="I30" s="296"/>
      <c r="J30" s="127"/>
      <c r="K30" s="127"/>
      <c r="L30" s="233"/>
      <c r="M30" s="233"/>
      <c r="N30" s="233"/>
    </row>
    <row r="31" spans="1:19" ht="32.450000000000003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/>
      <c r="G31" s="291"/>
      <c r="H31" s="291"/>
      <c r="I31" s="291"/>
      <c r="J31" s="127"/>
      <c r="K31" s="114"/>
      <c r="L31" s="169"/>
      <c r="M31" s="169"/>
      <c r="N31" s="169"/>
      <c r="O31" s="169"/>
    </row>
    <row r="32" spans="1:19" ht="32.450000000000003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1"/>
      <c r="H32" s="291"/>
      <c r="I32" s="291"/>
      <c r="J32" s="127"/>
      <c r="K32" s="114"/>
      <c r="L32" s="169"/>
      <c r="M32" s="169"/>
      <c r="N32" s="169"/>
      <c r="O32" s="169"/>
    </row>
    <row r="33" spans="1:21" ht="32.450000000000003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1"/>
      <c r="H33" s="291"/>
      <c r="I33" s="291"/>
      <c r="J33" s="127"/>
      <c r="K33" s="114"/>
      <c r="L33" s="169"/>
      <c r="M33" s="169"/>
      <c r="N33" s="169"/>
      <c r="O33" s="169"/>
    </row>
    <row r="34" spans="1:21" ht="32.450000000000003" customHeight="1" x14ac:dyDescent="0.25">
      <c r="A34" s="379" t="s">
        <v>22</v>
      </c>
      <c r="B34" s="380" t="s">
        <v>29</v>
      </c>
      <c r="C34" s="379" t="s">
        <v>6</v>
      </c>
      <c r="D34" s="313">
        <v>1</v>
      </c>
      <c r="E34" s="313">
        <v>1</v>
      </c>
      <c r="F34" s="313">
        <v>0</v>
      </c>
      <c r="G34" s="313">
        <v>0</v>
      </c>
      <c r="H34" s="291">
        <f t="shared" si="2"/>
        <v>0</v>
      </c>
      <c r="I34" s="296"/>
      <c r="J34" s="127"/>
      <c r="K34" s="137"/>
      <c r="L34" s="137"/>
      <c r="M34" s="137"/>
      <c r="N34" s="137"/>
      <c r="O34" s="137"/>
    </row>
    <row r="35" spans="1:21" s="177" customFormat="1" ht="32.450000000000003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/>
      <c r="G35" s="296"/>
      <c r="H35" s="291">
        <f t="shared" si="2"/>
        <v>0</v>
      </c>
      <c r="I35" s="296"/>
      <c r="J35" s="127"/>
      <c r="K35" s="137"/>
      <c r="L35" s="236"/>
      <c r="M35" s="236"/>
      <c r="N35" s="236"/>
      <c r="O35" s="236"/>
    </row>
    <row r="36" spans="1:21" s="177" customFormat="1" ht="32.450000000000003" customHeight="1" x14ac:dyDescent="0.25">
      <c r="A36" s="379"/>
      <c r="B36" s="337" t="s">
        <v>220</v>
      </c>
      <c r="C36" s="5" t="s">
        <v>17</v>
      </c>
      <c r="D36" s="296">
        <f>D34*D35/10</f>
        <v>3.6850000000000001</v>
      </c>
      <c r="E36" s="296">
        <f t="shared" ref="E36:G36" si="16">E34*E35/10</f>
        <v>3.69</v>
      </c>
      <c r="F36" s="296">
        <f t="shared" si="16"/>
        <v>0</v>
      </c>
      <c r="G36" s="296">
        <f t="shared" si="16"/>
        <v>0</v>
      </c>
      <c r="H36" s="291">
        <f t="shared" si="2"/>
        <v>0</v>
      </c>
      <c r="I36" s="296"/>
      <c r="J36" s="127"/>
      <c r="K36" s="137"/>
      <c r="L36" s="236"/>
      <c r="M36" s="236"/>
      <c r="N36" s="236"/>
      <c r="O36" s="236"/>
    </row>
    <row r="37" spans="1:21" ht="32.450000000000003" customHeight="1" x14ac:dyDescent="0.25">
      <c r="A37" s="3">
        <v>2</v>
      </c>
      <c r="B37" s="335" t="s">
        <v>30</v>
      </c>
      <c r="C37" s="3" t="s">
        <v>6</v>
      </c>
      <c r="D37" s="291">
        <v>27</v>
      </c>
      <c r="E37" s="291">
        <v>24.31</v>
      </c>
      <c r="F37" s="291">
        <v>0</v>
      </c>
      <c r="G37" s="291">
        <v>0</v>
      </c>
      <c r="H37" s="291">
        <f t="shared" si="2"/>
        <v>0</v>
      </c>
      <c r="I37" s="291"/>
      <c r="J37" s="121"/>
      <c r="K37" s="116"/>
      <c r="L37" s="116"/>
      <c r="M37" s="116"/>
      <c r="N37" s="116"/>
      <c r="O37" s="116"/>
      <c r="P37" s="122"/>
      <c r="Q37" s="122"/>
      <c r="R37" s="122"/>
      <c r="S37" s="122"/>
      <c r="T37" s="122"/>
      <c r="U37" s="122"/>
    </row>
    <row r="38" spans="1:21" s="177" customFormat="1" ht="32.450000000000003" customHeight="1" x14ac:dyDescent="0.25">
      <c r="A38" s="3"/>
      <c r="B38" s="337" t="s">
        <v>218</v>
      </c>
      <c r="C38" s="5" t="s">
        <v>219</v>
      </c>
      <c r="D38" s="296">
        <v>137.5</v>
      </c>
      <c r="E38" s="296">
        <v>140</v>
      </c>
      <c r="F38" s="296"/>
      <c r="G38" s="296"/>
      <c r="H38" s="291">
        <f t="shared" si="2"/>
        <v>0</v>
      </c>
      <c r="I38" s="296"/>
      <c r="J38" s="121"/>
      <c r="K38" s="116"/>
      <c r="L38" s="187"/>
      <c r="M38" s="187"/>
      <c r="N38" s="187"/>
      <c r="O38" s="187"/>
      <c r="P38" s="186"/>
      <c r="Q38" s="186"/>
      <c r="R38" s="186"/>
      <c r="S38" s="186"/>
      <c r="T38" s="186"/>
      <c r="U38" s="186"/>
    </row>
    <row r="39" spans="1:21" s="177" customFormat="1" ht="32.450000000000003" customHeight="1" x14ac:dyDescent="0.25">
      <c r="A39" s="3"/>
      <c r="B39" s="337" t="s">
        <v>220</v>
      </c>
      <c r="C39" s="5" t="s">
        <v>17</v>
      </c>
      <c r="D39" s="296">
        <f>D37*D38/10</f>
        <v>371.25</v>
      </c>
      <c r="E39" s="296">
        <f t="shared" ref="E39:G39" si="17">E37*E38/10</f>
        <v>340.34</v>
      </c>
      <c r="F39" s="296">
        <f t="shared" si="17"/>
        <v>0</v>
      </c>
      <c r="G39" s="296">
        <f t="shared" si="17"/>
        <v>0</v>
      </c>
      <c r="H39" s="291">
        <f t="shared" si="2"/>
        <v>0</v>
      </c>
      <c r="I39" s="296"/>
      <c r="J39" s="121"/>
      <c r="K39" s="116"/>
      <c r="L39" s="187"/>
      <c r="M39" s="187"/>
      <c r="N39" s="187"/>
      <c r="O39" s="187"/>
      <c r="P39" s="186"/>
      <c r="Q39" s="186"/>
      <c r="R39" s="186"/>
      <c r="S39" s="186"/>
      <c r="T39" s="186"/>
      <c r="U39" s="186"/>
    </row>
    <row r="40" spans="1:21" s="177" customFormat="1" ht="32.450000000000003" customHeight="1" x14ac:dyDescent="0.25">
      <c r="A40" s="3">
        <v>3</v>
      </c>
      <c r="B40" s="333" t="s">
        <v>241</v>
      </c>
      <c r="C40" s="332" t="s">
        <v>6</v>
      </c>
      <c r="D40" s="294">
        <v>0.5</v>
      </c>
      <c r="E40" s="294">
        <v>0.5</v>
      </c>
      <c r="F40" s="291">
        <v>0</v>
      </c>
      <c r="G40" s="291">
        <v>0</v>
      </c>
      <c r="H40" s="291">
        <f t="shared" si="2"/>
        <v>0</v>
      </c>
      <c r="I40" s="296"/>
      <c r="J40" s="121"/>
      <c r="K40" s="116"/>
      <c r="L40" s="187"/>
      <c r="M40" s="187"/>
      <c r="N40" s="187"/>
      <c r="O40" s="187"/>
      <c r="P40" s="186"/>
      <c r="Q40" s="186"/>
      <c r="R40" s="186"/>
      <c r="S40" s="186"/>
      <c r="T40" s="186"/>
      <c r="U40" s="186"/>
    </row>
    <row r="41" spans="1:21" s="177" customFormat="1" ht="32.450000000000003" customHeight="1" x14ac:dyDescent="0.25">
      <c r="A41" s="3"/>
      <c r="B41" s="336" t="s">
        <v>218</v>
      </c>
      <c r="C41" s="343" t="s">
        <v>219</v>
      </c>
      <c r="D41" s="298">
        <v>25</v>
      </c>
      <c r="E41" s="298">
        <v>24.1</v>
      </c>
      <c r="F41" s="296"/>
      <c r="G41" s="296"/>
      <c r="H41" s="291">
        <f t="shared" si="2"/>
        <v>0</v>
      </c>
      <c r="I41" s="296"/>
      <c r="J41" s="121"/>
      <c r="K41" s="116"/>
      <c r="L41" s="187"/>
      <c r="M41" s="187"/>
      <c r="N41" s="187"/>
      <c r="O41" s="187"/>
      <c r="P41" s="186"/>
      <c r="Q41" s="186"/>
      <c r="R41" s="186"/>
      <c r="S41" s="186"/>
      <c r="T41" s="186"/>
      <c r="U41" s="186"/>
    </row>
    <row r="42" spans="1:21" s="177" customFormat="1" ht="32.450000000000003" customHeight="1" x14ac:dyDescent="0.25">
      <c r="A42" s="3"/>
      <c r="B42" s="336" t="s">
        <v>220</v>
      </c>
      <c r="C42" s="343" t="s">
        <v>17</v>
      </c>
      <c r="D42" s="298">
        <f>D40*D41/10</f>
        <v>1.25</v>
      </c>
      <c r="E42" s="298">
        <f>E40*E41/10</f>
        <v>1.2050000000000001</v>
      </c>
      <c r="F42" s="298">
        <f t="shared" ref="F42:G42" si="18">F40*F41/10</f>
        <v>0</v>
      </c>
      <c r="G42" s="298">
        <f t="shared" si="18"/>
        <v>0</v>
      </c>
      <c r="H42" s="291">
        <f t="shared" si="2"/>
        <v>0</v>
      </c>
      <c r="I42" s="296"/>
      <c r="J42" s="121"/>
      <c r="K42" s="116"/>
      <c r="L42" s="187"/>
      <c r="M42" s="187"/>
      <c r="N42" s="187"/>
      <c r="O42" s="187"/>
      <c r="P42" s="186"/>
      <c r="Q42" s="186"/>
      <c r="R42" s="186"/>
      <c r="S42" s="186"/>
      <c r="T42" s="186"/>
      <c r="U42" s="186"/>
    </row>
    <row r="43" spans="1:21" ht="32.450000000000003" customHeight="1" x14ac:dyDescent="0.25">
      <c r="A43" s="3">
        <v>4</v>
      </c>
      <c r="B43" s="335" t="s">
        <v>242</v>
      </c>
      <c r="C43" s="3" t="s">
        <v>6</v>
      </c>
      <c r="D43" s="291">
        <v>0.5</v>
      </c>
      <c r="E43" s="291">
        <v>0.5</v>
      </c>
      <c r="F43" s="291">
        <v>0.27</v>
      </c>
      <c r="G43" s="291">
        <f>F43</f>
        <v>0.27</v>
      </c>
      <c r="H43" s="291">
        <f t="shared" si="2"/>
        <v>54</v>
      </c>
      <c r="I43" s="291"/>
      <c r="J43" s="127"/>
      <c r="K43" s="134"/>
      <c r="L43" s="215"/>
      <c r="M43" s="215"/>
      <c r="N43" s="215"/>
      <c r="O43" s="215"/>
    </row>
    <row r="44" spans="1:21" ht="32.450000000000003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1">
        <f t="shared" si="2"/>
        <v>0</v>
      </c>
      <c r="I44" s="296"/>
      <c r="J44" s="127"/>
      <c r="K44" s="224"/>
      <c r="L44" s="127"/>
      <c r="M44" s="127"/>
      <c r="N44" s="127"/>
    </row>
    <row r="45" spans="1:21" ht="32.450000000000003" customHeight="1" x14ac:dyDescent="0.25">
      <c r="A45" s="5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19">F43*F44/10</f>
        <v>0</v>
      </c>
      <c r="G45" s="296">
        <f t="shared" si="19"/>
        <v>0</v>
      </c>
      <c r="H45" s="291">
        <f t="shared" si="2"/>
        <v>0</v>
      </c>
      <c r="I45" s="296"/>
      <c r="J45" s="127"/>
      <c r="K45" s="127"/>
      <c r="L45" s="127"/>
      <c r="M45" s="127"/>
      <c r="N45" s="127"/>
    </row>
    <row r="46" spans="1:21" ht="32.450000000000003" customHeight="1" x14ac:dyDescent="0.25">
      <c r="A46" s="3">
        <v>5</v>
      </c>
      <c r="B46" s="335" t="s">
        <v>32</v>
      </c>
      <c r="C46" s="3" t="s">
        <v>6</v>
      </c>
      <c r="D46" s="291">
        <f>D47+D55+D64</f>
        <v>28.86</v>
      </c>
      <c r="E46" s="291">
        <f t="shared" ref="E46:G46" si="20">E47+E55+E64</f>
        <v>41.46</v>
      </c>
      <c r="F46" s="291">
        <f t="shared" si="20"/>
        <v>29.46</v>
      </c>
      <c r="G46" s="291">
        <f t="shared" si="20"/>
        <v>29.46</v>
      </c>
      <c r="H46" s="291">
        <f t="shared" si="2"/>
        <v>71.056439942112888</v>
      </c>
      <c r="I46" s="291"/>
      <c r="J46" s="127"/>
      <c r="K46" s="127"/>
      <c r="L46" s="127"/>
      <c r="M46" s="127"/>
      <c r="N46" s="127"/>
    </row>
    <row r="47" spans="1:21" ht="32.450000000000003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20.36</v>
      </c>
      <c r="E47" s="291">
        <f t="shared" ref="E47:G47" si="21">E48+E49</f>
        <v>31.36</v>
      </c>
      <c r="F47" s="291">
        <f t="shared" si="21"/>
        <v>20.36</v>
      </c>
      <c r="G47" s="291">
        <f t="shared" si="21"/>
        <v>20.36</v>
      </c>
      <c r="H47" s="291">
        <f t="shared" si="2"/>
        <v>64.923469387755105</v>
      </c>
      <c r="I47" s="291"/>
      <c r="J47" s="127"/>
      <c r="K47" s="127"/>
      <c r="L47" s="127"/>
      <c r="M47" s="127"/>
      <c r="N47" s="127"/>
    </row>
    <row r="48" spans="1:21" ht="32.450000000000003" customHeight="1" x14ac:dyDescent="0.25">
      <c r="A48" s="7" t="s">
        <v>24</v>
      </c>
      <c r="B48" s="383" t="s">
        <v>196</v>
      </c>
      <c r="C48" s="384" t="s">
        <v>6</v>
      </c>
      <c r="D48" s="296">
        <v>19.5</v>
      </c>
      <c r="E48" s="296">
        <f>D48+D49</f>
        <v>20.36</v>
      </c>
      <c r="F48" s="296">
        <v>20.36</v>
      </c>
      <c r="G48" s="296">
        <v>20.36</v>
      </c>
      <c r="H48" s="296">
        <f t="shared" si="2"/>
        <v>100</v>
      </c>
      <c r="I48" s="296"/>
      <c r="J48" s="121"/>
      <c r="K48" s="121"/>
      <c r="L48" s="121"/>
      <c r="M48" s="121"/>
      <c r="N48" s="121"/>
      <c r="O48" s="122"/>
      <c r="P48" s="122"/>
      <c r="Q48" s="122"/>
      <c r="R48" s="122"/>
    </row>
    <row r="49" spans="1:18" s="131" customFormat="1" ht="32.450000000000003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0.86</v>
      </c>
      <c r="E49" s="291">
        <f t="shared" ref="E49:G49" si="22">E50+E51</f>
        <v>11</v>
      </c>
      <c r="F49" s="291">
        <f t="shared" si="22"/>
        <v>0</v>
      </c>
      <c r="G49" s="291">
        <f t="shared" si="22"/>
        <v>0</v>
      </c>
      <c r="H49" s="291">
        <f t="shared" si="2"/>
        <v>0</v>
      </c>
      <c r="I49" s="291"/>
      <c r="J49" s="213"/>
      <c r="K49" s="213"/>
      <c r="L49" s="213"/>
      <c r="M49" s="213"/>
      <c r="N49" s="213"/>
    </row>
    <row r="50" spans="1:18" ht="32.450000000000003" customHeight="1" x14ac:dyDescent="0.25">
      <c r="A50" s="384" t="s">
        <v>18</v>
      </c>
      <c r="B50" s="386" t="s">
        <v>194</v>
      </c>
      <c r="C50" s="384" t="s">
        <v>6</v>
      </c>
      <c r="D50" s="296"/>
      <c r="E50" s="296">
        <v>10</v>
      </c>
      <c r="F50" s="296">
        <v>0</v>
      </c>
      <c r="G50" s="296">
        <v>0</v>
      </c>
      <c r="H50" s="291">
        <f t="shared" si="2"/>
        <v>0</v>
      </c>
      <c r="I50" s="296"/>
      <c r="J50" s="127"/>
      <c r="K50" s="226"/>
      <c r="L50" s="226"/>
      <c r="M50" s="226"/>
      <c r="N50" s="226"/>
    </row>
    <row r="51" spans="1:18" ht="32.450000000000003" customHeight="1" x14ac:dyDescent="0.25">
      <c r="A51" s="384" t="s">
        <v>18</v>
      </c>
      <c r="B51" s="386" t="s">
        <v>35</v>
      </c>
      <c r="C51" s="5" t="s">
        <v>6</v>
      </c>
      <c r="D51" s="296">
        <v>0.86</v>
      </c>
      <c r="E51" s="296">
        <v>1</v>
      </c>
      <c r="F51" s="296">
        <v>0</v>
      </c>
      <c r="G51" s="296">
        <v>0</v>
      </c>
      <c r="H51" s="291">
        <f t="shared" si="2"/>
        <v>0</v>
      </c>
      <c r="I51" s="296"/>
      <c r="J51" s="127"/>
      <c r="K51" s="226"/>
      <c r="L51" s="226"/>
      <c r="M51" s="226"/>
      <c r="N51" s="226"/>
    </row>
    <row r="52" spans="1:18" s="131" customFormat="1" ht="32.450000000000003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16.18</v>
      </c>
      <c r="E52" s="291">
        <f t="shared" ref="E52:G52" si="23">E53+E54</f>
        <v>16.574999999999999</v>
      </c>
      <c r="F52" s="291">
        <f t="shared" si="23"/>
        <v>16.579999999999998</v>
      </c>
      <c r="G52" s="291">
        <f t="shared" si="23"/>
        <v>16.579999999999998</v>
      </c>
      <c r="H52" s="291">
        <f t="shared" si="2"/>
        <v>100.03016591251885</v>
      </c>
      <c r="I52" s="291"/>
      <c r="J52" s="213"/>
      <c r="K52" s="213"/>
      <c r="L52" s="213"/>
      <c r="M52" s="213"/>
      <c r="N52" s="213"/>
    </row>
    <row r="53" spans="1:18" ht="32.450000000000003" customHeight="1" x14ac:dyDescent="0.25">
      <c r="A53" s="387" t="s">
        <v>18</v>
      </c>
      <c r="B53" s="386" t="s">
        <v>198</v>
      </c>
      <c r="C53" s="5" t="s">
        <v>6</v>
      </c>
      <c r="D53" s="296">
        <f>12.68-1</f>
        <v>11.68</v>
      </c>
      <c r="E53" s="296">
        <f>D48*85%</f>
        <v>16.574999999999999</v>
      </c>
      <c r="F53" s="296">
        <v>16.579999999999998</v>
      </c>
      <c r="G53" s="296">
        <v>16.579999999999998</v>
      </c>
      <c r="H53" s="296">
        <f t="shared" si="2"/>
        <v>100.03016591251885</v>
      </c>
      <c r="I53" s="296"/>
      <c r="J53" s="127"/>
      <c r="K53" s="127"/>
      <c r="L53" s="224"/>
      <c r="M53" s="127"/>
      <c r="N53" s="127"/>
    </row>
    <row r="54" spans="1:18" ht="32.450000000000003" customHeight="1" x14ac:dyDescent="0.25">
      <c r="A54" s="5"/>
      <c r="B54" s="386" t="s">
        <v>199</v>
      </c>
      <c r="C54" s="5" t="s">
        <v>6</v>
      </c>
      <c r="D54" s="296">
        <v>4.5</v>
      </c>
      <c r="E54" s="296"/>
      <c r="F54" s="296"/>
      <c r="G54" s="296"/>
      <c r="H54" s="291"/>
      <c r="I54" s="296"/>
      <c r="J54" s="127"/>
      <c r="K54" s="127"/>
      <c r="L54" s="127"/>
      <c r="M54" s="127"/>
      <c r="N54" s="127"/>
    </row>
    <row r="55" spans="1:18" ht="32.450000000000003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8.5</v>
      </c>
      <c r="E55" s="291">
        <f t="shared" ref="E55:G55" si="24">E56+E57</f>
        <v>10.1</v>
      </c>
      <c r="F55" s="291">
        <f t="shared" si="24"/>
        <v>9.1</v>
      </c>
      <c r="G55" s="291">
        <f t="shared" si="24"/>
        <v>9.1</v>
      </c>
      <c r="H55" s="291">
        <f t="shared" si="2"/>
        <v>90.099009900990097</v>
      </c>
      <c r="I55" s="291"/>
      <c r="J55" s="127"/>
      <c r="K55" s="127"/>
      <c r="L55" s="127"/>
      <c r="M55" s="127"/>
      <c r="N55" s="127"/>
    </row>
    <row r="56" spans="1:18" ht="32.450000000000003" customHeight="1" x14ac:dyDescent="0.25">
      <c r="A56" s="5" t="s">
        <v>24</v>
      </c>
      <c r="B56" s="383" t="s">
        <v>197</v>
      </c>
      <c r="C56" s="5" t="s">
        <v>6</v>
      </c>
      <c r="D56" s="296">
        <v>8.5</v>
      </c>
      <c r="E56" s="296">
        <f>D56+E58</f>
        <v>9.1</v>
      </c>
      <c r="F56" s="296">
        <v>9.1</v>
      </c>
      <c r="G56" s="296">
        <v>9.1</v>
      </c>
      <c r="H56" s="296">
        <f t="shared" si="2"/>
        <v>100</v>
      </c>
      <c r="I56" s="296"/>
      <c r="J56" s="127"/>
      <c r="K56" s="127"/>
      <c r="L56" s="127"/>
      <c r="M56" s="127"/>
      <c r="N56" s="127"/>
    </row>
    <row r="57" spans="1:18" ht="32.450000000000003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0</v>
      </c>
      <c r="E57" s="296">
        <f>E58+E61</f>
        <v>1</v>
      </c>
      <c r="F57" s="296">
        <f t="shared" ref="F57:G57" si="25">F58+F61</f>
        <v>0</v>
      </c>
      <c r="G57" s="296">
        <f t="shared" si="25"/>
        <v>0</v>
      </c>
      <c r="H57" s="291">
        <f t="shared" si="2"/>
        <v>0</v>
      </c>
      <c r="I57" s="296"/>
      <c r="J57" s="127"/>
      <c r="K57" s="127"/>
      <c r="L57" s="127"/>
      <c r="M57" s="127"/>
      <c r="N57" s="127"/>
    </row>
    <row r="58" spans="1:18" s="149" customFormat="1" ht="32.450000000000003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</v>
      </c>
      <c r="E58" s="299">
        <f t="shared" ref="E58:G58" si="26">E59+E60</f>
        <v>0.6</v>
      </c>
      <c r="F58" s="299">
        <f t="shared" si="26"/>
        <v>0</v>
      </c>
      <c r="G58" s="299">
        <f t="shared" si="26"/>
        <v>0</v>
      </c>
      <c r="H58" s="291">
        <f t="shared" si="2"/>
        <v>0</v>
      </c>
      <c r="I58" s="299"/>
      <c r="J58" s="217"/>
      <c r="K58" s="219"/>
      <c r="L58" s="219"/>
      <c r="M58" s="219"/>
      <c r="N58" s="219"/>
      <c r="O58" s="219"/>
    </row>
    <row r="59" spans="1:18" ht="32.450000000000003" customHeight="1" x14ac:dyDescent="0.25">
      <c r="A59" s="5" t="s">
        <v>18</v>
      </c>
      <c r="B59" s="383" t="s">
        <v>202</v>
      </c>
      <c r="C59" s="5" t="s">
        <v>6</v>
      </c>
      <c r="D59" s="296"/>
      <c r="E59" s="296">
        <v>0.3</v>
      </c>
      <c r="F59" s="296">
        <v>0</v>
      </c>
      <c r="G59" s="296">
        <v>0</v>
      </c>
      <c r="H59" s="291">
        <f t="shared" si="2"/>
        <v>0</v>
      </c>
      <c r="I59" s="296"/>
      <c r="J59" s="214"/>
      <c r="K59" s="132"/>
      <c r="L59" s="114"/>
      <c r="M59" s="114"/>
      <c r="N59" s="114"/>
      <c r="O59" s="114"/>
      <c r="P59" s="138"/>
      <c r="Q59" s="138"/>
      <c r="R59" s="138"/>
    </row>
    <row r="60" spans="1:18" ht="32.450000000000003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0.3</v>
      </c>
      <c r="F60" s="296">
        <v>0</v>
      </c>
      <c r="G60" s="296">
        <v>0</v>
      </c>
      <c r="H60" s="291">
        <f t="shared" si="2"/>
        <v>0</v>
      </c>
      <c r="I60" s="296"/>
      <c r="J60" s="214"/>
      <c r="K60" s="132"/>
      <c r="L60" s="114"/>
      <c r="M60" s="114"/>
      <c r="N60" s="114"/>
      <c r="O60" s="114"/>
      <c r="P60" s="138"/>
      <c r="Q60" s="138"/>
      <c r="R60" s="138"/>
    </row>
    <row r="61" spans="1:18" s="149" customFormat="1" ht="32.450000000000003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0</v>
      </c>
      <c r="E61" s="299">
        <f t="shared" ref="E61:G61" si="27">E62+E63</f>
        <v>0.4</v>
      </c>
      <c r="F61" s="299">
        <f t="shared" si="27"/>
        <v>0</v>
      </c>
      <c r="G61" s="299">
        <f t="shared" si="27"/>
        <v>0</v>
      </c>
      <c r="H61" s="291">
        <f t="shared" si="2"/>
        <v>0</v>
      </c>
      <c r="I61" s="299"/>
      <c r="J61" s="214"/>
      <c r="K61" s="142"/>
      <c r="L61" s="142"/>
      <c r="M61" s="142"/>
      <c r="N61" s="142"/>
      <c r="O61" s="159"/>
      <c r="P61" s="156"/>
      <c r="Q61" s="156"/>
      <c r="R61" s="156"/>
    </row>
    <row r="62" spans="1:18" ht="32.450000000000003" customHeight="1" x14ac:dyDescent="0.25">
      <c r="A62" s="5" t="s">
        <v>18</v>
      </c>
      <c r="B62" s="383" t="s">
        <v>203</v>
      </c>
      <c r="C62" s="5" t="s">
        <v>6</v>
      </c>
      <c r="D62" s="296"/>
      <c r="E62" s="296">
        <v>0.3</v>
      </c>
      <c r="F62" s="296">
        <v>0</v>
      </c>
      <c r="G62" s="296">
        <v>0</v>
      </c>
      <c r="H62" s="291">
        <f t="shared" si="2"/>
        <v>0</v>
      </c>
      <c r="I62" s="296"/>
      <c r="J62" s="214"/>
      <c r="K62" s="132"/>
      <c r="L62" s="114"/>
      <c r="M62" s="114"/>
      <c r="N62" s="114"/>
      <c r="O62" s="114"/>
      <c r="P62" s="138"/>
      <c r="Q62" s="138"/>
      <c r="R62" s="138"/>
    </row>
    <row r="63" spans="1:18" ht="32.450000000000003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0.1</v>
      </c>
      <c r="F63" s="296">
        <v>0</v>
      </c>
      <c r="G63" s="296">
        <v>0</v>
      </c>
      <c r="H63" s="291">
        <f t="shared" si="2"/>
        <v>0</v>
      </c>
      <c r="I63" s="296"/>
      <c r="J63" s="214"/>
      <c r="K63" s="132"/>
      <c r="L63" s="114"/>
      <c r="M63" s="114"/>
      <c r="N63" s="114"/>
      <c r="O63" s="114"/>
      <c r="P63" s="138"/>
      <c r="Q63" s="138"/>
      <c r="R63" s="138"/>
    </row>
    <row r="64" spans="1:18" ht="32.450000000000003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0</v>
      </c>
      <c r="E64" s="291">
        <f t="shared" ref="E64:G64" si="28">E65+E66</f>
        <v>0</v>
      </c>
      <c r="F64" s="291">
        <f t="shared" si="28"/>
        <v>0</v>
      </c>
      <c r="G64" s="291">
        <f t="shared" si="28"/>
        <v>0</v>
      </c>
      <c r="H64" s="291"/>
      <c r="I64" s="291"/>
      <c r="J64" s="127"/>
      <c r="K64" s="155"/>
      <c r="L64" s="155"/>
      <c r="M64" s="155"/>
      <c r="N64" s="155"/>
      <c r="O64" s="138"/>
      <c r="P64" s="138"/>
      <c r="Q64" s="138"/>
      <c r="R64" s="138"/>
    </row>
    <row r="65" spans="1:17" ht="32.450000000000003" customHeight="1" x14ac:dyDescent="0.25">
      <c r="A65" s="5" t="s">
        <v>18</v>
      </c>
      <c r="B65" s="383" t="s">
        <v>196</v>
      </c>
      <c r="C65" s="5" t="s">
        <v>6</v>
      </c>
      <c r="D65" s="296"/>
      <c r="E65" s="296"/>
      <c r="F65" s="296"/>
      <c r="G65" s="296"/>
      <c r="H65" s="291"/>
      <c r="I65" s="296"/>
      <c r="J65" s="127"/>
      <c r="K65" s="127"/>
      <c r="L65" s="127"/>
      <c r="M65" s="127"/>
      <c r="N65" s="127"/>
    </row>
    <row r="66" spans="1:17" ht="32.450000000000003" customHeight="1" x14ac:dyDescent="0.25">
      <c r="A66" s="5" t="s">
        <v>18</v>
      </c>
      <c r="B66" s="337" t="s">
        <v>31</v>
      </c>
      <c r="C66" s="5" t="s">
        <v>6</v>
      </c>
      <c r="D66" s="296"/>
      <c r="E66" s="296"/>
      <c r="F66" s="296"/>
      <c r="G66" s="296"/>
      <c r="H66" s="291"/>
      <c r="I66" s="296"/>
      <c r="J66" s="127"/>
      <c r="K66" s="127"/>
      <c r="L66" s="127"/>
      <c r="M66" s="127"/>
      <c r="N66" s="127"/>
    </row>
    <row r="67" spans="1:17" ht="32.450000000000003" customHeight="1" x14ac:dyDescent="0.25">
      <c r="A67" s="3">
        <v>6</v>
      </c>
      <c r="B67" s="335" t="s">
        <v>38</v>
      </c>
      <c r="C67" s="3" t="s">
        <v>6</v>
      </c>
      <c r="D67" s="291">
        <f>D68+D71</f>
        <v>30.94</v>
      </c>
      <c r="E67" s="291">
        <f t="shared" ref="E67:G67" si="29">E68+E71</f>
        <v>29.51</v>
      </c>
      <c r="F67" s="291">
        <f t="shared" si="29"/>
        <v>23.66</v>
      </c>
      <c r="G67" s="291">
        <f t="shared" si="29"/>
        <v>23.66</v>
      </c>
      <c r="H67" s="291">
        <f t="shared" si="2"/>
        <v>80.1762114537445</v>
      </c>
      <c r="I67" s="291"/>
      <c r="J67" s="127"/>
      <c r="K67" s="127"/>
      <c r="L67" s="127"/>
      <c r="M67" s="127"/>
      <c r="N67" s="127"/>
    </row>
    <row r="68" spans="1:17" ht="32.450000000000003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0</v>
      </c>
      <c r="E68" s="291">
        <f t="shared" ref="E68:G68" si="30">E69+E70</f>
        <v>5</v>
      </c>
      <c r="F68" s="291">
        <f t="shared" si="30"/>
        <v>0</v>
      </c>
      <c r="G68" s="291">
        <f t="shared" si="30"/>
        <v>0</v>
      </c>
      <c r="H68" s="291">
        <f t="shared" si="2"/>
        <v>0</v>
      </c>
      <c r="I68" s="291"/>
      <c r="J68" s="127"/>
      <c r="K68" s="127"/>
      <c r="L68" s="127"/>
      <c r="M68" s="127"/>
      <c r="N68" s="127"/>
    </row>
    <row r="69" spans="1:17" ht="32.450000000000003" customHeight="1" x14ac:dyDescent="0.25">
      <c r="A69" s="5" t="s">
        <v>18</v>
      </c>
      <c r="B69" s="383" t="s">
        <v>205</v>
      </c>
      <c r="C69" s="5" t="s">
        <v>6</v>
      </c>
      <c r="D69" s="296"/>
      <c r="E69" s="296"/>
      <c r="F69" s="296"/>
      <c r="G69" s="296"/>
      <c r="H69" s="291"/>
      <c r="I69" s="296"/>
      <c r="J69" s="127"/>
      <c r="K69" s="127"/>
      <c r="L69" s="127"/>
      <c r="M69" s="127"/>
      <c r="N69" s="127"/>
    </row>
    <row r="70" spans="1:17" ht="32.450000000000003" customHeight="1" x14ac:dyDescent="0.25">
      <c r="A70" s="5" t="s">
        <v>18</v>
      </c>
      <c r="B70" s="383" t="s">
        <v>206</v>
      </c>
      <c r="C70" s="5" t="s">
        <v>6</v>
      </c>
      <c r="D70" s="296"/>
      <c r="E70" s="296">
        <v>5</v>
      </c>
      <c r="F70" s="296"/>
      <c r="G70" s="296"/>
      <c r="H70" s="291">
        <f t="shared" si="2"/>
        <v>0</v>
      </c>
      <c r="I70" s="296"/>
      <c r="J70" s="127"/>
      <c r="K70" s="121"/>
      <c r="L70" s="121"/>
      <c r="M70" s="121"/>
      <c r="N70" s="127"/>
    </row>
    <row r="71" spans="1:17" ht="32.450000000000003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30.94</v>
      </c>
      <c r="E71" s="291">
        <f t="shared" ref="E71:G71" si="31">E72+E73</f>
        <v>24.51</v>
      </c>
      <c r="F71" s="291">
        <f t="shared" si="31"/>
        <v>23.66</v>
      </c>
      <c r="G71" s="291">
        <f t="shared" si="31"/>
        <v>23.66</v>
      </c>
      <c r="H71" s="291">
        <f t="shared" si="2"/>
        <v>96.532027743778045</v>
      </c>
      <c r="I71" s="291"/>
      <c r="J71" s="127"/>
      <c r="K71" s="127"/>
      <c r="L71" s="127"/>
      <c r="M71" s="127"/>
      <c r="N71" s="127"/>
    </row>
    <row r="72" spans="1:17" ht="32.450000000000003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30.44</v>
      </c>
      <c r="E72" s="302">
        <f t="shared" ref="E72:G73" si="32">E75+E82</f>
        <v>23.66</v>
      </c>
      <c r="F72" s="302">
        <f t="shared" si="32"/>
        <v>23.66</v>
      </c>
      <c r="G72" s="302">
        <f t="shared" si="32"/>
        <v>23.66</v>
      </c>
      <c r="H72" s="291">
        <f t="shared" si="2"/>
        <v>100</v>
      </c>
      <c r="I72" s="302"/>
      <c r="J72" s="127"/>
      <c r="K72" s="127"/>
      <c r="L72" s="127"/>
      <c r="M72" s="127"/>
      <c r="N72" s="127"/>
    </row>
    <row r="73" spans="1:17" ht="32.450000000000003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0.5</v>
      </c>
      <c r="E73" s="291">
        <f t="shared" si="32"/>
        <v>0.85</v>
      </c>
      <c r="F73" s="291">
        <f t="shared" si="32"/>
        <v>0</v>
      </c>
      <c r="G73" s="291">
        <f t="shared" si="32"/>
        <v>0</v>
      </c>
      <c r="H73" s="291">
        <f t="shared" si="2"/>
        <v>0</v>
      </c>
      <c r="I73" s="291"/>
      <c r="J73" s="213"/>
      <c r="K73" s="213"/>
      <c r="L73" s="213"/>
      <c r="M73" s="213"/>
      <c r="N73" s="213"/>
    </row>
    <row r="74" spans="1:17" ht="32.450000000000003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23.16</v>
      </c>
      <c r="E74" s="304">
        <f t="shared" ref="E74:G74" si="33">E75+E76</f>
        <v>23.66</v>
      </c>
      <c r="F74" s="304">
        <f t="shared" si="33"/>
        <v>23.16</v>
      </c>
      <c r="G74" s="304">
        <f t="shared" si="33"/>
        <v>23.16</v>
      </c>
      <c r="H74" s="313">
        <f t="shared" ref="H74:H98" si="34">F74/E74*100</f>
        <v>97.886728655959416</v>
      </c>
      <c r="I74" s="304"/>
      <c r="J74" s="144"/>
      <c r="K74" s="144"/>
      <c r="L74" s="151"/>
      <c r="M74" s="151"/>
      <c r="N74" s="151"/>
      <c r="O74" s="151"/>
      <c r="P74" s="151"/>
      <c r="Q74" s="151"/>
    </row>
    <row r="75" spans="1:17" ht="32.450000000000003" customHeight="1" x14ac:dyDescent="0.25">
      <c r="A75" s="7" t="s">
        <v>24</v>
      </c>
      <c r="B75" s="391" t="s">
        <v>196</v>
      </c>
      <c r="C75" s="5" t="s">
        <v>6</v>
      </c>
      <c r="D75" s="306">
        <f>20.16+3</f>
        <v>23.16</v>
      </c>
      <c r="E75" s="306">
        <f>D75+D76</f>
        <v>23.16</v>
      </c>
      <c r="F75" s="306">
        <v>23.16</v>
      </c>
      <c r="G75" s="306">
        <v>23.16</v>
      </c>
      <c r="H75" s="296">
        <f t="shared" si="34"/>
        <v>100</v>
      </c>
      <c r="I75" s="296"/>
      <c r="J75" s="127"/>
      <c r="K75" s="127"/>
      <c r="L75" s="128"/>
      <c r="M75" s="128"/>
      <c r="N75" s="128"/>
      <c r="O75" s="126"/>
      <c r="P75" s="126"/>
      <c r="Q75" s="126"/>
    </row>
    <row r="76" spans="1:17" ht="32.450000000000003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0</v>
      </c>
      <c r="E76" s="307">
        <f>SUM(E77:E80)</f>
        <v>0.5</v>
      </c>
      <c r="F76" s="307">
        <f t="shared" ref="F76:G76" si="35">SUM(F77:F80)</f>
        <v>0</v>
      </c>
      <c r="G76" s="307">
        <f t="shared" si="35"/>
        <v>0</v>
      </c>
      <c r="H76" s="291">
        <f t="shared" si="34"/>
        <v>0</v>
      </c>
      <c r="I76" s="307"/>
      <c r="J76" s="217"/>
      <c r="K76" s="217"/>
      <c r="L76" s="219"/>
      <c r="M76" s="219"/>
      <c r="N76" s="219"/>
      <c r="O76" s="126"/>
      <c r="P76" s="126"/>
      <c r="Q76" s="126"/>
    </row>
    <row r="77" spans="1:17" ht="32.450000000000003" customHeight="1" x14ac:dyDescent="0.25">
      <c r="A77" s="4" t="s">
        <v>18</v>
      </c>
      <c r="B77" s="393" t="s">
        <v>212</v>
      </c>
      <c r="C77" s="4" t="s">
        <v>6</v>
      </c>
      <c r="D77" s="296"/>
      <c r="E77" s="296">
        <v>0.5</v>
      </c>
      <c r="F77" s="296">
        <v>0</v>
      </c>
      <c r="G77" s="296">
        <v>0</v>
      </c>
      <c r="H77" s="291">
        <f t="shared" si="34"/>
        <v>0</v>
      </c>
      <c r="I77" s="296"/>
      <c r="J77" s="217"/>
      <c r="K77" s="217"/>
      <c r="L77" s="219"/>
      <c r="M77" s="220"/>
      <c r="N77" s="220"/>
      <c r="O77" s="126"/>
      <c r="P77" s="164"/>
      <c r="Q77" s="164"/>
    </row>
    <row r="78" spans="1:17" ht="32.450000000000003" customHeight="1" x14ac:dyDescent="0.25">
      <c r="A78" s="4" t="s">
        <v>18</v>
      </c>
      <c r="B78" s="393" t="s">
        <v>189</v>
      </c>
      <c r="C78" s="4" t="s">
        <v>6</v>
      </c>
      <c r="D78" s="296"/>
      <c r="E78" s="296">
        <v>0</v>
      </c>
      <c r="F78" s="296"/>
      <c r="G78" s="296"/>
      <c r="H78" s="291"/>
      <c r="I78" s="296"/>
      <c r="J78" s="217"/>
      <c r="K78" s="217"/>
      <c r="L78" s="219"/>
      <c r="M78" s="219"/>
      <c r="N78" s="219"/>
      <c r="O78" s="126"/>
      <c r="P78" s="126"/>
      <c r="Q78" s="126"/>
    </row>
    <row r="79" spans="1:17" ht="32.450000000000003" customHeight="1" x14ac:dyDescent="0.25">
      <c r="A79" s="4" t="s">
        <v>18</v>
      </c>
      <c r="B79" s="393" t="s">
        <v>190</v>
      </c>
      <c r="C79" s="4" t="s">
        <v>6</v>
      </c>
      <c r="D79" s="296"/>
      <c r="E79" s="296"/>
      <c r="F79" s="296"/>
      <c r="G79" s="296"/>
      <c r="H79" s="291"/>
      <c r="I79" s="296"/>
      <c r="J79" s="217"/>
      <c r="K79" s="217"/>
      <c r="L79" s="219"/>
      <c r="M79" s="219"/>
      <c r="N79" s="219"/>
      <c r="O79" s="126"/>
      <c r="P79" s="126"/>
      <c r="Q79" s="126"/>
    </row>
    <row r="80" spans="1:17" ht="32.450000000000003" customHeight="1" x14ac:dyDescent="0.25">
      <c r="A80" s="4" t="s">
        <v>18</v>
      </c>
      <c r="B80" s="394" t="s">
        <v>208</v>
      </c>
      <c r="C80" s="4" t="s">
        <v>6</v>
      </c>
      <c r="D80" s="296"/>
      <c r="E80" s="296"/>
      <c r="F80" s="296"/>
      <c r="G80" s="296"/>
      <c r="H80" s="291"/>
      <c r="I80" s="296"/>
      <c r="J80" s="217"/>
      <c r="K80" s="217"/>
      <c r="L80" s="219"/>
      <c r="M80" s="219"/>
      <c r="N80" s="219"/>
      <c r="O80" s="126"/>
      <c r="P80" s="126"/>
      <c r="Q80" s="126"/>
    </row>
    <row r="81" spans="1:19" s="152" customFormat="1" ht="32.450000000000003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7.78</v>
      </c>
      <c r="E81" s="304">
        <f>E82+E83</f>
        <v>0.85</v>
      </c>
      <c r="F81" s="304">
        <f t="shared" ref="F81:G81" si="36">F82+F83</f>
        <v>0.5</v>
      </c>
      <c r="G81" s="304">
        <f t="shared" si="36"/>
        <v>0.5</v>
      </c>
      <c r="H81" s="313">
        <f t="shared" si="34"/>
        <v>58.82352941176471</v>
      </c>
      <c r="I81" s="304"/>
      <c r="J81" s="144"/>
      <c r="K81" s="144"/>
      <c r="L81" s="151"/>
      <c r="M81" s="151"/>
      <c r="N81" s="151"/>
      <c r="O81" s="151"/>
      <c r="P81" s="151"/>
      <c r="Q81" s="151"/>
    </row>
    <row r="82" spans="1:19" s="149" customFormat="1" ht="32.450000000000003" customHeight="1" x14ac:dyDescent="0.25">
      <c r="A82" s="392" t="s">
        <v>18</v>
      </c>
      <c r="B82" s="393" t="s">
        <v>188</v>
      </c>
      <c r="C82" s="4" t="s">
        <v>6</v>
      </c>
      <c r="D82" s="299">
        <v>7.28</v>
      </c>
      <c r="E82" s="299">
        <v>0.5</v>
      </c>
      <c r="F82" s="299">
        <v>0.5</v>
      </c>
      <c r="G82" s="299">
        <v>0.5</v>
      </c>
      <c r="H82" s="299">
        <f t="shared" si="34"/>
        <v>100</v>
      </c>
      <c r="I82" s="299"/>
      <c r="J82" s="217"/>
      <c r="K82" s="217"/>
      <c r="L82" s="219"/>
      <c r="M82" s="219"/>
      <c r="N82" s="219"/>
      <c r="O82" s="148"/>
      <c r="P82" s="148"/>
      <c r="Q82" s="148"/>
    </row>
    <row r="83" spans="1:19" ht="32.450000000000003" customHeight="1" x14ac:dyDescent="0.25">
      <c r="A83" s="392" t="s">
        <v>15</v>
      </c>
      <c r="B83" s="389" t="s">
        <v>210</v>
      </c>
      <c r="C83" s="5" t="s">
        <v>6</v>
      </c>
      <c r="D83" s="306">
        <f t="shared" ref="D83:G83" si="37">SUM(D84:D87)</f>
        <v>0.5</v>
      </c>
      <c r="E83" s="306">
        <f>SUM(E84:E87)</f>
        <v>0.35</v>
      </c>
      <c r="F83" s="306">
        <f t="shared" si="37"/>
        <v>0</v>
      </c>
      <c r="G83" s="306">
        <f t="shared" si="37"/>
        <v>0</v>
      </c>
      <c r="H83" s="291">
        <f t="shared" si="34"/>
        <v>0</v>
      </c>
      <c r="I83" s="306"/>
      <c r="J83" s="217"/>
      <c r="K83" s="217"/>
      <c r="L83" s="219"/>
      <c r="M83" s="219"/>
      <c r="N83" s="219"/>
      <c r="O83" s="126"/>
      <c r="P83" s="126"/>
      <c r="Q83" s="126"/>
    </row>
    <row r="84" spans="1:19" ht="32.450000000000003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291"/>
      <c r="I84" s="296"/>
      <c r="J84" s="219"/>
      <c r="K84" s="219"/>
      <c r="L84" s="219"/>
      <c r="M84" s="219"/>
      <c r="N84" s="219"/>
    </row>
    <row r="85" spans="1:19" ht="32.450000000000003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291"/>
      <c r="I85" s="296"/>
      <c r="J85" s="219"/>
      <c r="K85" s="219"/>
      <c r="L85" s="219"/>
      <c r="M85" s="219"/>
      <c r="N85" s="219"/>
    </row>
    <row r="86" spans="1:19" ht="32.450000000000003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291"/>
      <c r="I86" s="296"/>
      <c r="J86" s="219"/>
      <c r="K86" s="219"/>
      <c r="L86" s="219"/>
      <c r="M86" s="219"/>
      <c r="N86" s="126"/>
      <c r="O86" s="126"/>
      <c r="P86" s="126"/>
      <c r="Q86" s="126"/>
    </row>
    <row r="87" spans="1:19" ht="32.450000000000003" customHeight="1" x14ac:dyDescent="0.25">
      <c r="A87" s="392" t="s">
        <v>18</v>
      </c>
      <c r="B87" s="393" t="s">
        <v>193</v>
      </c>
      <c r="C87" s="4" t="s">
        <v>6</v>
      </c>
      <c r="D87" s="296">
        <v>0.5</v>
      </c>
      <c r="E87" s="296">
        <v>0.35</v>
      </c>
      <c r="F87" s="296"/>
      <c r="G87" s="296">
        <v>0</v>
      </c>
      <c r="H87" s="291">
        <f t="shared" si="34"/>
        <v>0</v>
      </c>
      <c r="I87" s="296"/>
      <c r="J87" s="219"/>
      <c r="K87" s="219"/>
      <c r="L87" s="219"/>
      <c r="M87" s="220"/>
      <c r="N87" s="220"/>
      <c r="O87" s="164"/>
      <c r="P87" s="164"/>
      <c r="Q87" s="164"/>
      <c r="R87" s="140"/>
      <c r="S87" s="140"/>
    </row>
    <row r="88" spans="1:19" ht="32.450000000000003" customHeight="1" x14ac:dyDescent="0.25">
      <c r="A88" s="3" t="s">
        <v>44</v>
      </c>
      <c r="B88" s="334" t="s">
        <v>45</v>
      </c>
      <c r="C88" s="3"/>
      <c r="D88" s="291">
        <f>SUM(D89:D93)</f>
        <v>840</v>
      </c>
      <c r="E88" s="291">
        <f t="shared" ref="E88:G88" si="38">SUM(E89:E93)</f>
        <v>1383</v>
      </c>
      <c r="F88" s="291">
        <f t="shared" si="38"/>
        <v>1095</v>
      </c>
      <c r="G88" s="291">
        <f t="shared" si="38"/>
        <v>1095</v>
      </c>
      <c r="H88" s="291">
        <f t="shared" si="34"/>
        <v>79.175704989154013</v>
      </c>
      <c r="I88" s="291"/>
      <c r="J88" s="128"/>
      <c r="K88" s="128"/>
      <c r="L88" s="136"/>
      <c r="M88" s="136"/>
      <c r="N88" s="128"/>
    </row>
    <row r="89" spans="1:19" s="194" customFormat="1" ht="32.450000000000003" customHeight="1" x14ac:dyDescent="0.25">
      <c r="A89" s="5">
        <v>1</v>
      </c>
      <c r="B89" s="337" t="s">
        <v>46</v>
      </c>
      <c r="C89" s="5" t="s">
        <v>8</v>
      </c>
      <c r="D89" s="296">
        <v>76</v>
      </c>
      <c r="E89" s="296">
        <f>50+27</f>
        <v>77</v>
      </c>
      <c r="F89" s="296">
        <v>75</v>
      </c>
      <c r="G89" s="296">
        <f>F89</f>
        <v>75</v>
      </c>
      <c r="H89" s="296">
        <f t="shared" si="34"/>
        <v>97.402597402597408</v>
      </c>
      <c r="I89" s="296"/>
      <c r="J89" s="222"/>
      <c r="K89" s="212"/>
      <c r="L89" s="318"/>
      <c r="M89" s="319"/>
      <c r="N89" s="212"/>
    </row>
    <row r="90" spans="1:19" s="194" customFormat="1" ht="32.450000000000003" customHeight="1" x14ac:dyDescent="0.25">
      <c r="A90" s="5">
        <v>2</v>
      </c>
      <c r="B90" s="337" t="s">
        <v>47</v>
      </c>
      <c r="C90" s="5" t="s">
        <v>8</v>
      </c>
      <c r="D90" s="296">
        <v>127</v>
      </c>
      <c r="E90" s="296">
        <f>125+20</f>
        <v>145</v>
      </c>
      <c r="F90" s="296">
        <v>141</v>
      </c>
      <c r="G90" s="296">
        <f>F90</f>
        <v>141</v>
      </c>
      <c r="H90" s="296">
        <f t="shared" si="34"/>
        <v>97.241379310344826</v>
      </c>
      <c r="I90" s="296"/>
      <c r="J90" s="222"/>
      <c r="K90" s="267"/>
      <c r="L90" s="318"/>
      <c r="M90" s="319"/>
      <c r="N90" s="222"/>
    </row>
    <row r="91" spans="1:19" s="194" customFormat="1" ht="32.450000000000003" customHeight="1" x14ac:dyDescent="0.25">
      <c r="A91" s="5">
        <v>3</v>
      </c>
      <c r="B91" s="337" t="s">
        <v>48</v>
      </c>
      <c r="C91" s="5" t="s">
        <v>8</v>
      </c>
      <c r="D91" s="296">
        <v>72</v>
      </c>
      <c r="E91" s="296">
        <f>73+23</f>
        <v>96</v>
      </c>
      <c r="F91" s="296">
        <v>80</v>
      </c>
      <c r="G91" s="296">
        <f>F91</f>
        <v>80</v>
      </c>
      <c r="H91" s="296">
        <f t="shared" si="34"/>
        <v>83.333333333333343</v>
      </c>
      <c r="I91" s="296"/>
      <c r="J91" s="222"/>
      <c r="K91" s="267"/>
      <c r="L91" s="318"/>
      <c r="M91" s="319"/>
      <c r="N91" s="222"/>
    </row>
    <row r="92" spans="1:19" s="194" customFormat="1" ht="32.450000000000003" customHeight="1" x14ac:dyDescent="0.25">
      <c r="A92" s="5">
        <v>4</v>
      </c>
      <c r="B92" s="337" t="s">
        <v>49</v>
      </c>
      <c r="C92" s="5" t="s">
        <v>8</v>
      </c>
      <c r="D92" s="296">
        <v>10</v>
      </c>
      <c r="E92" s="296">
        <f>12+3</f>
        <v>15</v>
      </c>
      <c r="F92" s="296">
        <v>14</v>
      </c>
      <c r="G92" s="296">
        <f>F92</f>
        <v>14</v>
      </c>
      <c r="H92" s="296">
        <f t="shared" si="34"/>
        <v>93.333333333333329</v>
      </c>
      <c r="I92" s="296"/>
      <c r="J92" s="222"/>
      <c r="K92" s="267"/>
      <c r="L92" s="320"/>
      <c r="M92" s="319"/>
      <c r="N92" s="222"/>
    </row>
    <row r="93" spans="1:19" s="194" customFormat="1" ht="32.450000000000003" customHeight="1" x14ac:dyDescent="0.25">
      <c r="A93" s="5">
        <v>5</v>
      </c>
      <c r="B93" s="337" t="s">
        <v>50</v>
      </c>
      <c r="C93" s="5" t="s">
        <v>8</v>
      </c>
      <c r="D93" s="296">
        <v>555</v>
      </c>
      <c r="E93" s="296">
        <f>1000+50</f>
        <v>1050</v>
      </c>
      <c r="F93" s="296">
        <v>785</v>
      </c>
      <c r="G93" s="296">
        <f>F93</f>
        <v>785</v>
      </c>
      <c r="H93" s="296">
        <f t="shared" si="34"/>
        <v>74.761904761904759</v>
      </c>
      <c r="I93" s="296"/>
      <c r="J93" s="267"/>
      <c r="K93" s="267"/>
      <c r="L93" s="320"/>
      <c r="M93" s="319"/>
      <c r="N93" s="222"/>
    </row>
    <row r="94" spans="1:19" s="131" customFormat="1" ht="32.450000000000003" customHeight="1" x14ac:dyDescent="0.25">
      <c r="A94" s="3" t="s">
        <v>51</v>
      </c>
      <c r="B94" s="335" t="s">
        <v>52</v>
      </c>
      <c r="C94" s="3" t="s">
        <v>6</v>
      </c>
      <c r="D94" s="291">
        <f>D95</f>
        <v>1.1000000000000001</v>
      </c>
      <c r="E94" s="291">
        <f t="shared" ref="E94:G94" si="39">E95</f>
        <v>1.1000000000000001</v>
      </c>
      <c r="F94" s="291">
        <f t="shared" si="39"/>
        <v>1.1000000000000001</v>
      </c>
      <c r="G94" s="291">
        <f t="shared" si="39"/>
        <v>1.1000000000000001</v>
      </c>
      <c r="H94" s="291">
        <f t="shared" si="34"/>
        <v>100</v>
      </c>
      <c r="I94" s="291"/>
      <c r="J94" s="321"/>
      <c r="K94" s="321"/>
      <c r="L94" s="130"/>
      <c r="M94" s="130"/>
      <c r="N94" s="130"/>
    </row>
    <row r="95" spans="1:19" ht="32.450000000000003" customHeight="1" x14ac:dyDescent="0.25">
      <c r="A95" s="4" t="s">
        <v>18</v>
      </c>
      <c r="B95" s="389" t="s">
        <v>53</v>
      </c>
      <c r="C95" s="4" t="s">
        <v>6</v>
      </c>
      <c r="D95" s="296">
        <v>1.1000000000000001</v>
      </c>
      <c r="E95" s="296">
        <v>1.1000000000000001</v>
      </c>
      <c r="F95" s="296">
        <v>1.1000000000000001</v>
      </c>
      <c r="G95" s="296">
        <v>1.1000000000000001</v>
      </c>
      <c r="H95" s="296">
        <f t="shared" si="34"/>
        <v>100</v>
      </c>
      <c r="I95" s="296"/>
      <c r="J95" s="128"/>
      <c r="K95" s="128"/>
      <c r="L95" s="128"/>
      <c r="M95" s="128"/>
      <c r="N95" s="128"/>
    </row>
    <row r="96" spans="1:19" ht="32.450000000000003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2.8</v>
      </c>
      <c r="E96" s="291">
        <f t="shared" ref="E96:G96" si="40">E97+E98</f>
        <v>0.85000000000000009</v>
      </c>
      <c r="F96" s="291">
        <f t="shared" si="40"/>
        <v>0</v>
      </c>
      <c r="G96" s="291">
        <f t="shared" si="40"/>
        <v>0</v>
      </c>
      <c r="H96" s="291">
        <f t="shared" si="34"/>
        <v>0</v>
      </c>
      <c r="I96" s="291"/>
      <c r="J96" s="128"/>
      <c r="K96" s="128"/>
      <c r="L96" s="128"/>
      <c r="M96" s="128"/>
      <c r="N96" s="128"/>
    </row>
    <row r="97" spans="1:14" ht="32.450000000000003" customHeight="1" x14ac:dyDescent="0.25">
      <c r="A97" s="5" t="s">
        <v>18</v>
      </c>
      <c r="B97" s="391" t="s">
        <v>213</v>
      </c>
      <c r="C97" s="4" t="s">
        <v>6</v>
      </c>
      <c r="D97" s="296"/>
      <c r="E97" s="296">
        <v>0.2</v>
      </c>
      <c r="F97" s="296"/>
      <c r="G97" s="296"/>
      <c r="H97" s="291">
        <f t="shared" si="34"/>
        <v>0</v>
      </c>
      <c r="I97" s="296"/>
      <c r="J97" s="128"/>
      <c r="K97" s="128"/>
      <c r="L97" s="128"/>
      <c r="M97" s="128"/>
      <c r="N97" s="128"/>
    </row>
    <row r="98" spans="1:14" ht="32.450000000000003" customHeight="1" x14ac:dyDescent="0.25">
      <c r="A98" s="395" t="s">
        <v>18</v>
      </c>
      <c r="B98" s="391" t="s">
        <v>56</v>
      </c>
      <c r="C98" s="4" t="s">
        <v>6</v>
      </c>
      <c r="D98" s="296">
        <v>2.8</v>
      </c>
      <c r="E98" s="296">
        <v>0.65</v>
      </c>
      <c r="F98" s="296"/>
      <c r="G98" s="296"/>
      <c r="H98" s="291">
        <f t="shared" si="34"/>
        <v>0</v>
      </c>
      <c r="I98" s="296"/>
      <c r="J98" s="128"/>
      <c r="K98" s="128"/>
      <c r="L98" s="128"/>
      <c r="M98" s="128"/>
      <c r="N98" s="128"/>
    </row>
    <row r="99" spans="1:14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27"/>
      <c r="L99" s="127"/>
      <c r="M99" s="127"/>
      <c r="N99" s="127"/>
    </row>
    <row r="100" spans="1:14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27"/>
      <c r="L100" s="127"/>
      <c r="M100" s="127"/>
      <c r="N100" s="127"/>
    </row>
    <row r="101" spans="1:14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27"/>
      <c r="L101" s="127"/>
      <c r="M101" s="127"/>
      <c r="N101" s="127"/>
    </row>
    <row r="102" spans="1:14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27"/>
      <c r="L102" s="127"/>
      <c r="M102" s="127"/>
      <c r="N102" s="127"/>
    </row>
    <row r="103" spans="1:14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27"/>
      <c r="L103" s="127"/>
      <c r="M103" s="127"/>
      <c r="N103" s="127"/>
    </row>
    <row r="104" spans="1:14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27"/>
      <c r="L104" s="127"/>
      <c r="M104" s="127"/>
      <c r="N104" s="127"/>
    </row>
    <row r="105" spans="1:14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27"/>
      <c r="L105" s="127"/>
      <c r="M105" s="127"/>
      <c r="N105" s="127"/>
    </row>
    <row r="106" spans="1:14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27"/>
      <c r="L106" s="127"/>
      <c r="M106" s="127"/>
      <c r="N106" s="127"/>
    </row>
    <row r="107" spans="1:14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27"/>
      <c r="L107" s="127"/>
      <c r="M107" s="127"/>
      <c r="N107" s="127"/>
    </row>
    <row r="108" spans="1:14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27"/>
      <c r="L108" s="127"/>
      <c r="M108" s="127"/>
      <c r="N108" s="127"/>
    </row>
    <row r="109" spans="1:14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  <c r="N109" s="127"/>
    </row>
    <row r="110" spans="1:14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  <c r="N110" s="127"/>
    </row>
    <row r="111" spans="1:14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  <c r="N111" s="127"/>
    </row>
    <row r="112" spans="1:14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  <c r="N112" s="127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39370078740157483" right="0.35433070866141736" top="0.51181102362204722" bottom="0.31496062992125984" header="0" footer="0"/>
  <pageSetup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984"/>
  <sheetViews>
    <sheetView zoomScaleNormal="100" workbookViewId="0">
      <pane ySplit="8" topLeftCell="A22" activePane="bottomLeft" state="frozen"/>
      <selection pane="bottomLeft" activeCell="K101" sqref="K101"/>
    </sheetView>
  </sheetViews>
  <sheetFormatPr defaultColWidth="11.21875" defaultRowHeight="15" customHeight="1" x14ac:dyDescent="0.25"/>
  <cols>
    <col min="1" max="1" width="7.44140625" style="330" customWidth="1"/>
    <col min="2" max="2" width="28.5546875" style="330" customWidth="1"/>
    <col min="3" max="3" width="9" style="330" customWidth="1"/>
    <col min="4" max="4" width="16.109375" style="330" customWidth="1"/>
    <col min="5" max="5" width="19.44140625" style="330" customWidth="1"/>
    <col min="6" max="9" width="12.6640625" style="330" customWidth="1"/>
    <col min="10" max="10" width="8.88671875" style="125" customWidth="1"/>
    <col min="11" max="11" width="20.77734375" style="125" customWidth="1"/>
    <col min="12" max="14" width="8.88671875" style="125" customWidth="1"/>
    <col min="15" max="16384" width="11.21875" style="125"/>
  </cols>
  <sheetData>
    <row r="1" spans="1:18" ht="15" customHeight="1" x14ac:dyDescent="0.25">
      <c r="H1" s="409"/>
      <c r="I1" s="409"/>
    </row>
    <row r="2" spans="1:18" ht="16.5" x14ac:dyDescent="0.25">
      <c r="A2" s="410"/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  <c r="N2" s="127"/>
    </row>
    <row r="3" spans="1:18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18" ht="16.5" x14ac:dyDescent="0.25">
      <c r="A4" s="405" t="s">
        <v>234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18" ht="16.5" x14ac:dyDescent="0.25">
      <c r="A5" s="417" t="str">
        <f>'KON TUN(11)'!A5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18" ht="16.5" x14ac:dyDescent="0.25">
      <c r="A6" s="376"/>
      <c r="B6" s="376"/>
      <c r="C6" s="398"/>
      <c r="D6" s="398"/>
      <c r="E6" s="398"/>
      <c r="F6" s="398"/>
      <c r="G6" s="398"/>
      <c r="H6" s="398"/>
      <c r="I6" s="398"/>
      <c r="J6" s="127"/>
      <c r="K6" s="127"/>
      <c r="L6" s="127"/>
      <c r="M6" s="127"/>
      <c r="N6" s="127"/>
    </row>
    <row r="7" spans="1:18" ht="33.6" customHeight="1" x14ac:dyDescent="0.25">
      <c r="A7" s="412" t="s">
        <v>10</v>
      </c>
      <c r="B7" s="424" t="s">
        <v>1</v>
      </c>
      <c r="C7" s="403" t="s">
        <v>11</v>
      </c>
      <c r="D7" s="403" t="s">
        <v>222</v>
      </c>
      <c r="E7" s="416" t="s">
        <v>256</v>
      </c>
      <c r="F7" s="418"/>
      <c r="G7" s="418"/>
      <c r="H7" s="419"/>
      <c r="I7" s="407" t="s">
        <v>259</v>
      </c>
      <c r="J7" s="127"/>
      <c r="K7" s="153" t="s">
        <v>215</v>
      </c>
      <c r="L7" s="174">
        <v>206</v>
      </c>
      <c r="M7" s="127"/>
      <c r="N7" s="127"/>
    </row>
    <row r="8" spans="1:18" ht="33.6" customHeight="1" x14ac:dyDescent="0.25">
      <c r="A8" s="413"/>
      <c r="B8" s="425"/>
      <c r="C8" s="404"/>
      <c r="D8" s="403"/>
      <c r="E8" s="331" t="s">
        <v>257</v>
      </c>
      <c r="F8" s="331" t="s">
        <v>261</v>
      </c>
      <c r="G8" s="331" t="s">
        <v>263</v>
      </c>
      <c r="H8" s="331" t="s">
        <v>258</v>
      </c>
      <c r="I8" s="408"/>
      <c r="J8" s="127"/>
      <c r="K8" s="153" t="s">
        <v>216</v>
      </c>
      <c r="L8" s="174">
        <v>748</v>
      </c>
      <c r="M8" s="127"/>
      <c r="N8" s="127"/>
    </row>
    <row r="9" spans="1:18" s="131" customFormat="1" ht="31.9" customHeight="1" x14ac:dyDescent="0.25">
      <c r="A9" s="3" t="s">
        <v>12</v>
      </c>
      <c r="B9" s="335" t="s">
        <v>13</v>
      </c>
      <c r="C9" s="400" t="s">
        <v>6</v>
      </c>
      <c r="D9" s="292">
        <f>D13+D28+D37+D43+D46+D67</f>
        <v>126.44</v>
      </c>
      <c r="E9" s="292">
        <f t="shared" ref="E9:G9" si="0">E13+E28+E37+E43+E46+E67</f>
        <v>140.79999999999998</v>
      </c>
      <c r="F9" s="292">
        <f t="shared" si="0"/>
        <v>87.97</v>
      </c>
      <c r="G9" s="292">
        <f t="shared" si="0"/>
        <v>87.97</v>
      </c>
      <c r="H9" s="292">
        <f>F9/E9*100</f>
        <v>62.478693181818187</v>
      </c>
      <c r="I9" s="292"/>
      <c r="J9" s="213"/>
      <c r="K9" s="213"/>
      <c r="L9" s="213"/>
      <c r="M9" s="213"/>
      <c r="N9" s="213"/>
    </row>
    <row r="10" spans="1:18" s="131" customFormat="1" ht="31.9" customHeight="1" x14ac:dyDescent="0.25">
      <c r="A10" s="3">
        <v>1</v>
      </c>
      <c r="B10" s="335" t="s">
        <v>14</v>
      </c>
      <c r="C10" s="3" t="s">
        <v>6</v>
      </c>
      <c r="D10" s="291">
        <f>D13+D28</f>
        <v>1</v>
      </c>
      <c r="E10" s="291">
        <f t="shared" ref="E10:G10" si="1">E13+E28</f>
        <v>8.3000000000000007</v>
      </c>
      <c r="F10" s="291">
        <f t="shared" si="1"/>
        <v>1.3</v>
      </c>
      <c r="G10" s="291">
        <f t="shared" si="1"/>
        <v>1.3</v>
      </c>
      <c r="H10" s="292">
        <f t="shared" ref="H10:H73" si="2">F10/E10*100</f>
        <v>15.66265060240964</v>
      </c>
      <c r="I10" s="291"/>
      <c r="J10" s="213"/>
      <c r="K10" s="213"/>
      <c r="L10" s="213"/>
      <c r="M10" s="213"/>
      <c r="N10" s="213"/>
    </row>
    <row r="11" spans="1:18" s="178" customFormat="1" ht="31.9" customHeight="1" x14ac:dyDescent="0.25">
      <c r="A11" s="3"/>
      <c r="B11" s="334" t="s">
        <v>16</v>
      </c>
      <c r="C11" s="3" t="s">
        <v>17</v>
      </c>
      <c r="D11" s="291">
        <f>D12+D30</f>
        <v>3.6850000000000001</v>
      </c>
      <c r="E11" s="291">
        <f t="shared" ref="E11:G11" si="3">E12+E30</f>
        <v>22.914550000000002</v>
      </c>
      <c r="F11" s="291">
        <f t="shared" si="3"/>
        <v>0</v>
      </c>
      <c r="G11" s="291">
        <f t="shared" si="3"/>
        <v>0</v>
      </c>
      <c r="H11" s="292">
        <f t="shared" si="2"/>
        <v>0</v>
      </c>
      <c r="I11" s="291"/>
      <c r="J11" s="213"/>
      <c r="K11" s="213"/>
      <c r="L11" s="232"/>
      <c r="M11" s="232"/>
      <c r="N11" s="232"/>
    </row>
    <row r="12" spans="1:18" s="178" customFormat="1" ht="31.9" customHeight="1" x14ac:dyDescent="0.25">
      <c r="A12" s="3"/>
      <c r="B12" s="335" t="s">
        <v>221</v>
      </c>
      <c r="C12" s="3" t="s">
        <v>17</v>
      </c>
      <c r="D12" s="291">
        <f>D15</f>
        <v>0</v>
      </c>
      <c r="E12" s="291">
        <f t="shared" ref="E12:G12" si="4">E15</f>
        <v>19.224550000000001</v>
      </c>
      <c r="F12" s="291">
        <f t="shared" si="4"/>
        <v>0</v>
      </c>
      <c r="G12" s="291">
        <f t="shared" si="4"/>
        <v>0</v>
      </c>
      <c r="H12" s="292">
        <f t="shared" si="2"/>
        <v>0</v>
      </c>
      <c r="I12" s="291"/>
      <c r="J12" s="213"/>
      <c r="K12" s="213"/>
      <c r="L12" s="232"/>
      <c r="M12" s="232"/>
      <c r="N12" s="232"/>
    </row>
    <row r="13" spans="1:18" ht="31.9" customHeight="1" x14ac:dyDescent="0.25">
      <c r="A13" s="3" t="s">
        <v>5</v>
      </c>
      <c r="B13" s="335" t="s">
        <v>19</v>
      </c>
      <c r="C13" s="3" t="s">
        <v>6</v>
      </c>
      <c r="D13" s="291">
        <f>D16+D19</f>
        <v>0</v>
      </c>
      <c r="E13" s="291">
        <f t="shared" ref="E13:G13" si="5">E16+E19</f>
        <v>7.3</v>
      </c>
      <c r="F13" s="291">
        <f t="shared" si="5"/>
        <v>1.3</v>
      </c>
      <c r="G13" s="291">
        <f t="shared" si="5"/>
        <v>1.3</v>
      </c>
      <c r="H13" s="292">
        <f t="shared" si="2"/>
        <v>17.808219178082194</v>
      </c>
      <c r="I13" s="291"/>
      <c r="J13" s="127"/>
      <c r="K13" s="234"/>
      <c r="L13" s="234"/>
      <c r="M13" s="234"/>
      <c r="N13" s="127"/>
    </row>
    <row r="14" spans="1:18" ht="31.9" customHeight="1" x14ac:dyDescent="0.25">
      <c r="A14" s="3"/>
      <c r="B14" s="337" t="s">
        <v>218</v>
      </c>
      <c r="C14" s="5" t="s">
        <v>219</v>
      </c>
      <c r="D14" s="296">
        <f>(D17+D20)/2</f>
        <v>30.125</v>
      </c>
      <c r="E14" s="296">
        <f t="shared" ref="E14:G14" si="6">(E17+E20)/2</f>
        <v>26.335000000000001</v>
      </c>
      <c r="F14" s="296">
        <f t="shared" si="6"/>
        <v>0</v>
      </c>
      <c r="G14" s="296">
        <f t="shared" si="6"/>
        <v>0</v>
      </c>
      <c r="H14" s="292">
        <f t="shared" si="2"/>
        <v>0</v>
      </c>
      <c r="I14" s="296"/>
      <c r="J14" s="127"/>
      <c r="K14" s="127"/>
      <c r="L14" s="127"/>
      <c r="M14" s="127"/>
      <c r="N14" s="127"/>
    </row>
    <row r="15" spans="1:18" ht="31.9" customHeight="1" x14ac:dyDescent="0.25">
      <c r="A15" s="3"/>
      <c r="B15" s="337" t="s">
        <v>220</v>
      </c>
      <c r="C15" s="5" t="s">
        <v>17</v>
      </c>
      <c r="D15" s="296">
        <f>D13*D14/10</f>
        <v>0</v>
      </c>
      <c r="E15" s="296">
        <f t="shared" ref="E15:G15" si="7">E13*E14/10</f>
        <v>19.224550000000001</v>
      </c>
      <c r="F15" s="296">
        <f t="shared" si="7"/>
        <v>0</v>
      </c>
      <c r="G15" s="296">
        <f t="shared" si="7"/>
        <v>0</v>
      </c>
      <c r="H15" s="292">
        <f t="shared" si="2"/>
        <v>0</v>
      </c>
      <c r="I15" s="296"/>
      <c r="J15" s="127"/>
      <c r="K15" s="127"/>
      <c r="L15" s="127"/>
      <c r="M15" s="127"/>
      <c r="N15" s="127"/>
    </row>
    <row r="16" spans="1:18" ht="31.9" customHeight="1" x14ac:dyDescent="0.25">
      <c r="A16" s="3" t="s">
        <v>20</v>
      </c>
      <c r="B16" s="335" t="s">
        <v>21</v>
      </c>
      <c r="C16" s="3" t="s">
        <v>6</v>
      </c>
      <c r="D16" s="291"/>
      <c r="E16" s="291">
        <v>1.3</v>
      </c>
      <c r="F16" s="291">
        <v>1.3</v>
      </c>
      <c r="G16" s="291">
        <v>1.3</v>
      </c>
      <c r="H16" s="292">
        <f t="shared" si="2"/>
        <v>100</v>
      </c>
      <c r="I16" s="291"/>
      <c r="J16" s="214"/>
      <c r="K16" s="214"/>
      <c r="L16" s="214"/>
      <c r="M16" s="214"/>
      <c r="N16" s="214"/>
      <c r="O16" s="135"/>
      <c r="P16" s="135"/>
      <c r="Q16" s="135"/>
      <c r="R16" s="135"/>
    </row>
    <row r="17" spans="1:21" ht="31.9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>
        <v>0</v>
      </c>
      <c r="G17" s="296">
        <v>0</v>
      </c>
      <c r="H17" s="292">
        <f t="shared" si="2"/>
        <v>0</v>
      </c>
      <c r="I17" s="296"/>
      <c r="J17" s="214"/>
      <c r="K17" s="214"/>
      <c r="L17" s="214"/>
      <c r="M17" s="214"/>
      <c r="N17" s="214"/>
      <c r="O17" s="135"/>
      <c r="P17" s="135"/>
      <c r="Q17" s="135"/>
      <c r="R17" s="135"/>
    </row>
    <row r="18" spans="1:21" ht="31.9" customHeight="1" x14ac:dyDescent="0.25">
      <c r="A18" s="3"/>
      <c r="B18" s="337" t="s">
        <v>220</v>
      </c>
      <c r="C18" s="5" t="s">
        <v>17</v>
      </c>
      <c r="D18" s="296">
        <f>D16*D17/10</f>
        <v>0</v>
      </c>
      <c r="E18" s="296">
        <f t="shared" ref="E18:G18" si="8">E16*E17/10</f>
        <v>4.3550000000000004</v>
      </c>
      <c r="F18" s="296">
        <f t="shared" si="8"/>
        <v>0</v>
      </c>
      <c r="G18" s="296">
        <f t="shared" si="8"/>
        <v>0</v>
      </c>
      <c r="H18" s="292">
        <f t="shared" si="2"/>
        <v>0</v>
      </c>
      <c r="I18" s="296"/>
      <c r="J18" s="214"/>
      <c r="K18" s="214"/>
      <c r="L18" s="214"/>
      <c r="M18" s="214"/>
      <c r="N18" s="214"/>
      <c r="O18" s="135"/>
      <c r="P18" s="135"/>
      <c r="Q18" s="135"/>
      <c r="R18" s="135"/>
    </row>
    <row r="19" spans="1:21" ht="31.9" customHeight="1" x14ac:dyDescent="0.25">
      <c r="A19" s="379" t="s">
        <v>22</v>
      </c>
      <c r="B19" s="380" t="s">
        <v>23</v>
      </c>
      <c r="C19" s="379" t="s">
        <v>6</v>
      </c>
      <c r="D19" s="291">
        <f t="shared" ref="D19:G19" si="9">D22+D25</f>
        <v>0</v>
      </c>
      <c r="E19" s="291">
        <f t="shared" si="9"/>
        <v>6</v>
      </c>
      <c r="F19" s="291">
        <f t="shared" si="9"/>
        <v>0</v>
      </c>
      <c r="G19" s="291">
        <f t="shared" si="9"/>
        <v>0</v>
      </c>
      <c r="H19" s="292">
        <f t="shared" si="2"/>
        <v>0</v>
      </c>
      <c r="I19" s="291"/>
      <c r="J19" s="128"/>
      <c r="K19" s="128"/>
      <c r="L19" s="128"/>
      <c r="M19" s="128"/>
      <c r="N19" s="223"/>
      <c r="O19" s="133"/>
      <c r="P19" s="133"/>
      <c r="Q19" s="133"/>
      <c r="R19" s="133"/>
      <c r="S19" s="133"/>
      <c r="T19" s="133"/>
      <c r="U19" s="133"/>
    </row>
    <row r="20" spans="1:21" ht="31.9" customHeight="1" x14ac:dyDescent="0.25">
      <c r="A20" s="379"/>
      <c r="B20" s="337" t="s">
        <v>218</v>
      </c>
      <c r="C20" s="5" t="s">
        <v>219</v>
      </c>
      <c r="D20" s="296">
        <f>(D23+D26)/2</f>
        <v>26.75</v>
      </c>
      <c r="E20" s="296">
        <f t="shared" ref="E20:G20" si="10">(E23+E26)/2</f>
        <v>19.170000000000002</v>
      </c>
      <c r="F20" s="296">
        <f t="shared" si="10"/>
        <v>0</v>
      </c>
      <c r="G20" s="296">
        <f t="shared" si="10"/>
        <v>0</v>
      </c>
      <c r="H20" s="292">
        <f t="shared" si="2"/>
        <v>0</v>
      </c>
      <c r="I20" s="296"/>
      <c r="J20" s="128"/>
      <c r="K20" s="128"/>
      <c r="L20" s="128"/>
      <c r="M20" s="128"/>
      <c r="N20" s="223"/>
      <c r="O20" s="133"/>
      <c r="P20" s="133"/>
      <c r="Q20" s="133"/>
      <c r="R20" s="133"/>
      <c r="S20" s="133"/>
      <c r="T20" s="133"/>
      <c r="U20" s="133"/>
    </row>
    <row r="21" spans="1:21" ht="31.9" customHeight="1" x14ac:dyDescent="0.25">
      <c r="A21" s="379"/>
      <c r="B21" s="337" t="s">
        <v>220</v>
      </c>
      <c r="C21" s="5" t="s">
        <v>17</v>
      </c>
      <c r="D21" s="296">
        <f>D19*D20/10</f>
        <v>0</v>
      </c>
      <c r="E21" s="296">
        <f t="shared" ref="E21:G21" si="11">E19*E20/10</f>
        <v>11.502000000000001</v>
      </c>
      <c r="F21" s="296">
        <f t="shared" si="11"/>
        <v>0</v>
      </c>
      <c r="G21" s="296">
        <f t="shared" si="11"/>
        <v>0</v>
      </c>
      <c r="H21" s="292">
        <f t="shared" si="2"/>
        <v>0</v>
      </c>
      <c r="I21" s="296"/>
      <c r="J21" s="128"/>
      <c r="K21" s="128"/>
      <c r="L21" s="128"/>
      <c r="M21" s="128"/>
      <c r="N21" s="223"/>
      <c r="O21" s="133"/>
      <c r="P21" s="133"/>
      <c r="Q21" s="133"/>
      <c r="R21" s="133"/>
      <c r="S21" s="133"/>
      <c r="T21" s="133"/>
      <c r="U21" s="133"/>
    </row>
    <row r="22" spans="1:21" ht="31.9" customHeight="1" x14ac:dyDescent="0.25">
      <c r="A22" s="379" t="s">
        <v>24</v>
      </c>
      <c r="B22" s="380" t="s">
        <v>25</v>
      </c>
      <c r="C22" s="379" t="s">
        <v>6</v>
      </c>
      <c r="D22" s="313"/>
      <c r="E22" s="313">
        <v>6</v>
      </c>
      <c r="F22" s="313">
        <v>0</v>
      </c>
      <c r="G22" s="313">
        <v>0</v>
      </c>
      <c r="H22" s="292">
        <f t="shared" si="2"/>
        <v>0</v>
      </c>
      <c r="I22" s="291"/>
      <c r="J22" s="121"/>
      <c r="K22" s="121"/>
      <c r="L22" s="121"/>
      <c r="M22" s="121"/>
      <c r="N22" s="145"/>
      <c r="O22" s="146"/>
      <c r="P22" s="146"/>
      <c r="Q22" s="146"/>
      <c r="R22" s="146"/>
      <c r="S22" s="146"/>
      <c r="T22" s="146"/>
      <c r="U22" s="133"/>
    </row>
    <row r="23" spans="1:21" ht="31.9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/>
      <c r="G23" s="296"/>
      <c r="H23" s="292">
        <f t="shared" si="2"/>
        <v>0</v>
      </c>
      <c r="I23" s="296"/>
      <c r="J23" s="121"/>
      <c r="K23" s="121"/>
      <c r="L23" s="121"/>
      <c r="M23" s="121"/>
      <c r="N23" s="145"/>
      <c r="O23" s="146"/>
      <c r="P23" s="146"/>
      <c r="Q23" s="146"/>
      <c r="R23" s="146"/>
      <c r="S23" s="146"/>
      <c r="T23" s="146"/>
      <c r="U23" s="133"/>
    </row>
    <row r="24" spans="1:21" ht="31.9" customHeight="1" x14ac:dyDescent="0.25">
      <c r="A24" s="379"/>
      <c r="B24" s="337" t="s">
        <v>220</v>
      </c>
      <c r="C24" s="5" t="s">
        <v>17</v>
      </c>
      <c r="D24" s="296">
        <f>D22*D23/10</f>
        <v>0</v>
      </c>
      <c r="E24" s="296">
        <f t="shared" ref="E24:G24" si="12">E22*E23/10</f>
        <v>23.004000000000001</v>
      </c>
      <c r="F24" s="296">
        <f t="shared" si="12"/>
        <v>0</v>
      </c>
      <c r="G24" s="296">
        <f t="shared" si="12"/>
        <v>0</v>
      </c>
      <c r="H24" s="292">
        <f t="shared" si="2"/>
        <v>0</v>
      </c>
      <c r="I24" s="296"/>
      <c r="J24" s="121"/>
      <c r="K24" s="121"/>
      <c r="L24" s="121"/>
      <c r="M24" s="121"/>
      <c r="N24" s="145"/>
      <c r="O24" s="146"/>
      <c r="P24" s="146"/>
      <c r="Q24" s="146"/>
      <c r="R24" s="146"/>
      <c r="S24" s="146"/>
      <c r="T24" s="146"/>
      <c r="U24" s="133"/>
    </row>
    <row r="25" spans="1:21" ht="31.9" customHeight="1" x14ac:dyDescent="0.25">
      <c r="A25" s="379" t="s">
        <v>24</v>
      </c>
      <c r="B25" s="380" t="s">
        <v>26</v>
      </c>
      <c r="C25" s="379" t="s">
        <v>6</v>
      </c>
      <c r="D25" s="291"/>
      <c r="E25" s="296"/>
      <c r="F25" s="296">
        <v>0</v>
      </c>
      <c r="G25" s="296">
        <v>0</v>
      </c>
      <c r="H25" s="292"/>
      <c r="I25" s="296"/>
      <c r="J25" s="121"/>
      <c r="K25" s="121"/>
      <c r="L25" s="121"/>
      <c r="M25" s="121"/>
      <c r="N25" s="121"/>
      <c r="O25" s="122"/>
      <c r="P25" s="122"/>
      <c r="Q25" s="123"/>
      <c r="R25" s="123"/>
      <c r="S25" s="123"/>
      <c r="T25" s="123"/>
    </row>
    <row r="26" spans="1:21" ht="31.9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0</v>
      </c>
      <c r="F26" s="296"/>
      <c r="G26" s="296"/>
      <c r="H26" s="292"/>
      <c r="I26" s="296"/>
      <c r="J26" s="121"/>
      <c r="K26" s="121"/>
      <c r="L26" s="121"/>
      <c r="M26" s="121"/>
      <c r="N26" s="121"/>
      <c r="O26" s="122"/>
      <c r="P26" s="122"/>
      <c r="Q26" s="123"/>
      <c r="R26" s="123"/>
      <c r="S26" s="123"/>
      <c r="T26" s="123"/>
    </row>
    <row r="27" spans="1:21" ht="31.9" customHeight="1" x14ac:dyDescent="0.25">
      <c r="A27" s="379"/>
      <c r="B27" s="337" t="s">
        <v>220</v>
      </c>
      <c r="C27" s="5" t="s">
        <v>17</v>
      </c>
      <c r="D27" s="296">
        <f>D25*D26/10</f>
        <v>0</v>
      </c>
      <c r="E27" s="296">
        <f t="shared" ref="E27:G27" si="13">E25*E26/10</f>
        <v>0</v>
      </c>
      <c r="F27" s="296">
        <f t="shared" si="13"/>
        <v>0</v>
      </c>
      <c r="G27" s="296">
        <f t="shared" si="13"/>
        <v>0</v>
      </c>
      <c r="H27" s="292"/>
      <c r="I27" s="296"/>
      <c r="J27" s="121"/>
      <c r="K27" s="121"/>
      <c r="L27" s="121"/>
      <c r="M27" s="121"/>
      <c r="N27" s="121"/>
      <c r="O27" s="122"/>
      <c r="P27" s="122"/>
      <c r="Q27" s="123"/>
      <c r="R27" s="123"/>
      <c r="S27" s="123"/>
      <c r="T27" s="123"/>
    </row>
    <row r="28" spans="1:21" ht="31.9" customHeight="1" x14ac:dyDescent="0.25">
      <c r="A28" s="3" t="s">
        <v>7</v>
      </c>
      <c r="B28" s="335" t="s">
        <v>27</v>
      </c>
      <c r="C28" s="3" t="s">
        <v>6</v>
      </c>
      <c r="D28" s="291">
        <f t="shared" ref="D28:G28" si="14">D31+D34</f>
        <v>1</v>
      </c>
      <c r="E28" s="291">
        <f t="shared" si="14"/>
        <v>1</v>
      </c>
      <c r="F28" s="291">
        <f t="shared" si="14"/>
        <v>0</v>
      </c>
      <c r="G28" s="291">
        <f t="shared" si="14"/>
        <v>0</v>
      </c>
      <c r="H28" s="292">
        <f t="shared" si="2"/>
        <v>0</v>
      </c>
      <c r="I28" s="291"/>
      <c r="J28" s="121"/>
      <c r="K28" s="121"/>
      <c r="L28" s="121"/>
      <c r="M28" s="121"/>
      <c r="N28" s="121"/>
      <c r="O28" s="122"/>
      <c r="P28" s="122"/>
      <c r="Q28" s="123"/>
      <c r="R28" s="123"/>
      <c r="S28" s="123"/>
      <c r="T28" s="123"/>
    </row>
    <row r="29" spans="1:21" ht="31.9" customHeight="1" x14ac:dyDescent="0.25">
      <c r="A29" s="3"/>
      <c r="B29" s="337" t="s">
        <v>218</v>
      </c>
      <c r="C29" s="5" t="s">
        <v>219</v>
      </c>
      <c r="D29" s="296">
        <f>D35</f>
        <v>36.85</v>
      </c>
      <c r="E29" s="296">
        <f t="shared" ref="E29:G29" si="15">E35</f>
        <v>36.9</v>
      </c>
      <c r="F29" s="296">
        <f t="shared" si="15"/>
        <v>0</v>
      </c>
      <c r="G29" s="296">
        <f t="shared" si="15"/>
        <v>0</v>
      </c>
      <c r="H29" s="292">
        <f t="shared" si="2"/>
        <v>0</v>
      </c>
      <c r="I29" s="296"/>
      <c r="J29" s="121"/>
      <c r="K29" s="121"/>
      <c r="L29" s="121"/>
      <c r="M29" s="121"/>
      <c r="N29" s="121"/>
      <c r="O29" s="122"/>
      <c r="P29" s="122"/>
      <c r="Q29" s="123"/>
      <c r="R29" s="123"/>
      <c r="S29" s="123"/>
      <c r="T29" s="123"/>
    </row>
    <row r="30" spans="1:21" ht="31.9" customHeight="1" x14ac:dyDescent="0.25">
      <c r="A30" s="3"/>
      <c r="B30" s="337" t="s">
        <v>220</v>
      </c>
      <c r="C30" s="5" t="s">
        <v>17</v>
      </c>
      <c r="D30" s="296">
        <f>D28*D29/10</f>
        <v>3.6850000000000001</v>
      </c>
      <c r="E30" s="296">
        <f t="shared" ref="E30:G30" si="16">E28*E29/10</f>
        <v>3.69</v>
      </c>
      <c r="F30" s="296">
        <f t="shared" si="16"/>
        <v>0</v>
      </c>
      <c r="G30" s="296">
        <f t="shared" si="16"/>
        <v>0</v>
      </c>
      <c r="H30" s="292">
        <f t="shared" si="2"/>
        <v>0</v>
      </c>
      <c r="I30" s="296"/>
      <c r="J30" s="121"/>
      <c r="K30" s="121"/>
      <c r="L30" s="121"/>
      <c r="M30" s="121"/>
      <c r="N30" s="121"/>
      <c r="O30" s="122"/>
      <c r="P30" s="122"/>
      <c r="Q30" s="123"/>
      <c r="R30" s="123"/>
      <c r="S30" s="123"/>
      <c r="T30" s="123"/>
    </row>
    <row r="31" spans="1:21" ht="31.9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/>
      <c r="G31" s="291"/>
      <c r="H31" s="292"/>
      <c r="I31" s="291"/>
      <c r="J31" s="121"/>
      <c r="K31" s="114"/>
      <c r="L31" s="169"/>
      <c r="M31" s="169"/>
      <c r="N31" s="169"/>
      <c r="O31" s="169"/>
      <c r="P31" s="122"/>
      <c r="Q31" s="123"/>
      <c r="R31" s="123"/>
      <c r="S31" s="123"/>
      <c r="T31" s="123"/>
    </row>
    <row r="32" spans="1:21" ht="31.9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1"/>
      <c r="H32" s="292"/>
      <c r="I32" s="291"/>
      <c r="J32" s="121"/>
      <c r="K32" s="114"/>
      <c r="L32" s="169"/>
      <c r="M32" s="169"/>
      <c r="N32" s="169"/>
      <c r="O32" s="169"/>
      <c r="P32" s="122"/>
      <c r="Q32" s="123"/>
      <c r="R32" s="123"/>
      <c r="S32" s="123"/>
      <c r="T32" s="123"/>
    </row>
    <row r="33" spans="1:20" ht="31.9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1"/>
      <c r="H33" s="292"/>
      <c r="I33" s="291"/>
      <c r="J33" s="121"/>
      <c r="K33" s="114"/>
      <c r="L33" s="169"/>
      <c r="M33" s="169"/>
      <c r="N33" s="169"/>
      <c r="O33" s="169"/>
      <c r="P33" s="122"/>
      <c r="Q33" s="123"/>
      <c r="R33" s="123"/>
      <c r="S33" s="123"/>
      <c r="T33" s="123"/>
    </row>
    <row r="34" spans="1:20" ht="31.9" customHeight="1" x14ac:dyDescent="0.25">
      <c r="A34" s="379" t="s">
        <v>22</v>
      </c>
      <c r="B34" s="380" t="s">
        <v>29</v>
      </c>
      <c r="C34" s="379" t="s">
        <v>6</v>
      </c>
      <c r="D34" s="313">
        <v>1</v>
      </c>
      <c r="E34" s="313">
        <v>1</v>
      </c>
      <c r="F34" s="313">
        <v>0</v>
      </c>
      <c r="G34" s="313">
        <v>0</v>
      </c>
      <c r="H34" s="292">
        <f t="shared" si="2"/>
        <v>0</v>
      </c>
      <c r="I34" s="291"/>
      <c r="J34" s="121"/>
      <c r="K34" s="137"/>
      <c r="L34" s="137"/>
      <c r="M34" s="137"/>
      <c r="N34" s="137"/>
      <c r="O34" s="137"/>
      <c r="P34" s="122"/>
      <c r="Q34" s="123"/>
      <c r="R34" s="123"/>
      <c r="S34" s="123"/>
      <c r="T34" s="123"/>
    </row>
    <row r="35" spans="1:20" ht="31.9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/>
      <c r="G35" s="296"/>
      <c r="H35" s="292">
        <f t="shared" si="2"/>
        <v>0</v>
      </c>
      <c r="I35" s="296"/>
      <c r="J35" s="121"/>
      <c r="K35" s="137"/>
      <c r="L35" s="137"/>
      <c r="M35" s="137"/>
      <c r="N35" s="137"/>
      <c r="O35" s="137"/>
      <c r="P35" s="122"/>
      <c r="Q35" s="123"/>
      <c r="R35" s="123"/>
      <c r="S35" s="123"/>
      <c r="T35" s="123"/>
    </row>
    <row r="36" spans="1:20" ht="31.9" customHeight="1" x14ac:dyDescent="0.25">
      <c r="A36" s="379"/>
      <c r="B36" s="337" t="s">
        <v>220</v>
      </c>
      <c r="C36" s="5" t="s">
        <v>17</v>
      </c>
      <c r="D36" s="296">
        <f>D34*D35/10</f>
        <v>3.6850000000000001</v>
      </c>
      <c r="E36" s="296">
        <f t="shared" ref="E36:G36" si="17">E34*E35/10</f>
        <v>3.69</v>
      </c>
      <c r="F36" s="296">
        <f t="shared" si="17"/>
        <v>0</v>
      </c>
      <c r="G36" s="296">
        <f t="shared" si="17"/>
        <v>0</v>
      </c>
      <c r="H36" s="292">
        <f t="shared" si="2"/>
        <v>0</v>
      </c>
      <c r="I36" s="296"/>
      <c r="J36" s="121"/>
      <c r="K36" s="137"/>
      <c r="L36" s="137"/>
      <c r="M36" s="137"/>
      <c r="N36" s="137"/>
      <c r="O36" s="137"/>
      <c r="P36" s="122"/>
      <c r="Q36" s="123"/>
      <c r="R36" s="123"/>
      <c r="S36" s="123"/>
      <c r="T36" s="123"/>
    </row>
    <row r="37" spans="1:20" ht="31.9" customHeight="1" x14ac:dyDescent="0.25">
      <c r="A37" s="3">
        <v>2</v>
      </c>
      <c r="B37" s="335" t="s">
        <v>30</v>
      </c>
      <c r="C37" s="3" t="s">
        <v>6</v>
      </c>
      <c r="D37" s="291">
        <v>39</v>
      </c>
      <c r="E37" s="291">
        <v>33.83</v>
      </c>
      <c r="F37" s="291">
        <v>0</v>
      </c>
      <c r="G37" s="291">
        <v>0</v>
      </c>
      <c r="H37" s="292">
        <f t="shared" si="2"/>
        <v>0</v>
      </c>
      <c r="I37" s="291"/>
      <c r="J37" s="121"/>
      <c r="K37" s="116"/>
      <c r="L37" s="116"/>
      <c r="M37" s="116"/>
      <c r="N37" s="116"/>
      <c r="O37" s="116"/>
      <c r="P37" s="121"/>
      <c r="Q37" s="121"/>
      <c r="R37" s="121"/>
      <c r="S37" s="121"/>
      <c r="T37" s="121"/>
    </row>
    <row r="38" spans="1:20" ht="31.9" customHeight="1" x14ac:dyDescent="0.25">
      <c r="A38" s="3"/>
      <c r="B38" s="337" t="s">
        <v>218</v>
      </c>
      <c r="C38" s="5" t="s">
        <v>219</v>
      </c>
      <c r="D38" s="296">
        <v>137.5</v>
      </c>
      <c r="E38" s="296">
        <v>140</v>
      </c>
      <c r="F38" s="296"/>
      <c r="G38" s="296"/>
      <c r="H38" s="292">
        <f t="shared" si="2"/>
        <v>0</v>
      </c>
      <c r="I38" s="296"/>
      <c r="J38" s="121"/>
      <c r="K38" s="116"/>
      <c r="L38" s="116"/>
      <c r="M38" s="116"/>
      <c r="N38" s="116"/>
      <c r="O38" s="116"/>
      <c r="P38" s="121"/>
      <c r="Q38" s="121"/>
      <c r="R38" s="121"/>
      <c r="S38" s="121"/>
      <c r="T38" s="121"/>
    </row>
    <row r="39" spans="1:20" ht="31.9" customHeight="1" x14ac:dyDescent="0.25">
      <c r="A39" s="3"/>
      <c r="B39" s="337" t="s">
        <v>220</v>
      </c>
      <c r="C39" s="5" t="s">
        <v>17</v>
      </c>
      <c r="D39" s="296">
        <f>D37*D38/10</f>
        <v>536.25</v>
      </c>
      <c r="E39" s="296">
        <f t="shared" ref="E39:G39" si="18">E37*E38/10</f>
        <v>473.62</v>
      </c>
      <c r="F39" s="296">
        <f t="shared" si="18"/>
        <v>0</v>
      </c>
      <c r="G39" s="296">
        <f t="shared" si="18"/>
        <v>0</v>
      </c>
      <c r="H39" s="292">
        <f t="shared" si="2"/>
        <v>0</v>
      </c>
      <c r="I39" s="296"/>
      <c r="J39" s="121"/>
      <c r="K39" s="116"/>
      <c r="L39" s="116"/>
      <c r="M39" s="116"/>
      <c r="N39" s="116"/>
      <c r="O39" s="116"/>
      <c r="P39" s="121"/>
      <c r="Q39" s="121"/>
      <c r="R39" s="121"/>
      <c r="S39" s="121"/>
      <c r="T39" s="121"/>
    </row>
    <row r="40" spans="1:20" ht="31.9" customHeight="1" x14ac:dyDescent="0.25">
      <c r="A40" s="3">
        <v>3</v>
      </c>
      <c r="B40" s="333" t="s">
        <v>241</v>
      </c>
      <c r="C40" s="332" t="s">
        <v>6</v>
      </c>
      <c r="D40" s="294">
        <v>0.5</v>
      </c>
      <c r="E40" s="294">
        <v>0.5</v>
      </c>
      <c r="F40" s="291">
        <v>0</v>
      </c>
      <c r="G40" s="291">
        <v>0</v>
      </c>
      <c r="H40" s="292">
        <f t="shared" si="2"/>
        <v>0</v>
      </c>
      <c r="I40" s="296"/>
      <c r="J40" s="121"/>
      <c r="K40" s="116"/>
      <c r="L40" s="116"/>
      <c r="M40" s="116"/>
      <c r="N40" s="116"/>
      <c r="O40" s="116"/>
      <c r="P40" s="121"/>
      <c r="Q40" s="121"/>
      <c r="R40" s="121"/>
      <c r="S40" s="121"/>
      <c r="T40" s="121"/>
    </row>
    <row r="41" spans="1:20" ht="31.9" customHeight="1" x14ac:dyDescent="0.25">
      <c r="A41" s="3"/>
      <c r="B41" s="336" t="s">
        <v>218</v>
      </c>
      <c r="C41" s="343" t="s">
        <v>219</v>
      </c>
      <c r="D41" s="298">
        <v>25</v>
      </c>
      <c r="E41" s="298">
        <v>24.1</v>
      </c>
      <c r="F41" s="296"/>
      <c r="G41" s="296"/>
      <c r="H41" s="292">
        <f t="shared" si="2"/>
        <v>0</v>
      </c>
      <c r="I41" s="296"/>
      <c r="J41" s="121"/>
      <c r="K41" s="116"/>
      <c r="L41" s="116"/>
      <c r="M41" s="116"/>
      <c r="N41" s="116"/>
      <c r="O41" s="116"/>
      <c r="P41" s="121"/>
      <c r="Q41" s="121"/>
      <c r="R41" s="121"/>
      <c r="S41" s="121"/>
      <c r="T41" s="121"/>
    </row>
    <row r="42" spans="1:20" ht="31.9" customHeight="1" x14ac:dyDescent="0.25">
      <c r="A42" s="3"/>
      <c r="B42" s="336" t="s">
        <v>220</v>
      </c>
      <c r="C42" s="343" t="s">
        <v>17</v>
      </c>
      <c r="D42" s="298">
        <f>D40*D41/10</f>
        <v>1.25</v>
      </c>
      <c r="E42" s="298">
        <f>E40*E41/10</f>
        <v>1.2050000000000001</v>
      </c>
      <c r="F42" s="298">
        <f t="shared" ref="F42:G42" si="19">F40*F41/10</f>
        <v>0</v>
      </c>
      <c r="G42" s="298">
        <f t="shared" si="19"/>
        <v>0</v>
      </c>
      <c r="H42" s="292">
        <f t="shared" si="2"/>
        <v>0</v>
      </c>
      <c r="I42" s="296"/>
      <c r="J42" s="121"/>
      <c r="K42" s="116"/>
      <c r="L42" s="116"/>
      <c r="M42" s="116"/>
      <c r="N42" s="116"/>
      <c r="O42" s="116"/>
      <c r="P42" s="121"/>
      <c r="Q42" s="121"/>
      <c r="R42" s="121"/>
      <c r="S42" s="121"/>
      <c r="T42" s="121"/>
    </row>
    <row r="43" spans="1:20" ht="31.9" customHeight="1" x14ac:dyDescent="0.25">
      <c r="A43" s="3">
        <v>4</v>
      </c>
      <c r="B43" s="335" t="s">
        <v>242</v>
      </c>
      <c r="C43" s="3" t="s">
        <v>6</v>
      </c>
      <c r="D43" s="291">
        <v>0.5</v>
      </c>
      <c r="E43" s="291">
        <v>0.5</v>
      </c>
      <c r="F43" s="291">
        <v>0.27</v>
      </c>
      <c r="G43" s="291">
        <f>F43</f>
        <v>0.27</v>
      </c>
      <c r="H43" s="292">
        <f t="shared" si="2"/>
        <v>54</v>
      </c>
      <c r="I43" s="291"/>
      <c r="J43" s="127"/>
      <c r="K43" s="134"/>
      <c r="L43" s="215"/>
      <c r="M43" s="215"/>
      <c r="N43" s="215"/>
      <c r="O43" s="215"/>
    </row>
    <row r="44" spans="1:20" ht="31.9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2">
        <f t="shared" si="2"/>
        <v>0</v>
      </c>
      <c r="I44" s="296"/>
      <c r="J44" s="127"/>
      <c r="K44" s="224"/>
      <c r="L44" s="127"/>
      <c r="M44" s="127"/>
      <c r="N44" s="127"/>
    </row>
    <row r="45" spans="1:20" ht="31.9" customHeight="1" x14ac:dyDescent="0.25">
      <c r="A45" s="5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20">F43*F44/10</f>
        <v>0</v>
      </c>
      <c r="G45" s="296">
        <f t="shared" si="20"/>
        <v>0</v>
      </c>
      <c r="H45" s="292">
        <f t="shared" si="2"/>
        <v>0</v>
      </c>
      <c r="I45" s="296"/>
      <c r="J45" s="127"/>
      <c r="K45" s="127"/>
      <c r="L45" s="127"/>
      <c r="M45" s="127"/>
      <c r="N45" s="127"/>
    </row>
    <row r="46" spans="1:20" ht="31.9" customHeight="1" x14ac:dyDescent="0.25">
      <c r="A46" s="3">
        <v>5</v>
      </c>
      <c r="B46" s="335" t="s">
        <v>32</v>
      </c>
      <c r="C46" s="3" t="s">
        <v>6</v>
      </c>
      <c r="D46" s="291">
        <f>D47+D55+D64</f>
        <v>39.11</v>
      </c>
      <c r="E46" s="291">
        <f t="shared" ref="E46:G46" si="21">E47+E55+E64</f>
        <v>51.11</v>
      </c>
      <c r="F46" s="291">
        <f t="shared" si="21"/>
        <v>39.909999999999997</v>
      </c>
      <c r="G46" s="291">
        <f t="shared" si="21"/>
        <v>39.909999999999997</v>
      </c>
      <c r="H46" s="292">
        <f t="shared" si="2"/>
        <v>78.086480140872624</v>
      </c>
      <c r="I46" s="291"/>
      <c r="J46" s="127"/>
      <c r="K46" s="127"/>
      <c r="L46" s="127"/>
      <c r="M46" s="127"/>
      <c r="N46" s="127"/>
    </row>
    <row r="47" spans="1:20" ht="31.9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21.86</v>
      </c>
      <c r="E47" s="291">
        <f t="shared" ref="E47:G47" si="22">E48+E49</f>
        <v>31.86</v>
      </c>
      <c r="F47" s="291">
        <f t="shared" si="22"/>
        <v>21.86</v>
      </c>
      <c r="G47" s="291">
        <f t="shared" si="22"/>
        <v>21.86</v>
      </c>
      <c r="H47" s="292">
        <f t="shared" si="2"/>
        <v>68.612680477087252</v>
      </c>
      <c r="I47" s="291"/>
      <c r="J47" s="127"/>
      <c r="K47" s="127"/>
      <c r="L47" s="127"/>
      <c r="M47" s="127"/>
      <c r="N47" s="127"/>
    </row>
    <row r="48" spans="1:20" ht="31.9" customHeight="1" x14ac:dyDescent="0.25">
      <c r="A48" s="7" t="s">
        <v>24</v>
      </c>
      <c r="B48" s="383" t="s">
        <v>196</v>
      </c>
      <c r="C48" s="384" t="s">
        <v>6</v>
      </c>
      <c r="D48" s="296">
        <v>21</v>
      </c>
      <c r="E48" s="296">
        <f>D48+D49</f>
        <v>21.86</v>
      </c>
      <c r="F48" s="296">
        <v>21.86</v>
      </c>
      <c r="G48" s="296">
        <v>21.86</v>
      </c>
      <c r="H48" s="328">
        <f t="shared" si="2"/>
        <v>100</v>
      </c>
      <c r="I48" s="296"/>
      <c r="J48" s="121"/>
      <c r="K48" s="121"/>
      <c r="L48" s="121"/>
      <c r="M48" s="121"/>
      <c r="N48" s="121"/>
      <c r="O48" s="122"/>
      <c r="P48" s="122"/>
    </row>
    <row r="49" spans="1:19" s="131" customFormat="1" ht="31.9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0.86</v>
      </c>
      <c r="E49" s="291">
        <f t="shared" ref="E49:G49" si="23">E50+E51</f>
        <v>10</v>
      </c>
      <c r="F49" s="291">
        <f t="shared" si="23"/>
        <v>0</v>
      </c>
      <c r="G49" s="291">
        <f t="shared" si="23"/>
        <v>0</v>
      </c>
      <c r="H49" s="292">
        <f t="shared" si="2"/>
        <v>0</v>
      </c>
      <c r="I49" s="291"/>
      <c r="J49" s="213"/>
      <c r="K49" s="213"/>
      <c r="L49" s="213"/>
      <c r="M49" s="213"/>
      <c r="N49" s="213"/>
    </row>
    <row r="50" spans="1:19" ht="31.9" customHeight="1" x14ac:dyDescent="0.25">
      <c r="A50" s="384" t="s">
        <v>18</v>
      </c>
      <c r="B50" s="386" t="s">
        <v>194</v>
      </c>
      <c r="C50" s="384" t="s">
        <v>6</v>
      </c>
      <c r="D50" s="296"/>
      <c r="E50" s="296">
        <v>8</v>
      </c>
      <c r="F50" s="296">
        <v>0</v>
      </c>
      <c r="G50" s="296">
        <v>0</v>
      </c>
      <c r="H50" s="292">
        <f t="shared" si="2"/>
        <v>0</v>
      </c>
      <c r="I50" s="296"/>
      <c r="J50" s="127"/>
      <c r="K50" s="127"/>
      <c r="L50" s="127"/>
      <c r="M50" s="127"/>
      <c r="N50" s="127"/>
    </row>
    <row r="51" spans="1:19" ht="31.9" customHeight="1" x14ac:dyDescent="0.25">
      <c r="A51" s="384" t="s">
        <v>18</v>
      </c>
      <c r="B51" s="386" t="s">
        <v>35</v>
      </c>
      <c r="C51" s="5" t="s">
        <v>6</v>
      </c>
      <c r="D51" s="296">
        <v>0.86</v>
      </c>
      <c r="E51" s="296">
        <v>2</v>
      </c>
      <c r="F51" s="296">
        <v>0</v>
      </c>
      <c r="G51" s="296">
        <v>0</v>
      </c>
      <c r="H51" s="292">
        <f t="shared" si="2"/>
        <v>0</v>
      </c>
      <c r="I51" s="296"/>
      <c r="J51" s="127"/>
      <c r="K51" s="226"/>
      <c r="L51" s="127"/>
      <c r="M51" s="127"/>
      <c r="N51" s="127"/>
    </row>
    <row r="52" spans="1:19" s="131" customFormat="1" ht="31.9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11.15</v>
      </c>
      <c r="E52" s="291">
        <f t="shared" ref="E52:G52" si="24">E53+E54</f>
        <v>17.849999999999998</v>
      </c>
      <c r="F52" s="291">
        <f t="shared" si="24"/>
        <v>17.850000000000001</v>
      </c>
      <c r="G52" s="291">
        <f t="shared" si="24"/>
        <v>17.850000000000001</v>
      </c>
      <c r="H52" s="292">
        <f t="shared" si="2"/>
        <v>100.00000000000003</v>
      </c>
      <c r="I52" s="291"/>
      <c r="J52" s="213"/>
      <c r="K52" s="213"/>
      <c r="L52" s="213"/>
      <c r="M52" s="213"/>
      <c r="N52" s="213"/>
    </row>
    <row r="53" spans="1:19" ht="31.9" customHeight="1" x14ac:dyDescent="0.25">
      <c r="A53" s="387" t="s">
        <v>18</v>
      </c>
      <c r="B53" s="386" t="s">
        <v>198</v>
      </c>
      <c r="C53" s="5" t="s">
        <v>6</v>
      </c>
      <c r="D53" s="296">
        <f>13.65-6</f>
        <v>7.65</v>
      </c>
      <c r="E53" s="296">
        <f>D48*85%</f>
        <v>17.849999999999998</v>
      </c>
      <c r="F53" s="296">
        <v>17.850000000000001</v>
      </c>
      <c r="G53" s="296">
        <v>17.850000000000001</v>
      </c>
      <c r="H53" s="328">
        <f t="shared" si="2"/>
        <v>100.00000000000003</v>
      </c>
      <c r="I53" s="296"/>
      <c r="J53" s="127"/>
      <c r="K53" s="127"/>
      <c r="L53" s="224"/>
      <c r="M53" s="127"/>
      <c r="N53" s="127"/>
    </row>
    <row r="54" spans="1:19" ht="31.9" customHeight="1" x14ac:dyDescent="0.25">
      <c r="A54" s="5"/>
      <c r="B54" s="386" t="s">
        <v>199</v>
      </c>
      <c r="C54" s="5" t="s">
        <v>6</v>
      </c>
      <c r="D54" s="296">
        <v>3.5</v>
      </c>
      <c r="E54" s="296"/>
      <c r="F54" s="296"/>
      <c r="G54" s="296"/>
      <c r="H54" s="292"/>
      <c r="I54" s="296"/>
      <c r="J54" s="127"/>
      <c r="K54" s="127"/>
      <c r="L54" s="127"/>
      <c r="M54" s="127"/>
      <c r="N54" s="127"/>
    </row>
    <row r="55" spans="1:19" ht="31.9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11.5</v>
      </c>
      <c r="E55" s="291">
        <f t="shared" ref="E55:G55" si="25">E56+E57</f>
        <v>13.5</v>
      </c>
      <c r="F55" s="291">
        <f t="shared" si="25"/>
        <v>12.3</v>
      </c>
      <c r="G55" s="291">
        <f t="shared" si="25"/>
        <v>12.3</v>
      </c>
      <c r="H55" s="292">
        <f t="shared" si="2"/>
        <v>91.111111111111114</v>
      </c>
      <c r="I55" s="291"/>
      <c r="J55" s="127"/>
      <c r="K55" s="127"/>
      <c r="L55" s="127"/>
      <c r="M55" s="127"/>
      <c r="N55" s="127"/>
    </row>
    <row r="56" spans="1:19" ht="31.9" customHeight="1" x14ac:dyDescent="0.25">
      <c r="A56" s="5" t="s">
        <v>24</v>
      </c>
      <c r="B56" s="383" t="s">
        <v>197</v>
      </c>
      <c r="C56" s="5" t="s">
        <v>6</v>
      </c>
      <c r="D56" s="296">
        <v>11.5</v>
      </c>
      <c r="E56" s="296">
        <f>D56+E58</f>
        <v>12.3</v>
      </c>
      <c r="F56" s="296">
        <v>12.3</v>
      </c>
      <c r="G56" s="296">
        <v>12.3</v>
      </c>
      <c r="H56" s="328">
        <f t="shared" si="2"/>
        <v>100</v>
      </c>
      <c r="I56" s="296"/>
      <c r="J56" s="127"/>
      <c r="K56" s="127"/>
      <c r="L56" s="127"/>
      <c r="M56" s="127"/>
      <c r="N56" s="127"/>
    </row>
    <row r="57" spans="1:19" ht="31.9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0</v>
      </c>
      <c r="E57" s="296">
        <f t="shared" ref="E57:G57" si="26">E58+E61</f>
        <v>1.2000000000000002</v>
      </c>
      <c r="F57" s="296">
        <f t="shared" si="26"/>
        <v>0</v>
      </c>
      <c r="G57" s="296">
        <f t="shared" si="26"/>
        <v>0</v>
      </c>
      <c r="H57" s="292">
        <f t="shared" si="2"/>
        <v>0</v>
      </c>
      <c r="I57" s="296"/>
      <c r="J57" s="127"/>
      <c r="K57" s="127"/>
      <c r="L57" s="127"/>
      <c r="M57" s="127"/>
      <c r="N57" s="127"/>
    </row>
    <row r="58" spans="1:19" s="149" customFormat="1" ht="31.9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</v>
      </c>
      <c r="E58" s="299">
        <f>E59+E60</f>
        <v>0.8</v>
      </c>
      <c r="F58" s="299">
        <f t="shared" ref="F58:G58" si="27">F59+F60</f>
        <v>0</v>
      </c>
      <c r="G58" s="299">
        <f t="shared" si="27"/>
        <v>0</v>
      </c>
      <c r="H58" s="292">
        <f t="shared" si="2"/>
        <v>0</v>
      </c>
      <c r="I58" s="299"/>
      <c r="J58" s="217"/>
      <c r="K58" s="142"/>
      <c r="L58" s="142"/>
      <c r="M58" s="142"/>
      <c r="N58" s="142"/>
      <c r="O58" s="142"/>
      <c r="P58" s="159"/>
      <c r="Q58" s="159"/>
      <c r="R58" s="159"/>
      <c r="S58" s="159"/>
    </row>
    <row r="59" spans="1:19" ht="31.9" customHeight="1" x14ac:dyDescent="0.25">
      <c r="A59" s="5" t="s">
        <v>18</v>
      </c>
      <c r="B59" s="383" t="s">
        <v>202</v>
      </c>
      <c r="C59" s="5" t="s">
        <v>6</v>
      </c>
      <c r="D59" s="296"/>
      <c r="E59" s="296">
        <v>0.3</v>
      </c>
      <c r="F59" s="296">
        <v>0</v>
      </c>
      <c r="G59" s="296">
        <v>0</v>
      </c>
      <c r="H59" s="292">
        <f t="shared" si="2"/>
        <v>0</v>
      </c>
      <c r="I59" s="296"/>
      <c r="J59" s="214"/>
      <c r="K59" s="114"/>
      <c r="L59" s="114"/>
      <c r="M59" s="114"/>
      <c r="N59" s="114"/>
      <c r="O59" s="114"/>
      <c r="P59" s="147"/>
      <c r="Q59" s="147"/>
      <c r="R59" s="147"/>
      <c r="S59" s="147"/>
    </row>
    <row r="60" spans="1:19" ht="31.9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0.5</v>
      </c>
      <c r="F60" s="296">
        <v>0</v>
      </c>
      <c r="G60" s="296">
        <v>0</v>
      </c>
      <c r="H60" s="292">
        <f t="shared" si="2"/>
        <v>0</v>
      </c>
      <c r="I60" s="296"/>
      <c r="J60" s="214"/>
      <c r="K60" s="114"/>
      <c r="L60" s="114"/>
      <c r="M60" s="114"/>
      <c r="N60" s="114"/>
      <c r="O60" s="114"/>
      <c r="P60" s="147"/>
      <c r="Q60" s="147"/>
      <c r="R60" s="147"/>
      <c r="S60" s="147"/>
    </row>
    <row r="61" spans="1:19" s="149" customFormat="1" ht="31.9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0</v>
      </c>
      <c r="E61" s="299">
        <f t="shared" ref="E61:G61" si="28">E62+E63</f>
        <v>0.4</v>
      </c>
      <c r="F61" s="299">
        <f t="shared" si="28"/>
        <v>0</v>
      </c>
      <c r="G61" s="299">
        <f t="shared" si="28"/>
        <v>0</v>
      </c>
      <c r="H61" s="292">
        <f t="shared" si="2"/>
        <v>0</v>
      </c>
      <c r="I61" s="299"/>
      <c r="J61" s="214"/>
      <c r="K61" s="142"/>
      <c r="L61" s="142"/>
      <c r="M61" s="142"/>
      <c r="N61" s="142"/>
      <c r="O61" s="159"/>
      <c r="P61" s="159"/>
      <c r="Q61" s="159"/>
      <c r="R61" s="159"/>
      <c r="S61" s="159"/>
    </row>
    <row r="62" spans="1:19" ht="31.9" customHeight="1" x14ac:dyDescent="0.25">
      <c r="A62" s="5" t="s">
        <v>18</v>
      </c>
      <c r="B62" s="383" t="s">
        <v>203</v>
      </c>
      <c r="C62" s="5" t="s">
        <v>6</v>
      </c>
      <c r="D62" s="296"/>
      <c r="E62" s="296">
        <v>0.3</v>
      </c>
      <c r="F62" s="296">
        <v>0</v>
      </c>
      <c r="G62" s="296">
        <v>0</v>
      </c>
      <c r="H62" s="292">
        <f t="shared" si="2"/>
        <v>0</v>
      </c>
      <c r="I62" s="296"/>
      <c r="J62" s="214"/>
      <c r="K62" s="114"/>
      <c r="L62" s="114"/>
      <c r="M62" s="114"/>
      <c r="N62" s="114"/>
      <c r="O62" s="114"/>
      <c r="P62" s="147"/>
      <c r="Q62" s="147"/>
      <c r="R62" s="147"/>
      <c r="S62" s="147"/>
    </row>
    <row r="63" spans="1:19" ht="31.9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0.1</v>
      </c>
      <c r="F63" s="296">
        <v>0</v>
      </c>
      <c r="G63" s="296">
        <v>0</v>
      </c>
      <c r="H63" s="292">
        <f t="shared" si="2"/>
        <v>0</v>
      </c>
      <c r="I63" s="296"/>
      <c r="J63" s="214"/>
      <c r="K63" s="114"/>
      <c r="L63" s="114"/>
      <c r="M63" s="114"/>
      <c r="N63" s="114"/>
      <c r="O63" s="114"/>
      <c r="P63" s="147"/>
      <c r="Q63" s="147"/>
      <c r="R63" s="147"/>
      <c r="S63" s="147"/>
    </row>
    <row r="64" spans="1:19" ht="31.9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5.75</v>
      </c>
      <c r="E64" s="291">
        <f t="shared" ref="E64:G64" si="29">E65+E66</f>
        <v>5.75</v>
      </c>
      <c r="F64" s="291">
        <f t="shared" si="29"/>
        <v>5.75</v>
      </c>
      <c r="G64" s="291">
        <f t="shared" si="29"/>
        <v>5.75</v>
      </c>
      <c r="H64" s="292">
        <f t="shared" si="2"/>
        <v>100</v>
      </c>
      <c r="I64" s="291"/>
      <c r="J64" s="127"/>
      <c r="K64" s="155"/>
      <c r="L64" s="155"/>
      <c r="M64" s="155"/>
      <c r="N64" s="155"/>
      <c r="O64" s="138"/>
      <c r="P64" s="138"/>
      <c r="Q64" s="138"/>
      <c r="R64" s="138"/>
      <c r="S64" s="138"/>
    </row>
    <row r="65" spans="1:19" ht="31.9" customHeight="1" x14ac:dyDescent="0.25">
      <c r="A65" s="5" t="s">
        <v>18</v>
      </c>
      <c r="B65" s="383" t="s">
        <v>196</v>
      </c>
      <c r="C65" s="5" t="s">
        <v>6</v>
      </c>
      <c r="D65" s="296">
        <v>5.75</v>
      </c>
      <c r="E65" s="296">
        <v>5.75</v>
      </c>
      <c r="F65" s="296">
        <v>5.75</v>
      </c>
      <c r="G65" s="296">
        <v>5.75</v>
      </c>
      <c r="H65" s="328">
        <f t="shared" si="2"/>
        <v>100</v>
      </c>
      <c r="I65" s="296"/>
      <c r="J65" s="127"/>
      <c r="K65" s="155"/>
      <c r="L65" s="155"/>
      <c r="M65" s="155"/>
      <c r="N65" s="155"/>
      <c r="O65" s="138"/>
      <c r="P65" s="138"/>
      <c r="Q65" s="138"/>
      <c r="R65" s="138"/>
      <c r="S65" s="138"/>
    </row>
    <row r="66" spans="1:19" ht="31.9" customHeight="1" x14ac:dyDescent="0.25">
      <c r="A66" s="5" t="s">
        <v>18</v>
      </c>
      <c r="B66" s="337" t="s">
        <v>31</v>
      </c>
      <c r="C66" s="5" t="s">
        <v>6</v>
      </c>
      <c r="D66" s="296"/>
      <c r="E66" s="296"/>
      <c r="F66" s="296"/>
      <c r="G66" s="296"/>
      <c r="H66" s="292"/>
      <c r="I66" s="296"/>
      <c r="J66" s="127"/>
      <c r="K66" s="155"/>
      <c r="L66" s="155"/>
      <c r="M66" s="155"/>
      <c r="N66" s="155"/>
      <c r="O66" s="138"/>
      <c r="P66" s="138"/>
      <c r="Q66" s="138"/>
      <c r="R66" s="138"/>
      <c r="S66" s="138"/>
    </row>
    <row r="67" spans="1:19" ht="31.9" customHeight="1" x14ac:dyDescent="0.25">
      <c r="A67" s="3">
        <v>6</v>
      </c>
      <c r="B67" s="335" t="s">
        <v>38</v>
      </c>
      <c r="C67" s="3" t="s">
        <v>6</v>
      </c>
      <c r="D67" s="291">
        <f>D68+D71</f>
        <v>46.83</v>
      </c>
      <c r="E67" s="291">
        <f t="shared" ref="E67:G67" si="30">E68+E71</f>
        <v>47.059999999999995</v>
      </c>
      <c r="F67" s="291">
        <f t="shared" si="30"/>
        <v>46.489999999999995</v>
      </c>
      <c r="G67" s="291">
        <f t="shared" si="30"/>
        <v>46.489999999999995</v>
      </c>
      <c r="H67" s="292">
        <f t="shared" si="2"/>
        <v>98.788780280492986</v>
      </c>
      <c r="I67" s="291"/>
      <c r="J67" s="127"/>
      <c r="K67" s="155"/>
      <c r="L67" s="155"/>
      <c r="M67" s="155"/>
      <c r="N67" s="155"/>
      <c r="O67" s="138"/>
      <c r="P67" s="138"/>
      <c r="Q67" s="138"/>
      <c r="R67" s="138"/>
      <c r="S67" s="138"/>
    </row>
    <row r="68" spans="1:19" ht="31.9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0</v>
      </c>
      <c r="E68" s="291">
        <f t="shared" ref="E68:G68" si="31">E69+E70</f>
        <v>0</v>
      </c>
      <c r="F68" s="291">
        <f t="shared" si="31"/>
        <v>0</v>
      </c>
      <c r="G68" s="291">
        <f t="shared" si="31"/>
        <v>0</v>
      </c>
      <c r="H68" s="292"/>
      <c r="I68" s="291"/>
      <c r="J68" s="127"/>
      <c r="K68" s="155"/>
      <c r="L68" s="155"/>
      <c r="M68" s="155"/>
      <c r="N68" s="155"/>
      <c r="O68" s="138"/>
      <c r="P68" s="138"/>
      <c r="Q68" s="138"/>
      <c r="R68" s="138"/>
      <c r="S68" s="138"/>
    </row>
    <row r="69" spans="1:19" ht="31.9" customHeight="1" x14ac:dyDescent="0.25">
      <c r="A69" s="5" t="s">
        <v>18</v>
      </c>
      <c r="B69" s="383" t="s">
        <v>205</v>
      </c>
      <c r="C69" s="5" t="s">
        <v>6</v>
      </c>
      <c r="D69" s="296"/>
      <c r="E69" s="296"/>
      <c r="F69" s="296"/>
      <c r="G69" s="296"/>
      <c r="H69" s="292"/>
      <c r="I69" s="296"/>
      <c r="J69" s="127"/>
      <c r="K69" s="155"/>
      <c r="L69" s="155"/>
      <c r="M69" s="155"/>
      <c r="N69" s="155"/>
      <c r="O69" s="138"/>
      <c r="P69" s="138"/>
      <c r="Q69" s="138"/>
      <c r="R69" s="138"/>
      <c r="S69" s="138"/>
    </row>
    <row r="70" spans="1:19" ht="31.9" customHeight="1" x14ac:dyDescent="0.25">
      <c r="A70" s="5" t="s">
        <v>18</v>
      </c>
      <c r="B70" s="383" t="s">
        <v>206</v>
      </c>
      <c r="C70" s="5" t="s">
        <v>6</v>
      </c>
      <c r="D70" s="296"/>
      <c r="E70" s="296"/>
      <c r="F70" s="296"/>
      <c r="G70" s="296"/>
      <c r="H70" s="292"/>
      <c r="I70" s="296"/>
      <c r="J70" s="127"/>
      <c r="K70" s="155"/>
      <c r="L70" s="155"/>
      <c r="M70" s="155"/>
      <c r="N70" s="155"/>
      <c r="O70" s="138"/>
      <c r="P70" s="138"/>
      <c r="Q70" s="138"/>
      <c r="R70" s="138"/>
      <c r="S70" s="138"/>
    </row>
    <row r="71" spans="1:19" ht="31.9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46.83</v>
      </c>
      <c r="E71" s="291">
        <f t="shared" ref="E71:G71" si="32">E72+E73</f>
        <v>47.059999999999995</v>
      </c>
      <c r="F71" s="291">
        <f t="shared" si="32"/>
        <v>46.489999999999995</v>
      </c>
      <c r="G71" s="291">
        <f t="shared" si="32"/>
        <v>46.489999999999995</v>
      </c>
      <c r="H71" s="292">
        <f t="shared" si="2"/>
        <v>98.788780280492986</v>
      </c>
      <c r="I71" s="291"/>
      <c r="J71" s="127"/>
      <c r="K71" s="155"/>
      <c r="L71" s="155"/>
      <c r="M71" s="155"/>
      <c r="N71" s="155"/>
      <c r="O71" s="138"/>
      <c r="P71" s="138"/>
      <c r="Q71" s="138"/>
      <c r="R71" s="138"/>
      <c r="S71" s="138"/>
    </row>
    <row r="72" spans="1:19" ht="31.9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46.33</v>
      </c>
      <c r="E72" s="302">
        <f t="shared" ref="E72:G72" si="33">E75+E82</f>
        <v>46.489999999999995</v>
      </c>
      <c r="F72" s="302">
        <f t="shared" si="33"/>
        <v>46.489999999999995</v>
      </c>
      <c r="G72" s="302">
        <f t="shared" si="33"/>
        <v>46.489999999999995</v>
      </c>
      <c r="H72" s="292">
        <f t="shared" si="2"/>
        <v>100</v>
      </c>
      <c r="I72" s="302"/>
      <c r="J72" s="127"/>
      <c r="K72" s="155"/>
      <c r="L72" s="155"/>
      <c r="M72" s="155"/>
      <c r="N72" s="155"/>
      <c r="O72" s="138"/>
      <c r="P72" s="138"/>
      <c r="Q72" s="138"/>
      <c r="R72" s="138"/>
      <c r="S72" s="138"/>
    </row>
    <row r="73" spans="1:19" ht="31.9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0.5</v>
      </c>
      <c r="E73" s="291">
        <f>E76+E83</f>
        <v>0.56999999999999995</v>
      </c>
      <c r="F73" s="291">
        <f t="shared" ref="F73:G73" si="34">F76+F83</f>
        <v>0</v>
      </c>
      <c r="G73" s="291">
        <f t="shared" si="34"/>
        <v>0</v>
      </c>
      <c r="H73" s="292">
        <f t="shared" si="2"/>
        <v>0</v>
      </c>
      <c r="I73" s="291"/>
      <c r="J73" s="213"/>
      <c r="K73" s="228"/>
      <c r="L73" s="228"/>
      <c r="M73" s="228"/>
      <c r="N73" s="228"/>
      <c r="O73" s="138"/>
      <c r="P73" s="138"/>
      <c r="Q73" s="138"/>
      <c r="R73" s="138"/>
      <c r="S73" s="138"/>
    </row>
    <row r="74" spans="1:19" ht="31.9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34.299999999999997</v>
      </c>
      <c r="E74" s="304">
        <f t="shared" ref="E74:G74" si="35">E75+E76</f>
        <v>34.299999999999997</v>
      </c>
      <c r="F74" s="304">
        <f t="shared" si="35"/>
        <v>34.299999999999997</v>
      </c>
      <c r="G74" s="304">
        <f t="shared" si="35"/>
        <v>34.299999999999997</v>
      </c>
      <c r="H74" s="329">
        <f t="shared" ref="H74:H95" si="36">F74/E74*100</f>
        <v>100</v>
      </c>
      <c r="I74" s="304"/>
      <c r="J74" s="144"/>
      <c r="K74" s="229"/>
      <c r="L74" s="150"/>
      <c r="M74" s="150"/>
      <c r="N74" s="150"/>
      <c r="O74" s="150"/>
      <c r="P74" s="150"/>
      <c r="Q74" s="150"/>
      <c r="R74" s="138"/>
      <c r="S74" s="138"/>
    </row>
    <row r="75" spans="1:19" ht="31.9" customHeight="1" x14ac:dyDescent="0.25">
      <c r="A75" s="7" t="s">
        <v>24</v>
      </c>
      <c r="B75" s="391" t="s">
        <v>196</v>
      </c>
      <c r="C75" s="5" t="s">
        <v>6</v>
      </c>
      <c r="D75" s="306">
        <f>33.3+1</f>
        <v>34.299999999999997</v>
      </c>
      <c r="E75" s="306">
        <f>D75+D76</f>
        <v>34.299999999999997</v>
      </c>
      <c r="F75" s="306">
        <v>34.299999999999997</v>
      </c>
      <c r="G75" s="306">
        <v>34.299999999999997</v>
      </c>
      <c r="H75" s="328">
        <f t="shared" si="36"/>
        <v>100</v>
      </c>
      <c r="I75" s="296"/>
      <c r="J75" s="127"/>
      <c r="K75" s="155"/>
      <c r="L75" s="235"/>
      <c r="M75" s="132"/>
      <c r="N75" s="132"/>
      <c r="O75" s="147"/>
      <c r="P75" s="147"/>
      <c r="Q75" s="147"/>
      <c r="R75" s="138"/>
      <c r="S75" s="138"/>
    </row>
    <row r="76" spans="1:19" ht="31.9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0</v>
      </c>
      <c r="E76" s="307">
        <f>SUM(E77:E80)</f>
        <v>0</v>
      </c>
      <c r="F76" s="307">
        <f t="shared" ref="F76:G76" si="37">SUM(F77:F80)</f>
        <v>0</v>
      </c>
      <c r="G76" s="307">
        <f t="shared" si="37"/>
        <v>0</v>
      </c>
      <c r="H76" s="292"/>
      <c r="I76" s="307"/>
      <c r="J76" s="217"/>
      <c r="K76" s="218"/>
      <c r="L76" s="142"/>
      <c r="M76" s="142"/>
      <c r="N76" s="142"/>
      <c r="O76" s="147"/>
      <c r="P76" s="147"/>
      <c r="Q76" s="147"/>
      <c r="R76" s="138"/>
      <c r="S76" s="138"/>
    </row>
    <row r="77" spans="1:19" ht="31.9" customHeight="1" x14ac:dyDescent="0.25">
      <c r="A77" s="4" t="s">
        <v>18</v>
      </c>
      <c r="B77" s="393" t="s">
        <v>212</v>
      </c>
      <c r="C77" s="4" t="s">
        <v>6</v>
      </c>
      <c r="D77" s="296"/>
      <c r="E77" s="296">
        <v>0</v>
      </c>
      <c r="F77" s="296"/>
      <c r="G77" s="296"/>
      <c r="H77" s="292"/>
      <c r="I77" s="296"/>
      <c r="J77" s="217"/>
      <c r="K77" s="218"/>
      <c r="L77" s="142"/>
      <c r="M77" s="142"/>
      <c r="N77" s="230"/>
      <c r="O77" s="147"/>
      <c r="P77" s="157"/>
      <c r="Q77" s="147"/>
      <c r="R77" s="138"/>
      <c r="S77" s="138"/>
    </row>
    <row r="78" spans="1:19" ht="31.9" customHeight="1" x14ac:dyDescent="0.25">
      <c r="A78" s="4" t="s">
        <v>18</v>
      </c>
      <c r="B78" s="393" t="s">
        <v>189</v>
      </c>
      <c r="C78" s="4" t="s">
        <v>6</v>
      </c>
      <c r="D78" s="296"/>
      <c r="E78" s="296">
        <v>0</v>
      </c>
      <c r="F78" s="296"/>
      <c r="G78" s="296"/>
      <c r="H78" s="292"/>
      <c r="I78" s="296"/>
      <c r="J78" s="217"/>
      <c r="K78" s="218"/>
      <c r="L78" s="142"/>
      <c r="M78" s="142"/>
      <c r="N78" s="142"/>
      <c r="O78" s="147"/>
      <c r="P78" s="147"/>
      <c r="Q78" s="147"/>
      <c r="R78" s="138"/>
      <c r="S78" s="138"/>
    </row>
    <row r="79" spans="1:19" ht="31.9" customHeight="1" x14ac:dyDescent="0.25">
      <c r="A79" s="4" t="s">
        <v>18</v>
      </c>
      <c r="B79" s="393" t="s">
        <v>190</v>
      </c>
      <c r="C79" s="4" t="s">
        <v>6</v>
      </c>
      <c r="D79" s="296"/>
      <c r="E79" s="296"/>
      <c r="F79" s="296"/>
      <c r="G79" s="296"/>
      <c r="H79" s="292"/>
      <c r="I79" s="296"/>
      <c r="J79" s="217"/>
      <c r="K79" s="218"/>
      <c r="L79" s="142"/>
      <c r="M79" s="142"/>
      <c r="N79" s="142"/>
      <c r="O79" s="147"/>
      <c r="P79" s="147"/>
      <c r="Q79" s="147"/>
      <c r="R79" s="138"/>
      <c r="S79" s="138"/>
    </row>
    <row r="80" spans="1:19" ht="31.9" customHeight="1" x14ac:dyDescent="0.25">
      <c r="A80" s="4" t="s">
        <v>18</v>
      </c>
      <c r="B80" s="394" t="s">
        <v>208</v>
      </c>
      <c r="C80" s="4" t="s">
        <v>6</v>
      </c>
      <c r="D80" s="296"/>
      <c r="E80" s="296"/>
      <c r="F80" s="296"/>
      <c r="G80" s="296"/>
      <c r="H80" s="292"/>
      <c r="I80" s="296"/>
      <c r="J80" s="217"/>
      <c r="K80" s="218"/>
      <c r="L80" s="142"/>
      <c r="M80" s="142"/>
      <c r="N80" s="142"/>
      <c r="O80" s="147"/>
      <c r="P80" s="147"/>
      <c r="Q80" s="147"/>
      <c r="R80" s="138"/>
      <c r="S80" s="138"/>
    </row>
    <row r="81" spans="1:19" s="152" customFormat="1" ht="31.9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12.53</v>
      </c>
      <c r="E81" s="304">
        <f t="shared" ref="E81:G81" si="38">E82+E83</f>
        <v>12.76</v>
      </c>
      <c r="F81" s="304">
        <f t="shared" si="38"/>
        <v>12.19</v>
      </c>
      <c r="G81" s="304">
        <f t="shared" si="38"/>
        <v>12.19</v>
      </c>
      <c r="H81" s="329">
        <f t="shared" si="36"/>
        <v>95.532915360501562</v>
      </c>
      <c r="I81" s="304"/>
      <c r="J81" s="144"/>
      <c r="K81" s="229"/>
      <c r="L81" s="150"/>
      <c r="M81" s="150"/>
      <c r="N81" s="150"/>
      <c r="O81" s="150"/>
      <c r="P81" s="150"/>
      <c r="Q81" s="150"/>
      <c r="R81" s="158"/>
      <c r="S81" s="158"/>
    </row>
    <row r="82" spans="1:19" s="149" customFormat="1" ht="31.9" customHeight="1" x14ac:dyDescent="0.25">
      <c r="A82" s="392" t="s">
        <v>18</v>
      </c>
      <c r="B82" s="393" t="s">
        <v>188</v>
      </c>
      <c r="C82" s="4" t="s">
        <v>6</v>
      </c>
      <c r="D82" s="299">
        <v>12.03</v>
      </c>
      <c r="E82" s="299">
        <v>12.19</v>
      </c>
      <c r="F82" s="299">
        <v>12.19</v>
      </c>
      <c r="G82" s="299">
        <v>12.19</v>
      </c>
      <c r="H82" s="328">
        <f t="shared" si="36"/>
        <v>100</v>
      </c>
      <c r="I82" s="299"/>
      <c r="J82" s="217"/>
      <c r="K82" s="218"/>
      <c r="L82" s="230"/>
      <c r="M82" s="142"/>
      <c r="N82" s="142"/>
      <c r="O82" s="159"/>
      <c r="P82" s="159"/>
      <c r="Q82" s="159"/>
      <c r="R82" s="156"/>
      <c r="S82" s="156"/>
    </row>
    <row r="83" spans="1:19" ht="31.9" customHeight="1" x14ac:dyDescent="0.25">
      <c r="A83" s="392" t="s">
        <v>15</v>
      </c>
      <c r="B83" s="389" t="s">
        <v>210</v>
      </c>
      <c r="C83" s="5" t="s">
        <v>6</v>
      </c>
      <c r="D83" s="306">
        <f t="shared" ref="D83:G83" si="39">SUM(D84:D87)</f>
        <v>0.5</v>
      </c>
      <c r="E83" s="306">
        <f>SUM(E84:E87)</f>
        <v>0.56999999999999995</v>
      </c>
      <c r="F83" s="306">
        <f t="shared" si="39"/>
        <v>0</v>
      </c>
      <c r="G83" s="306">
        <f t="shared" si="39"/>
        <v>0</v>
      </c>
      <c r="H83" s="292">
        <f t="shared" si="36"/>
        <v>0</v>
      </c>
      <c r="I83" s="306"/>
      <c r="J83" s="217"/>
      <c r="K83" s="218"/>
      <c r="L83" s="142"/>
      <c r="M83" s="142"/>
      <c r="N83" s="142"/>
      <c r="O83" s="147"/>
      <c r="P83" s="147"/>
      <c r="Q83" s="147"/>
      <c r="R83" s="138"/>
      <c r="S83" s="138"/>
    </row>
    <row r="84" spans="1:19" ht="31.9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292"/>
      <c r="I84" s="296"/>
      <c r="J84" s="219"/>
      <c r="K84" s="142"/>
      <c r="L84" s="142"/>
      <c r="M84" s="142"/>
      <c r="N84" s="142"/>
      <c r="O84" s="138"/>
      <c r="P84" s="138"/>
      <c r="Q84" s="138"/>
      <c r="R84" s="138"/>
      <c r="S84" s="138"/>
    </row>
    <row r="85" spans="1:19" ht="31.9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292"/>
      <c r="I85" s="296"/>
      <c r="J85" s="219"/>
      <c r="K85" s="142"/>
      <c r="L85" s="142"/>
      <c r="M85" s="142"/>
      <c r="N85" s="142"/>
      <c r="O85" s="138"/>
      <c r="P85" s="138"/>
      <c r="Q85" s="138"/>
      <c r="R85" s="138"/>
      <c r="S85" s="138"/>
    </row>
    <row r="86" spans="1:19" ht="31.9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292"/>
      <c r="I86" s="296"/>
      <c r="J86" s="219"/>
      <c r="K86" s="142"/>
      <c r="L86" s="142"/>
      <c r="M86" s="142"/>
      <c r="N86" s="147"/>
      <c r="O86" s="147"/>
      <c r="P86" s="147"/>
      <c r="Q86" s="147"/>
      <c r="R86" s="138"/>
      <c r="S86" s="138"/>
    </row>
    <row r="87" spans="1:19" ht="31.9" customHeight="1" x14ac:dyDescent="0.25">
      <c r="A87" s="392" t="s">
        <v>18</v>
      </c>
      <c r="B87" s="393" t="s">
        <v>193</v>
      </c>
      <c r="C87" s="4" t="s">
        <v>6</v>
      </c>
      <c r="D87" s="296">
        <v>0.5</v>
      </c>
      <c r="E87" s="296">
        <v>0.56999999999999995</v>
      </c>
      <c r="F87" s="296">
        <v>0</v>
      </c>
      <c r="G87" s="296">
        <v>0</v>
      </c>
      <c r="H87" s="292">
        <f t="shared" si="36"/>
        <v>0</v>
      </c>
      <c r="I87" s="296"/>
      <c r="J87" s="219"/>
      <c r="K87" s="142"/>
      <c r="L87" s="230"/>
      <c r="M87" s="230"/>
      <c r="N87" s="230"/>
      <c r="O87" s="157"/>
      <c r="P87" s="157"/>
      <c r="Q87" s="157"/>
      <c r="R87" s="141"/>
      <c r="S87" s="141"/>
    </row>
    <row r="88" spans="1:19" ht="31.9" customHeight="1" x14ac:dyDescent="0.25">
      <c r="A88" s="3" t="s">
        <v>44</v>
      </c>
      <c r="B88" s="334" t="s">
        <v>45</v>
      </c>
      <c r="C88" s="3"/>
      <c r="D88" s="291">
        <f>SUM(D89:D93)</f>
        <v>1028</v>
      </c>
      <c r="E88" s="291">
        <f t="shared" ref="E88:G88" si="40">SUM(E89:E93)</f>
        <v>1308</v>
      </c>
      <c r="F88" s="291">
        <f t="shared" si="40"/>
        <v>1175</v>
      </c>
      <c r="G88" s="291">
        <f t="shared" si="40"/>
        <v>1175</v>
      </c>
      <c r="H88" s="292">
        <f t="shared" si="36"/>
        <v>89.831804281345569</v>
      </c>
      <c r="I88" s="291"/>
      <c r="J88" s="128"/>
      <c r="K88" s="132"/>
      <c r="L88" s="136"/>
      <c r="M88" s="136"/>
      <c r="N88" s="132"/>
      <c r="O88" s="138"/>
      <c r="P88" s="138"/>
      <c r="Q88" s="138"/>
      <c r="R88" s="138"/>
      <c r="S88" s="138"/>
    </row>
    <row r="89" spans="1:19" s="194" customFormat="1" ht="31.9" customHeight="1" x14ac:dyDescent="0.25">
      <c r="A89" s="5">
        <v>1</v>
      </c>
      <c r="B89" s="337" t="s">
        <v>46</v>
      </c>
      <c r="C89" s="5" t="s">
        <v>8</v>
      </c>
      <c r="D89" s="296">
        <v>104</v>
      </c>
      <c r="E89" s="296">
        <f>55+29</f>
        <v>84</v>
      </c>
      <c r="F89" s="296">
        <v>83</v>
      </c>
      <c r="G89" s="296">
        <f>F89</f>
        <v>83</v>
      </c>
      <c r="H89" s="328">
        <f t="shared" si="36"/>
        <v>98.80952380952381</v>
      </c>
      <c r="I89" s="296"/>
      <c r="J89" s="222"/>
      <c r="K89" s="215"/>
      <c r="L89" s="318"/>
      <c r="M89" s="319"/>
      <c r="N89" s="231"/>
      <c r="O89" s="202"/>
      <c r="P89" s="202"/>
      <c r="Q89" s="202"/>
      <c r="R89" s="202"/>
      <c r="S89" s="202"/>
    </row>
    <row r="90" spans="1:19" s="194" customFormat="1" ht="31.9" customHeight="1" x14ac:dyDescent="0.25">
      <c r="A90" s="5">
        <v>2</v>
      </c>
      <c r="B90" s="337" t="s">
        <v>47</v>
      </c>
      <c r="C90" s="5" t="s">
        <v>8</v>
      </c>
      <c r="D90" s="296">
        <v>159</v>
      </c>
      <c r="E90" s="296">
        <f>150+24</f>
        <v>174</v>
      </c>
      <c r="F90" s="296">
        <v>171</v>
      </c>
      <c r="G90" s="296">
        <f>F90</f>
        <v>171</v>
      </c>
      <c r="H90" s="328">
        <f t="shared" si="36"/>
        <v>98.275862068965509</v>
      </c>
      <c r="I90" s="296"/>
      <c r="J90" s="222"/>
      <c r="K90" s="171"/>
      <c r="L90" s="318"/>
      <c r="M90" s="319"/>
      <c r="N90" s="231"/>
      <c r="O90" s="202"/>
      <c r="P90" s="202"/>
      <c r="Q90" s="202"/>
      <c r="R90" s="202"/>
      <c r="S90" s="202"/>
    </row>
    <row r="91" spans="1:19" s="194" customFormat="1" ht="31.9" customHeight="1" x14ac:dyDescent="0.25">
      <c r="A91" s="5">
        <v>3</v>
      </c>
      <c r="B91" s="337" t="s">
        <v>48</v>
      </c>
      <c r="C91" s="5" t="s">
        <v>8</v>
      </c>
      <c r="D91" s="296">
        <v>93</v>
      </c>
      <c r="E91" s="296">
        <f>134+42</f>
        <v>176</v>
      </c>
      <c r="F91" s="296">
        <v>169</v>
      </c>
      <c r="G91" s="296">
        <f>F91</f>
        <v>169</v>
      </c>
      <c r="H91" s="328">
        <f t="shared" si="36"/>
        <v>96.022727272727266</v>
      </c>
      <c r="I91" s="296"/>
      <c r="J91" s="222"/>
      <c r="K91" s="215"/>
      <c r="L91" s="318"/>
      <c r="M91" s="319"/>
      <c r="N91" s="231"/>
      <c r="O91" s="202"/>
      <c r="P91" s="202"/>
      <c r="Q91" s="202"/>
      <c r="R91" s="202"/>
      <c r="S91" s="202"/>
    </row>
    <row r="92" spans="1:19" ht="31.9" customHeight="1" x14ac:dyDescent="0.25">
      <c r="A92" s="5">
        <v>4</v>
      </c>
      <c r="B92" s="337" t="s">
        <v>49</v>
      </c>
      <c r="C92" s="5" t="s">
        <v>8</v>
      </c>
      <c r="D92" s="296"/>
      <c r="E92" s="296">
        <f>2+1</f>
        <v>3</v>
      </c>
      <c r="F92" s="296">
        <v>2</v>
      </c>
      <c r="G92" s="296">
        <f>F92</f>
        <v>2</v>
      </c>
      <c r="H92" s="328">
        <f t="shared" si="36"/>
        <v>66.666666666666657</v>
      </c>
      <c r="I92" s="296"/>
      <c r="J92" s="128"/>
      <c r="K92" s="134"/>
      <c r="L92" s="320"/>
      <c r="M92" s="319"/>
      <c r="N92" s="132"/>
      <c r="O92" s="138"/>
      <c r="P92" s="138"/>
      <c r="Q92" s="138"/>
      <c r="R92" s="138"/>
      <c r="S92" s="138"/>
    </row>
    <row r="93" spans="1:19" s="194" customFormat="1" ht="31.9" customHeight="1" x14ac:dyDescent="0.25">
      <c r="A93" s="5">
        <v>5</v>
      </c>
      <c r="B93" s="337" t="s">
        <v>50</v>
      </c>
      <c r="C93" s="5" t="s">
        <v>8</v>
      </c>
      <c r="D93" s="296">
        <v>672</v>
      </c>
      <c r="E93" s="296">
        <f>964-93</f>
        <v>871</v>
      </c>
      <c r="F93" s="296">
        <v>750</v>
      </c>
      <c r="G93" s="296">
        <f>F93</f>
        <v>750</v>
      </c>
      <c r="H93" s="328">
        <f t="shared" si="36"/>
        <v>86.107921928817461</v>
      </c>
      <c r="I93" s="296"/>
      <c r="J93" s="267"/>
      <c r="K93" s="215"/>
      <c r="L93" s="320"/>
      <c r="M93" s="319"/>
      <c r="N93" s="231"/>
      <c r="O93" s="202"/>
      <c r="P93" s="202"/>
      <c r="Q93" s="202"/>
      <c r="R93" s="202"/>
      <c r="S93" s="202"/>
    </row>
    <row r="94" spans="1:19" s="131" customFormat="1" ht="31.9" customHeight="1" x14ac:dyDescent="0.25">
      <c r="A94" s="3" t="s">
        <v>51</v>
      </c>
      <c r="B94" s="335" t="s">
        <v>52</v>
      </c>
      <c r="C94" s="3" t="s">
        <v>6</v>
      </c>
      <c r="D94" s="291">
        <f>D95</f>
        <v>1.1000000000000001</v>
      </c>
      <c r="E94" s="291">
        <f t="shared" ref="E94:G94" si="41">E95</f>
        <v>1.1000000000000001</v>
      </c>
      <c r="F94" s="291">
        <f t="shared" si="41"/>
        <v>1.1000000000000001</v>
      </c>
      <c r="G94" s="291">
        <f t="shared" si="41"/>
        <v>1.1000000000000001</v>
      </c>
      <c r="H94" s="292">
        <f t="shared" si="36"/>
        <v>100</v>
      </c>
      <c r="I94" s="291"/>
      <c r="J94" s="321"/>
      <c r="K94" s="200"/>
      <c r="L94" s="129"/>
      <c r="M94" s="129"/>
      <c r="N94" s="129"/>
      <c r="O94" s="143"/>
      <c r="P94" s="143"/>
      <c r="Q94" s="143"/>
      <c r="R94" s="143"/>
      <c r="S94" s="143"/>
    </row>
    <row r="95" spans="1:19" ht="31.9" customHeight="1" x14ac:dyDescent="0.25">
      <c r="A95" s="4" t="s">
        <v>18</v>
      </c>
      <c r="B95" s="389" t="s">
        <v>53</v>
      </c>
      <c r="C95" s="4" t="s">
        <v>6</v>
      </c>
      <c r="D95" s="296">
        <v>1.1000000000000001</v>
      </c>
      <c r="E95" s="296">
        <v>1.1000000000000001</v>
      </c>
      <c r="F95" s="296">
        <v>1.1000000000000001</v>
      </c>
      <c r="G95" s="296">
        <v>1.1000000000000001</v>
      </c>
      <c r="H95" s="328">
        <f t="shared" si="36"/>
        <v>100</v>
      </c>
      <c r="I95" s="296"/>
      <c r="J95" s="128"/>
      <c r="K95" s="132"/>
      <c r="L95" s="132"/>
      <c r="M95" s="132"/>
      <c r="N95" s="132"/>
      <c r="O95" s="138"/>
      <c r="P95" s="138"/>
      <c r="Q95" s="138"/>
      <c r="R95" s="138"/>
      <c r="S95" s="138"/>
    </row>
    <row r="96" spans="1:19" ht="31.9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0</v>
      </c>
      <c r="E96" s="291">
        <f t="shared" ref="E96:G96" si="42">E97+E98</f>
        <v>0</v>
      </c>
      <c r="F96" s="291">
        <f t="shared" si="42"/>
        <v>0</v>
      </c>
      <c r="G96" s="291">
        <f t="shared" si="42"/>
        <v>0</v>
      </c>
      <c r="H96" s="292"/>
      <c r="I96" s="291"/>
      <c r="J96" s="128"/>
      <c r="K96" s="132"/>
      <c r="L96" s="132"/>
      <c r="M96" s="132"/>
      <c r="N96" s="132"/>
      <c r="O96" s="138"/>
      <c r="P96" s="138"/>
      <c r="Q96" s="138"/>
      <c r="R96" s="138"/>
      <c r="S96" s="138"/>
    </row>
    <row r="97" spans="1:19" ht="31.9" customHeight="1" x14ac:dyDescent="0.25">
      <c r="A97" s="5" t="s">
        <v>18</v>
      </c>
      <c r="B97" s="391" t="s">
        <v>213</v>
      </c>
      <c r="C97" s="4" t="s">
        <v>6</v>
      </c>
      <c r="D97" s="296"/>
      <c r="E97" s="296">
        <v>0</v>
      </c>
      <c r="F97" s="296"/>
      <c r="G97" s="296"/>
      <c r="H97" s="292"/>
      <c r="I97" s="296"/>
      <c r="J97" s="128"/>
      <c r="K97" s="132"/>
      <c r="L97" s="134"/>
      <c r="M97" s="132"/>
      <c r="N97" s="132"/>
      <c r="O97" s="138"/>
      <c r="P97" s="138"/>
      <c r="Q97" s="138"/>
      <c r="R97" s="138"/>
      <c r="S97" s="138"/>
    </row>
    <row r="98" spans="1:19" ht="31.9" customHeight="1" x14ac:dyDescent="0.25">
      <c r="A98" s="395" t="s">
        <v>18</v>
      </c>
      <c r="B98" s="391" t="s">
        <v>56</v>
      </c>
      <c r="C98" s="4" t="s">
        <v>6</v>
      </c>
      <c r="D98" s="296"/>
      <c r="E98" s="296"/>
      <c r="F98" s="296"/>
      <c r="G98" s="296"/>
      <c r="H98" s="292"/>
      <c r="I98" s="296"/>
      <c r="J98" s="128"/>
      <c r="K98" s="132"/>
      <c r="L98" s="132"/>
      <c r="M98" s="132"/>
      <c r="N98" s="132"/>
      <c r="O98" s="138"/>
      <c r="P98" s="138"/>
      <c r="Q98" s="138"/>
      <c r="R98" s="138"/>
      <c r="S98" s="138"/>
    </row>
    <row r="99" spans="1:19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55"/>
      <c r="L99" s="155"/>
      <c r="M99" s="155"/>
      <c r="N99" s="155"/>
      <c r="O99" s="138"/>
      <c r="P99" s="138"/>
      <c r="Q99" s="138"/>
      <c r="R99" s="138"/>
      <c r="S99" s="138"/>
    </row>
    <row r="100" spans="1:19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27"/>
      <c r="L100" s="127"/>
      <c r="M100" s="127"/>
      <c r="N100" s="127"/>
    </row>
    <row r="101" spans="1:19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27"/>
      <c r="L101" s="127"/>
      <c r="M101" s="127"/>
      <c r="N101" s="127"/>
    </row>
    <row r="102" spans="1:19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27"/>
      <c r="L102" s="127"/>
      <c r="M102" s="127"/>
      <c r="N102" s="127"/>
    </row>
    <row r="103" spans="1:19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27"/>
      <c r="L103" s="127"/>
      <c r="M103" s="127"/>
      <c r="N103" s="127"/>
    </row>
    <row r="104" spans="1:19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27"/>
      <c r="L104" s="127"/>
      <c r="M104" s="127"/>
      <c r="N104" s="127"/>
    </row>
    <row r="105" spans="1:19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27"/>
      <c r="L105" s="127"/>
      <c r="M105" s="127"/>
      <c r="N105" s="127"/>
    </row>
    <row r="106" spans="1:19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27"/>
      <c r="L106" s="127"/>
      <c r="M106" s="127"/>
      <c r="N106" s="127"/>
    </row>
    <row r="107" spans="1:19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27"/>
      <c r="L107" s="127"/>
      <c r="M107" s="127"/>
      <c r="N107" s="127"/>
    </row>
    <row r="108" spans="1:19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27"/>
      <c r="L108" s="127"/>
      <c r="M108" s="127"/>
      <c r="N108" s="127"/>
    </row>
    <row r="109" spans="1:19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  <c r="N109" s="127"/>
    </row>
    <row r="110" spans="1:19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  <c r="N110" s="127"/>
    </row>
    <row r="111" spans="1:19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  <c r="N111" s="127"/>
    </row>
    <row r="112" spans="1:19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  <c r="N112" s="127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59055118110236227" bottom="0.55118110236220474" header="0" footer="0"/>
  <pageSetup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984"/>
  <sheetViews>
    <sheetView zoomScaleNormal="100" workbookViewId="0">
      <pane ySplit="8" topLeftCell="A95" activePane="bottomLeft" state="frozen"/>
      <selection pane="bottomLeft" activeCell="B7" sqref="B7:B8"/>
    </sheetView>
  </sheetViews>
  <sheetFormatPr defaultColWidth="11.21875" defaultRowHeight="15" customHeight="1" x14ac:dyDescent="0.25"/>
  <cols>
    <col min="1" max="1" width="7.6640625" style="330" customWidth="1"/>
    <col min="2" max="2" width="29.109375" style="330" customWidth="1"/>
    <col min="3" max="3" width="10.6640625" style="330" customWidth="1"/>
    <col min="4" max="5" width="16.88671875" style="330" customWidth="1"/>
    <col min="6" max="9" width="12.6640625" style="330" customWidth="1"/>
    <col min="10" max="10" width="8.88671875" style="125" customWidth="1"/>
    <col min="11" max="11" width="21.77734375" style="125" customWidth="1"/>
    <col min="12" max="14" width="8.88671875" style="125" customWidth="1"/>
    <col min="15" max="16384" width="11.21875" style="125"/>
  </cols>
  <sheetData>
    <row r="1" spans="1:18" ht="15" customHeight="1" x14ac:dyDescent="0.25">
      <c r="H1" s="409"/>
      <c r="I1" s="409"/>
    </row>
    <row r="2" spans="1:18" ht="16.5" x14ac:dyDescent="0.25">
      <c r="A2" s="410"/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  <c r="N2" s="127"/>
    </row>
    <row r="3" spans="1:18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18" ht="16.5" x14ac:dyDescent="0.25">
      <c r="A4" s="405" t="s">
        <v>235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18" ht="16.5" x14ac:dyDescent="0.25">
      <c r="A5" s="417" t="str">
        <f>'MÔ PẢ(12)'!A5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18" ht="16.5" x14ac:dyDescent="0.25">
      <c r="A6" s="376"/>
      <c r="B6" s="376"/>
      <c r="C6" s="376"/>
      <c r="D6" s="377"/>
      <c r="E6" s="377"/>
      <c r="F6" s="377"/>
      <c r="G6" s="377"/>
      <c r="H6" s="377"/>
      <c r="I6" s="377"/>
      <c r="J6" s="127"/>
      <c r="K6" s="127"/>
      <c r="L6" s="127"/>
      <c r="M6" s="127"/>
      <c r="N6" s="127"/>
    </row>
    <row r="7" spans="1:18" ht="33.6" customHeight="1" x14ac:dyDescent="0.25">
      <c r="A7" s="412" t="s">
        <v>10</v>
      </c>
      <c r="B7" s="412" t="s">
        <v>1</v>
      </c>
      <c r="C7" s="412" t="s">
        <v>11</v>
      </c>
      <c r="D7" s="414" t="s">
        <v>222</v>
      </c>
      <c r="E7" s="416" t="s">
        <v>256</v>
      </c>
      <c r="F7" s="418"/>
      <c r="G7" s="418"/>
      <c r="H7" s="418"/>
      <c r="I7" s="403" t="s">
        <v>259</v>
      </c>
      <c r="J7" s="127"/>
      <c r="K7" s="153" t="s">
        <v>215</v>
      </c>
      <c r="L7" s="174">
        <v>89</v>
      </c>
      <c r="M7" s="127"/>
      <c r="N7" s="127"/>
    </row>
    <row r="8" spans="1:18" ht="33.6" customHeight="1" x14ac:dyDescent="0.25">
      <c r="A8" s="413"/>
      <c r="B8" s="413"/>
      <c r="C8" s="413"/>
      <c r="D8" s="415"/>
      <c r="E8" s="331" t="s">
        <v>257</v>
      </c>
      <c r="F8" s="331" t="s">
        <v>261</v>
      </c>
      <c r="G8" s="331" t="s">
        <v>263</v>
      </c>
      <c r="H8" s="378" t="s">
        <v>258</v>
      </c>
      <c r="I8" s="403"/>
      <c r="J8" s="127"/>
      <c r="K8" s="153" t="s">
        <v>216</v>
      </c>
      <c r="L8" s="174">
        <v>515</v>
      </c>
      <c r="M8" s="127"/>
      <c r="N8" s="127"/>
    </row>
    <row r="9" spans="1:18" s="131" customFormat="1" ht="31.9" customHeight="1" x14ac:dyDescent="0.25">
      <c r="A9" s="3" t="s">
        <v>12</v>
      </c>
      <c r="B9" s="335" t="s">
        <v>13</v>
      </c>
      <c r="C9" s="3" t="s">
        <v>6</v>
      </c>
      <c r="D9" s="291">
        <f>D13+D28+D37+D43+D46+D67</f>
        <v>65.8</v>
      </c>
      <c r="E9" s="292">
        <f t="shared" ref="E9:G9" si="0">E13+E28+E37+E43+E46+E67</f>
        <v>93.550000000000011</v>
      </c>
      <c r="F9" s="292">
        <f t="shared" si="0"/>
        <v>73.3</v>
      </c>
      <c r="G9" s="292">
        <f t="shared" si="0"/>
        <v>73.3</v>
      </c>
      <c r="H9" s="291">
        <f>F9/E9*100</f>
        <v>78.353821485836434</v>
      </c>
      <c r="I9" s="292"/>
      <c r="J9" s="213"/>
      <c r="K9" s="213"/>
      <c r="L9" s="213"/>
      <c r="M9" s="213"/>
      <c r="N9" s="213"/>
    </row>
    <row r="10" spans="1:18" s="131" customFormat="1" ht="31.9" customHeight="1" x14ac:dyDescent="0.25">
      <c r="A10" s="3">
        <v>1</v>
      </c>
      <c r="B10" s="335" t="s">
        <v>14</v>
      </c>
      <c r="C10" s="3" t="s">
        <v>6</v>
      </c>
      <c r="D10" s="291">
        <f>D13+D28</f>
        <v>1.5</v>
      </c>
      <c r="E10" s="291">
        <f t="shared" ref="E10:G10" si="1">E13+E28</f>
        <v>10.76</v>
      </c>
      <c r="F10" s="291">
        <f t="shared" si="1"/>
        <v>2.21</v>
      </c>
      <c r="G10" s="291">
        <f t="shared" si="1"/>
        <v>2.21</v>
      </c>
      <c r="H10" s="291">
        <f t="shared" ref="H10:H73" si="2">F10/E10*100</f>
        <v>20.539033457249069</v>
      </c>
      <c r="I10" s="291"/>
      <c r="J10" s="213"/>
      <c r="K10" s="213"/>
      <c r="L10" s="213"/>
      <c r="M10" s="213"/>
      <c r="N10" s="213"/>
    </row>
    <row r="11" spans="1:18" s="178" customFormat="1" ht="31.9" customHeight="1" x14ac:dyDescent="0.25">
      <c r="A11" s="3"/>
      <c r="B11" s="334" t="s">
        <v>16</v>
      </c>
      <c r="C11" s="3" t="s">
        <v>17</v>
      </c>
      <c r="D11" s="291">
        <f>D12+D30</f>
        <v>5.5275000000000007</v>
      </c>
      <c r="E11" s="291">
        <f t="shared" ref="E11:G11" si="3">E12+E30</f>
        <v>33.440009999999994</v>
      </c>
      <c r="F11" s="291">
        <f t="shared" si="3"/>
        <v>0</v>
      </c>
      <c r="G11" s="291">
        <f t="shared" si="3"/>
        <v>0</v>
      </c>
      <c r="H11" s="291">
        <f t="shared" si="2"/>
        <v>0</v>
      </c>
      <c r="I11" s="291"/>
      <c r="J11" s="213"/>
      <c r="K11" s="213"/>
      <c r="L11" s="232"/>
      <c r="M11" s="232"/>
      <c r="N11" s="232"/>
    </row>
    <row r="12" spans="1:18" s="178" customFormat="1" ht="31.9" customHeight="1" x14ac:dyDescent="0.25">
      <c r="A12" s="3"/>
      <c r="B12" s="335" t="s">
        <v>221</v>
      </c>
      <c r="C12" s="3" t="s">
        <v>17</v>
      </c>
      <c r="D12" s="291">
        <f>D15</f>
        <v>0</v>
      </c>
      <c r="E12" s="291">
        <f t="shared" ref="E12:G12" si="4">E15</f>
        <v>27.905009999999997</v>
      </c>
      <c r="F12" s="291">
        <f t="shared" si="4"/>
        <v>0</v>
      </c>
      <c r="G12" s="291">
        <f t="shared" si="4"/>
        <v>0</v>
      </c>
      <c r="H12" s="291">
        <f t="shared" si="2"/>
        <v>0</v>
      </c>
      <c r="I12" s="291"/>
      <c r="J12" s="213"/>
      <c r="K12" s="213"/>
      <c r="L12" s="232"/>
      <c r="M12" s="232"/>
      <c r="N12" s="232"/>
    </row>
    <row r="13" spans="1:18" ht="31.9" customHeight="1" x14ac:dyDescent="0.25">
      <c r="A13" s="3" t="s">
        <v>5</v>
      </c>
      <c r="B13" s="335" t="s">
        <v>19</v>
      </c>
      <c r="C13" s="3" t="s">
        <v>6</v>
      </c>
      <c r="D13" s="291">
        <f>D16+D19</f>
        <v>0</v>
      </c>
      <c r="E13" s="291">
        <f t="shared" ref="E13:G13" si="5">E16+E19</f>
        <v>9.26</v>
      </c>
      <c r="F13" s="291">
        <f t="shared" si="5"/>
        <v>2.21</v>
      </c>
      <c r="G13" s="291">
        <f t="shared" si="5"/>
        <v>2.21</v>
      </c>
      <c r="H13" s="291">
        <f t="shared" si="2"/>
        <v>23.866090712742981</v>
      </c>
      <c r="I13" s="291"/>
      <c r="J13" s="127"/>
      <c r="K13" s="127"/>
      <c r="L13" s="127"/>
      <c r="M13" s="127"/>
      <c r="N13" s="127"/>
    </row>
    <row r="14" spans="1:18" s="177" customFormat="1" ht="31.9" customHeight="1" x14ac:dyDescent="0.25">
      <c r="A14" s="3"/>
      <c r="B14" s="337" t="s">
        <v>218</v>
      </c>
      <c r="C14" s="5" t="s">
        <v>219</v>
      </c>
      <c r="D14" s="296">
        <f>(D17+D20)/2</f>
        <v>30.125</v>
      </c>
      <c r="E14" s="296">
        <f t="shared" ref="E14:G14" si="6">(E17+E20)/2</f>
        <v>30.135000000000002</v>
      </c>
      <c r="F14" s="296">
        <f t="shared" si="6"/>
        <v>0</v>
      </c>
      <c r="G14" s="296">
        <f t="shared" si="6"/>
        <v>0</v>
      </c>
      <c r="H14" s="291">
        <f t="shared" si="2"/>
        <v>0</v>
      </c>
      <c r="I14" s="296"/>
      <c r="J14" s="127"/>
      <c r="K14" s="127"/>
      <c r="L14" s="233"/>
      <c r="M14" s="233"/>
      <c r="N14" s="233"/>
    </row>
    <row r="15" spans="1:18" s="177" customFormat="1" ht="31.9" customHeight="1" x14ac:dyDescent="0.25">
      <c r="A15" s="3"/>
      <c r="B15" s="337" t="s">
        <v>220</v>
      </c>
      <c r="C15" s="5" t="s">
        <v>17</v>
      </c>
      <c r="D15" s="296">
        <f>D13*D14/10</f>
        <v>0</v>
      </c>
      <c r="E15" s="296">
        <f t="shared" ref="E15:G15" si="7">E13*E14/10</f>
        <v>27.905009999999997</v>
      </c>
      <c r="F15" s="296">
        <f t="shared" si="7"/>
        <v>0</v>
      </c>
      <c r="G15" s="296">
        <f t="shared" si="7"/>
        <v>0</v>
      </c>
      <c r="H15" s="291">
        <f t="shared" si="2"/>
        <v>0</v>
      </c>
      <c r="I15" s="296"/>
      <c r="J15" s="127"/>
      <c r="K15" s="127"/>
      <c r="L15" s="233"/>
      <c r="M15" s="233"/>
      <c r="N15" s="233"/>
    </row>
    <row r="16" spans="1:18" ht="31.9" customHeight="1" x14ac:dyDescent="0.25">
      <c r="A16" s="3" t="s">
        <v>20</v>
      </c>
      <c r="B16" s="335" t="s">
        <v>21</v>
      </c>
      <c r="C16" s="3" t="s">
        <v>6</v>
      </c>
      <c r="D16" s="291"/>
      <c r="E16" s="291">
        <v>2.21</v>
      </c>
      <c r="F16" s="291">
        <v>2.21</v>
      </c>
      <c r="G16" s="291">
        <v>2.21</v>
      </c>
      <c r="H16" s="291">
        <f t="shared" si="2"/>
        <v>100</v>
      </c>
      <c r="I16" s="291"/>
      <c r="J16" s="214"/>
      <c r="K16" s="214"/>
      <c r="L16" s="214"/>
      <c r="M16" s="214"/>
      <c r="N16" s="214"/>
      <c r="O16" s="135"/>
      <c r="P16" s="135"/>
      <c r="Q16" s="135"/>
      <c r="R16" s="135"/>
    </row>
    <row r="17" spans="1:22" ht="31.9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>
        <v>0</v>
      </c>
      <c r="G17" s="296">
        <v>0</v>
      </c>
      <c r="H17" s="291">
        <f t="shared" si="2"/>
        <v>0</v>
      </c>
      <c r="I17" s="296"/>
      <c r="J17" s="214"/>
      <c r="K17" s="214"/>
      <c r="L17" s="214"/>
      <c r="M17" s="214"/>
      <c r="N17" s="214"/>
      <c r="O17" s="135"/>
      <c r="P17" s="135"/>
      <c r="Q17" s="135"/>
      <c r="R17" s="135"/>
    </row>
    <row r="18" spans="1:22" ht="31.9" customHeight="1" x14ac:dyDescent="0.25">
      <c r="A18" s="3"/>
      <c r="B18" s="337" t="s">
        <v>220</v>
      </c>
      <c r="C18" s="5" t="s">
        <v>17</v>
      </c>
      <c r="D18" s="291"/>
      <c r="E18" s="296">
        <f>E16*E17/10</f>
        <v>7.4034999999999993</v>
      </c>
      <c r="F18" s="296">
        <f t="shared" ref="F18:G18" si="8">F16*F17/10</f>
        <v>0</v>
      </c>
      <c r="G18" s="296">
        <f t="shared" si="8"/>
        <v>0</v>
      </c>
      <c r="H18" s="291">
        <f t="shared" si="2"/>
        <v>0</v>
      </c>
      <c r="I18" s="296"/>
      <c r="J18" s="214"/>
      <c r="K18" s="239"/>
      <c r="L18" s="214"/>
      <c r="M18" s="214"/>
      <c r="N18" s="214"/>
      <c r="O18" s="135"/>
      <c r="P18" s="135"/>
      <c r="Q18" s="135"/>
      <c r="R18" s="135"/>
    </row>
    <row r="19" spans="1:22" ht="31.9" customHeight="1" x14ac:dyDescent="0.25">
      <c r="A19" s="379" t="s">
        <v>22</v>
      </c>
      <c r="B19" s="380" t="s">
        <v>23</v>
      </c>
      <c r="C19" s="379" t="s">
        <v>6</v>
      </c>
      <c r="D19" s="313">
        <f t="shared" ref="D19:G19" si="9">D22+D25</f>
        <v>0</v>
      </c>
      <c r="E19" s="313">
        <f t="shared" si="9"/>
        <v>7.05</v>
      </c>
      <c r="F19" s="313">
        <f t="shared" si="9"/>
        <v>0</v>
      </c>
      <c r="G19" s="313">
        <f t="shared" si="9"/>
        <v>0</v>
      </c>
      <c r="H19" s="291">
        <f t="shared" si="2"/>
        <v>0</v>
      </c>
      <c r="I19" s="291"/>
      <c r="J19" s="128"/>
      <c r="K19" s="128"/>
      <c r="L19" s="128"/>
      <c r="M19" s="128"/>
      <c r="N19" s="223"/>
      <c r="O19" s="133"/>
      <c r="P19" s="133"/>
      <c r="Q19" s="133"/>
      <c r="R19" s="133"/>
      <c r="S19" s="133"/>
      <c r="T19" s="133"/>
      <c r="U19" s="133"/>
      <c r="V19" s="133"/>
    </row>
    <row r="20" spans="1:22" ht="31.9" customHeight="1" x14ac:dyDescent="0.25">
      <c r="A20" s="379"/>
      <c r="B20" s="337" t="s">
        <v>218</v>
      </c>
      <c r="C20" s="5" t="s">
        <v>219</v>
      </c>
      <c r="D20" s="296">
        <f>(D23+D26)/2</f>
        <v>26.75</v>
      </c>
      <c r="E20" s="296">
        <f t="shared" ref="E20:G20" si="10">(E23+E26)/2</f>
        <v>26.770000000000003</v>
      </c>
      <c r="F20" s="296">
        <f t="shared" si="10"/>
        <v>0</v>
      </c>
      <c r="G20" s="296">
        <f t="shared" si="10"/>
        <v>0</v>
      </c>
      <c r="H20" s="291">
        <f t="shared" si="2"/>
        <v>0</v>
      </c>
      <c r="I20" s="296"/>
      <c r="J20" s="128"/>
      <c r="K20" s="128"/>
      <c r="L20" s="128"/>
      <c r="M20" s="128"/>
      <c r="N20" s="223"/>
      <c r="O20" s="133"/>
      <c r="P20" s="133"/>
      <c r="Q20" s="133"/>
      <c r="R20" s="133"/>
      <c r="S20" s="133"/>
      <c r="T20" s="133"/>
      <c r="U20" s="133"/>
      <c r="V20" s="133"/>
    </row>
    <row r="21" spans="1:22" ht="31.9" customHeight="1" x14ac:dyDescent="0.25">
      <c r="A21" s="379"/>
      <c r="B21" s="337" t="s">
        <v>220</v>
      </c>
      <c r="C21" s="5" t="s">
        <v>17</v>
      </c>
      <c r="D21" s="296">
        <f>D19*D20/10</f>
        <v>0</v>
      </c>
      <c r="E21" s="296">
        <f t="shared" ref="E21:G21" si="11">E19*E20/10</f>
        <v>18.872850000000003</v>
      </c>
      <c r="F21" s="296">
        <f t="shared" si="11"/>
        <v>0</v>
      </c>
      <c r="G21" s="296">
        <f t="shared" si="11"/>
        <v>0</v>
      </c>
      <c r="H21" s="291">
        <f t="shared" si="2"/>
        <v>0</v>
      </c>
      <c r="I21" s="296"/>
      <c r="J21" s="128"/>
      <c r="K21" s="128"/>
      <c r="L21" s="128"/>
      <c r="M21" s="128"/>
      <c r="N21" s="223"/>
      <c r="O21" s="133"/>
      <c r="P21" s="133"/>
      <c r="Q21" s="133"/>
      <c r="R21" s="133"/>
      <c r="S21" s="133"/>
      <c r="T21" s="133"/>
      <c r="U21" s="133"/>
      <c r="V21" s="133"/>
    </row>
    <row r="22" spans="1:22" ht="31.9" customHeight="1" x14ac:dyDescent="0.25">
      <c r="A22" s="379" t="s">
        <v>24</v>
      </c>
      <c r="B22" s="380" t="s">
        <v>25</v>
      </c>
      <c r="C22" s="379" t="s">
        <v>6</v>
      </c>
      <c r="D22" s="313"/>
      <c r="E22" s="313">
        <v>6.05</v>
      </c>
      <c r="F22" s="313">
        <v>0</v>
      </c>
      <c r="G22" s="313">
        <v>0</v>
      </c>
      <c r="H22" s="291">
        <f t="shared" si="2"/>
        <v>0</v>
      </c>
      <c r="I22" s="291"/>
      <c r="J22" s="121"/>
      <c r="K22" s="121"/>
      <c r="L22" s="121"/>
      <c r="M22" s="121"/>
      <c r="N22" s="145"/>
      <c r="O22" s="146"/>
      <c r="P22" s="146"/>
      <c r="Q22" s="146"/>
      <c r="R22" s="146"/>
      <c r="S22" s="146"/>
      <c r="T22" s="146"/>
      <c r="U22" s="146"/>
      <c r="V22" s="133"/>
    </row>
    <row r="23" spans="1:22" ht="31.9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/>
      <c r="G23" s="296"/>
      <c r="H23" s="291">
        <f t="shared" si="2"/>
        <v>0</v>
      </c>
      <c r="I23" s="296"/>
      <c r="J23" s="121"/>
      <c r="K23" s="121"/>
      <c r="L23" s="121"/>
      <c r="M23" s="121"/>
      <c r="N23" s="145"/>
      <c r="O23" s="146"/>
      <c r="P23" s="146"/>
      <c r="Q23" s="146"/>
      <c r="R23" s="146"/>
      <c r="S23" s="146"/>
      <c r="T23" s="146"/>
      <c r="U23" s="146"/>
      <c r="V23" s="133"/>
    </row>
    <row r="24" spans="1:22" ht="31.9" customHeight="1" x14ac:dyDescent="0.25">
      <c r="A24" s="379"/>
      <c r="B24" s="337" t="s">
        <v>220</v>
      </c>
      <c r="C24" s="5" t="s">
        <v>17</v>
      </c>
      <c r="D24" s="296">
        <f>D22*D23/10</f>
        <v>0</v>
      </c>
      <c r="E24" s="296">
        <f t="shared" ref="E24:G24" si="12">E22*E23/10</f>
        <v>23.195700000000002</v>
      </c>
      <c r="F24" s="296">
        <f t="shared" si="12"/>
        <v>0</v>
      </c>
      <c r="G24" s="296">
        <f t="shared" si="12"/>
        <v>0</v>
      </c>
      <c r="H24" s="291">
        <f t="shared" si="2"/>
        <v>0</v>
      </c>
      <c r="I24" s="296"/>
      <c r="J24" s="121"/>
      <c r="K24" s="121"/>
      <c r="L24" s="121"/>
      <c r="M24" s="121"/>
      <c r="N24" s="145"/>
      <c r="O24" s="146"/>
      <c r="P24" s="146"/>
      <c r="Q24" s="146"/>
      <c r="R24" s="146"/>
      <c r="S24" s="146"/>
      <c r="T24" s="146"/>
      <c r="U24" s="146"/>
      <c r="V24" s="133"/>
    </row>
    <row r="25" spans="1:22" ht="31.9" customHeight="1" x14ac:dyDescent="0.25">
      <c r="A25" s="379" t="s">
        <v>24</v>
      </c>
      <c r="B25" s="380" t="s">
        <v>26</v>
      </c>
      <c r="C25" s="379" t="s">
        <v>6</v>
      </c>
      <c r="D25" s="313"/>
      <c r="E25" s="313">
        <v>1</v>
      </c>
      <c r="F25" s="313">
        <v>0</v>
      </c>
      <c r="G25" s="313">
        <v>0</v>
      </c>
      <c r="H25" s="291">
        <f t="shared" si="2"/>
        <v>0</v>
      </c>
      <c r="I25" s="291"/>
      <c r="J25" s="121"/>
      <c r="K25" s="121"/>
      <c r="L25" s="121"/>
      <c r="M25" s="121"/>
      <c r="N25" s="145"/>
      <c r="O25" s="146"/>
      <c r="P25" s="146"/>
      <c r="Q25" s="146"/>
      <c r="R25" s="146"/>
      <c r="S25" s="146"/>
      <c r="T25" s="146"/>
      <c r="U25" s="146"/>
      <c r="V25" s="133"/>
    </row>
    <row r="26" spans="1:22" ht="31.9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15.2</v>
      </c>
      <c r="F26" s="296"/>
      <c r="G26" s="296"/>
      <c r="H26" s="291">
        <f t="shared" si="2"/>
        <v>0</v>
      </c>
      <c r="I26" s="296"/>
      <c r="J26" s="121"/>
      <c r="K26" s="121"/>
      <c r="L26" s="121"/>
      <c r="M26" s="121"/>
      <c r="N26" s="145"/>
      <c r="O26" s="146"/>
      <c r="P26" s="146"/>
      <c r="Q26" s="146"/>
      <c r="R26" s="146"/>
      <c r="S26" s="146"/>
      <c r="T26" s="146"/>
      <c r="U26" s="146"/>
      <c r="V26" s="133"/>
    </row>
    <row r="27" spans="1:22" ht="31.9" customHeight="1" x14ac:dyDescent="0.25">
      <c r="A27" s="379"/>
      <c r="B27" s="337" t="s">
        <v>220</v>
      </c>
      <c r="C27" s="5" t="s">
        <v>17</v>
      </c>
      <c r="D27" s="296">
        <f>D25*D26/10</f>
        <v>0</v>
      </c>
      <c r="E27" s="296">
        <f t="shared" ref="E27:G27" si="13">E25*E26/10</f>
        <v>1.52</v>
      </c>
      <c r="F27" s="296">
        <f t="shared" si="13"/>
        <v>0</v>
      </c>
      <c r="G27" s="296">
        <f t="shared" si="13"/>
        <v>0</v>
      </c>
      <c r="H27" s="291">
        <f t="shared" si="2"/>
        <v>0</v>
      </c>
      <c r="I27" s="296"/>
      <c r="J27" s="121"/>
      <c r="K27" s="121"/>
      <c r="L27" s="121"/>
      <c r="M27" s="121"/>
      <c r="N27" s="145"/>
      <c r="O27" s="146"/>
      <c r="P27" s="146"/>
      <c r="Q27" s="146"/>
      <c r="R27" s="146"/>
      <c r="S27" s="146"/>
      <c r="T27" s="146"/>
      <c r="U27" s="146"/>
      <c r="V27" s="133"/>
    </row>
    <row r="28" spans="1:22" ht="31.9" customHeight="1" x14ac:dyDescent="0.25">
      <c r="A28" s="3" t="s">
        <v>7</v>
      </c>
      <c r="B28" s="335" t="s">
        <v>27</v>
      </c>
      <c r="C28" s="3" t="s">
        <v>6</v>
      </c>
      <c r="D28" s="291">
        <f t="shared" ref="D28:G28" si="14">D31+D34</f>
        <v>1.5</v>
      </c>
      <c r="E28" s="291">
        <f t="shared" si="14"/>
        <v>1.5</v>
      </c>
      <c r="F28" s="291">
        <f t="shared" si="14"/>
        <v>0</v>
      </c>
      <c r="G28" s="291">
        <f t="shared" si="14"/>
        <v>0</v>
      </c>
      <c r="H28" s="291">
        <f t="shared" si="2"/>
        <v>0</v>
      </c>
      <c r="I28" s="291"/>
      <c r="J28" s="124"/>
      <c r="K28" s="124"/>
      <c r="L28" s="124"/>
      <c r="M28" s="124"/>
      <c r="N28" s="124"/>
      <c r="O28" s="123"/>
      <c r="P28" s="123"/>
      <c r="Q28" s="123"/>
      <c r="R28" s="123"/>
      <c r="S28" s="123"/>
      <c r="T28" s="123"/>
      <c r="U28" s="123"/>
    </row>
    <row r="29" spans="1:22" ht="31.9" customHeight="1" x14ac:dyDescent="0.25">
      <c r="A29" s="3"/>
      <c r="B29" s="337" t="s">
        <v>218</v>
      </c>
      <c r="C29" s="5" t="s">
        <v>219</v>
      </c>
      <c r="D29" s="296">
        <f>D35</f>
        <v>36.85</v>
      </c>
      <c r="E29" s="296">
        <f t="shared" ref="E29:G29" si="15">E35</f>
        <v>36.9</v>
      </c>
      <c r="F29" s="296">
        <f t="shared" si="15"/>
        <v>0</v>
      </c>
      <c r="G29" s="296">
        <f t="shared" si="15"/>
        <v>0</v>
      </c>
      <c r="H29" s="291">
        <f t="shared" si="2"/>
        <v>0</v>
      </c>
      <c r="I29" s="296"/>
      <c r="J29" s="124"/>
      <c r="K29" s="124"/>
      <c r="L29" s="124"/>
      <c r="M29" s="124"/>
      <c r="N29" s="124"/>
      <c r="O29" s="123"/>
      <c r="P29" s="123"/>
      <c r="Q29" s="123"/>
      <c r="R29" s="123"/>
      <c r="S29" s="123"/>
      <c r="T29" s="123"/>
      <c r="U29" s="123"/>
    </row>
    <row r="30" spans="1:22" ht="31.9" customHeight="1" x14ac:dyDescent="0.25">
      <c r="A30" s="3"/>
      <c r="B30" s="337" t="s">
        <v>220</v>
      </c>
      <c r="C30" s="5" t="s">
        <v>17</v>
      </c>
      <c r="D30" s="296">
        <f>D28*D29/10</f>
        <v>5.5275000000000007</v>
      </c>
      <c r="E30" s="296">
        <f t="shared" ref="E30:G30" si="16">E28*E29/10</f>
        <v>5.5349999999999993</v>
      </c>
      <c r="F30" s="296">
        <f t="shared" si="16"/>
        <v>0</v>
      </c>
      <c r="G30" s="296">
        <f t="shared" si="16"/>
        <v>0</v>
      </c>
      <c r="H30" s="291">
        <f t="shared" si="2"/>
        <v>0</v>
      </c>
      <c r="I30" s="296"/>
      <c r="J30" s="124"/>
      <c r="K30" s="124"/>
      <c r="L30" s="124"/>
      <c r="M30" s="124"/>
      <c r="N30" s="124"/>
      <c r="O30" s="123"/>
      <c r="P30" s="123"/>
      <c r="Q30" s="123"/>
      <c r="R30" s="123"/>
      <c r="S30" s="123"/>
      <c r="T30" s="123"/>
      <c r="U30" s="123"/>
    </row>
    <row r="31" spans="1:22" ht="31.9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/>
      <c r="G31" s="291"/>
      <c r="H31" s="291"/>
      <c r="I31" s="291"/>
      <c r="J31" s="124"/>
      <c r="K31" s="124"/>
      <c r="L31" s="124"/>
      <c r="M31" s="124"/>
      <c r="N31" s="124"/>
      <c r="O31" s="123"/>
      <c r="P31" s="123"/>
      <c r="Q31" s="123"/>
      <c r="R31" s="123"/>
      <c r="S31" s="123"/>
      <c r="T31" s="123"/>
      <c r="U31" s="123"/>
    </row>
    <row r="32" spans="1:22" ht="31.9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1"/>
      <c r="H32" s="291"/>
      <c r="I32" s="291"/>
      <c r="J32" s="124"/>
      <c r="K32" s="124"/>
      <c r="L32" s="124"/>
      <c r="M32" s="124"/>
      <c r="N32" s="124"/>
      <c r="O32" s="123"/>
      <c r="P32" s="123"/>
      <c r="Q32" s="123"/>
      <c r="R32" s="123"/>
      <c r="S32" s="123"/>
      <c r="T32" s="123"/>
      <c r="U32" s="123"/>
    </row>
    <row r="33" spans="1:21" ht="31.9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1"/>
      <c r="H33" s="291"/>
      <c r="I33" s="291"/>
      <c r="J33" s="124"/>
      <c r="K33" s="124"/>
      <c r="L33" s="124"/>
      <c r="M33" s="124"/>
      <c r="N33" s="124"/>
      <c r="O33" s="123"/>
      <c r="P33" s="123"/>
      <c r="Q33" s="123"/>
      <c r="R33" s="123"/>
      <c r="S33" s="123"/>
      <c r="T33" s="123"/>
      <c r="U33" s="123"/>
    </row>
    <row r="34" spans="1:21" ht="31.9" customHeight="1" x14ac:dyDescent="0.25">
      <c r="A34" s="379" t="s">
        <v>22</v>
      </c>
      <c r="B34" s="380" t="s">
        <v>29</v>
      </c>
      <c r="C34" s="379" t="s">
        <v>6</v>
      </c>
      <c r="D34" s="313">
        <v>1.5</v>
      </c>
      <c r="E34" s="313">
        <v>1.5</v>
      </c>
      <c r="F34" s="313"/>
      <c r="G34" s="313">
        <v>0</v>
      </c>
      <c r="H34" s="291">
        <f t="shared" si="2"/>
        <v>0</v>
      </c>
      <c r="I34" s="313"/>
      <c r="J34" s="124"/>
      <c r="K34" s="137"/>
      <c r="L34" s="137"/>
      <c r="M34" s="137"/>
      <c r="N34" s="137"/>
      <c r="O34" s="137"/>
      <c r="P34" s="123"/>
      <c r="Q34" s="123"/>
      <c r="R34" s="123"/>
      <c r="S34" s="123"/>
      <c r="T34" s="123"/>
      <c r="U34" s="123"/>
    </row>
    <row r="35" spans="1:21" ht="31.9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/>
      <c r="G35" s="296"/>
      <c r="H35" s="291">
        <f t="shared" si="2"/>
        <v>0</v>
      </c>
      <c r="I35" s="296"/>
      <c r="J35" s="124"/>
      <c r="K35" s="137"/>
      <c r="L35" s="137"/>
      <c r="M35" s="137"/>
      <c r="N35" s="137"/>
      <c r="O35" s="137"/>
      <c r="P35" s="123"/>
      <c r="Q35" s="123"/>
      <c r="R35" s="123"/>
      <c r="S35" s="123"/>
      <c r="T35" s="123"/>
      <c r="U35" s="123"/>
    </row>
    <row r="36" spans="1:21" ht="31.9" customHeight="1" x14ac:dyDescent="0.25">
      <c r="A36" s="379"/>
      <c r="B36" s="337" t="s">
        <v>220</v>
      </c>
      <c r="C36" s="5" t="s">
        <v>17</v>
      </c>
      <c r="D36" s="296">
        <f>D34*D35/10</f>
        <v>5.5275000000000007</v>
      </c>
      <c r="E36" s="296">
        <f t="shared" ref="E36:G36" si="17">E34*E35/10</f>
        <v>5.5349999999999993</v>
      </c>
      <c r="F36" s="296">
        <f t="shared" si="17"/>
        <v>0</v>
      </c>
      <c r="G36" s="296">
        <f t="shared" si="17"/>
        <v>0</v>
      </c>
      <c r="H36" s="291">
        <f t="shared" si="2"/>
        <v>0</v>
      </c>
      <c r="I36" s="296"/>
      <c r="J36" s="124"/>
      <c r="K36" s="137"/>
      <c r="L36" s="137"/>
      <c r="M36" s="137"/>
      <c r="N36" s="137"/>
      <c r="O36" s="137"/>
      <c r="P36" s="123"/>
      <c r="Q36" s="123"/>
      <c r="R36" s="123"/>
      <c r="S36" s="123"/>
      <c r="T36" s="123"/>
      <c r="U36" s="123"/>
    </row>
    <row r="37" spans="1:21" ht="31.9" customHeight="1" x14ac:dyDescent="0.25">
      <c r="A37" s="3">
        <v>2</v>
      </c>
      <c r="B37" s="335" t="s">
        <v>30</v>
      </c>
      <c r="C37" s="3" t="s">
        <v>6</v>
      </c>
      <c r="D37" s="291"/>
      <c r="E37" s="291">
        <v>0</v>
      </c>
      <c r="F37" s="291">
        <v>0</v>
      </c>
      <c r="G37" s="291">
        <v>0</v>
      </c>
      <c r="H37" s="291"/>
      <c r="I37" s="291"/>
      <c r="J37" s="124"/>
      <c r="K37" s="121"/>
      <c r="L37" s="124"/>
      <c r="M37" s="124"/>
      <c r="N37" s="124"/>
      <c r="O37" s="123"/>
      <c r="P37" s="123"/>
      <c r="Q37" s="123"/>
      <c r="R37" s="123"/>
      <c r="S37" s="123"/>
      <c r="T37" s="123"/>
      <c r="U37" s="123"/>
    </row>
    <row r="38" spans="1:21" ht="31.9" customHeight="1" x14ac:dyDescent="0.25">
      <c r="A38" s="3"/>
      <c r="B38" s="337" t="s">
        <v>218</v>
      </c>
      <c r="C38" s="5" t="s">
        <v>219</v>
      </c>
      <c r="D38" s="296">
        <v>137.5</v>
      </c>
      <c r="E38" s="296">
        <v>140</v>
      </c>
      <c r="F38" s="296"/>
      <c r="G38" s="296"/>
      <c r="H38" s="291">
        <f t="shared" si="2"/>
        <v>0</v>
      </c>
      <c r="I38" s="296"/>
      <c r="J38" s="124"/>
      <c r="K38" s="124"/>
      <c r="L38" s="124"/>
      <c r="M38" s="124"/>
      <c r="N38" s="124"/>
      <c r="O38" s="123"/>
      <c r="P38" s="123"/>
      <c r="Q38" s="123"/>
      <c r="R38" s="123"/>
      <c r="S38" s="123"/>
      <c r="T38" s="123"/>
      <c r="U38" s="123"/>
    </row>
    <row r="39" spans="1:21" ht="31.9" customHeight="1" x14ac:dyDescent="0.25">
      <c r="A39" s="3"/>
      <c r="B39" s="337" t="s">
        <v>220</v>
      </c>
      <c r="C39" s="5" t="s">
        <v>17</v>
      </c>
      <c r="D39" s="296">
        <f>D37*D38/10</f>
        <v>0</v>
      </c>
      <c r="E39" s="296">
        <f t="shared" ref="E39:G39" si="18">E37*E38/10</f>
        <v>0</v>
      </c>
      <c r="F39" s="296">
        <f t="shared" si="18"/>
        <v>0</v>
      </c>
      <c r="G39" s="296">
        <f t="shared" si="18"/>
        <v>0</v>
      </c>
      <c r="H39" s="291"/>
      <c r="I39" s="296"/>
      <c r="J39" s="124"/>
      <c r="K39" s="124"/>
      <c r="L39" s="124"/>
      <c r="M39" s="124"/>
      <c r="N39" s="124"/>
      <c r="O39" s="123"/>
      <c r="P39" s="123"/>
      <c r="Q39" s="123"/>
      <c r="R39" s="123"/>
      <c r="S39" s="123"/>
      <c r="T39" s="123"/>
      <c r="U39" s="123"/>
    </row>
    <row r="40" spans="1:21" ht="31.9" customHeight="1" x14ac:dyDescent="0.25">
      <c r="A40" s="3">
        <v>3</v>
      </c>
      <c r="B40" s="333" t="s">
        <v>241</v>
      </c>
      <c r="C40" s="332" t="s">
        <v>6</v>
      </c>
      <c r="D40" s="294">
        <v>0.5</v>
      </c>
      <c r="E40" s="294">
        <v>0.5</v>
      </c>
      <c r="F40" s="291">
        <v>0</v>
      </c>
      <c r="G40" s="291">
        <v>0</v>
      </c>
      <c r="H40" s="291">
        <f t="shared" si="2"/>
        <v>0</v>
      </c>
      <c r="I40" s="296"/>
      <c r="J40" s="124"/>
      <c r="K40" s="124"/>
      <c r="L40" s="124"/>
      <c r="M40" s="124"/>
      <c r="N40" s="124"/>
      <c r="O40" s="123"/>
      <c r="P40" s="123"/>
      <c r="Q40" s="123"/>
      <c r="R40" s="123"/>
      <c r="S40" s="123"/>
      <c r="T40" s="123"/>
      <c r="U40" s="123"/>
    </row>
    <row r="41" spans="1:21" ht="31.9" customHeight="1" x14ac:dyDescent="0.25">
      <c r="A41" s="3"/>
      <c r="B41" s="336" t="s">
        <v>218</v>
      </c>
      <c r="C41" s="343" t="s">
        <v>219</v>
      </c>
      <c r="D41" s="298">
        <v>25</v>
      </c>
      <c r="E41" s="298">
        <v>24.1</v>
      </c>
      <c r="F41" s="296"/>
      <c r="G41" s="296"/>
      <c r="H41" s="291">
        <f t="shared" si="2"/>
        <v>0</v>
      </c>
      <c r="I41" s="296"/>
      <c r="J41" s="124"/>
      <c r="K41" s="124"/>
      <c r="L41" s="124"/>
      <c r="M41" s="124"/>
      <c r="N41" s="124"/>
      <c r="O41" s="123"/>
      <c r="P41" s="123"/>
      <c r="Q41" s="123"/>
      <c r="R41" s="123"/>
      <c r="S41" s="123"/>
      <c r="T41" s="123"/>
      <c r="U41" s="123"/>
    </row>
    <row r="42" spans="1:21" ht="31.9" customHeight="1" x14ac:dyDescent="0.25">
      <c r="A42" s="3"/>
      <c r="B42" s="336" t="s">
        <v>220</v>
      </c>
      <c r="C42" s="343" t="s">
        <v>17</v>
      </c>
      <c r="D42" s="298">
        <f>D40*D41/10</f>
        <v>1.25</v>
      </c>
      <c r="E42" s="298">
        <f>E40*E41/10</f>
        <v>1.2050000000000001</v>
      </c>
      <c r="F42" s="298">
        <f t="shared" ref="F42:G42" si="19">F40*F41/10</f>
        <v>0</v>
      </c>
      <c r="G42" s="298">
        <f t="shared" si="19"/>
        <v>0</v>
      </c>
      <c r="H42" s="291">
        <f t="shared" si="2"/>
        <v>0</v>
      </c>
      <c r="I42" s="296"/>
      <c r="J42" s="124"/>
      <c r="K42" s="124"/>
      <c r="L42" s="124"/>
      <c r="M42" s="124"/>
      <c r="N42" s="124"/>
      <c r="O42" s="123"/>
      <c r="P42" s="123"/>
      <c r="Q42" s="123"/>
      <c r="R42" s="123"/>
      <c r="S42" s="123"/>
      <c r="T42" s="123"/>
      <c r="U42" s="123"/>
    </row>
    <row r="43" spans="1:21" ht="31.9" customHeight="1" x14ac:dyDescent="0.25">
      <c r="A43" s="3">
        <v>4</v>
      </c>
      <c r="B43" s="335" t="s">
        <v>242</v>
      </c>
      <c r="C43" s="3" t="s">
        <v>6</v>
      </c>
      <c r="D43" s="291">
        <v>0.5</v>
      </c>
      <c r="E43" s="291">
        <v>0.5</v>
      </c>
      <c r="F43" s="291">
        <v>0.27</v>
      </c>
      <c r="G43" s="291">
        <f>F43</f>
        <v>0.27</v>
      </c>
      <c r="H43" s="291">
        <f t="shared" si="2"/>
        <v>54</v>
      </c>
      <c r="I43" s="291"/>
      <c r="J43" s="124"/>
      <c r="K43" s="124"/>
      <c r="L43" s="124"/>
      <c r="M43" s="124"/>
      <c r="N43" s="124"/>
      <c r="O43" s="123"/>
      <c r="P43" s="123"/>
      <c r="Q43" s="123"/>
      <c r="R43" s="123"/>
      <c r="S43" s="123"/>
      <c r="T43" s="123"/>
      <c r="U43" s="123"/>
    </row>
    <row r="44" spans="1:21" ht="31.9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1">
        <f t="shared" si="2"/>
        <v>0</v>
      </c>
      <c r="I44" s="296"/>
      <c r="J44" s="127"/>
      <c r="K44" s="127"/>
      <c r="L44" s="127"/>
      <c r="M44" s="127"/>
      <c r="N44" s="127"/>
    </row>
    <row r="45" spans="1:21" ht="31.9" customHeight="1" x14ac:dyDescent="0.25">
      <c r="A45" s="5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20">F43*F44/10</f>
        <v>0</v>
      </c>
      <c r="G45" s="296">
        <f t="shared" si="20"/>
        <v>0</v>
      </c>
      <c r="H45" s="291">
        <f t="shared" si="2"/>
        <v>0</v>
      </c>
      <c r="I45" s="296"/>
      <c r="J45" s="127"/>
      <c r="K45" s="127"/>
      <c r="L45" s="127"/>
      <c r="M45" s="127"/>
      <c r="N45" s="127"/>
    </row>
    <row r="46" spans="1:21" ht="31.9" customHeight="1" x14ac:dyDescent="0.25">
      <c r="A46" s="3">
        <v>5</v>
      </c>
      <c r="B46" s="335" t="s">
        <v>32</v>
      </c>
      <c r="C46" s="3" t="s">
        <v>6</v>
      </c>
      <c r="D46" s="291">
        <f>D47+D55+D64</f>
        <v>42.23</v>
      </c>
      <c r="E46" s="291">
        <f t="shared" ref="E46:G46" si="21">E47+E55+E64</f>
        <v>60.45</v>
      </c>
      <c r="F46" s="291">
        <f t="shared" si="21"/>
        <v>49.25</v>
      </c>
      <c r="G46" s="291">
        <f t="shared" si="21"/>
        <v>49.25</v>
      </c>
      <c r="H46" s="291">
        <f t="shared" si="2"/>
        <v>81.4722911497105</v>
      </c>
      <c r="I46" s="291"/>
      <c r="J46" s="127"/>
      <c r="K46" s="127"/>
      <c r="L46" s="127"/>
      <c r="M46" s="127"/>
      <c r="N46" s="127"/>
    </row>
    <row r="47" spans="1:21" ht="31.9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30.45</v>
      </c>
      <c r="E47" s="291">
        <f t="shared" ref="E47:G47" si="22">E48+E49</f>
        <v>40.450000000000003</v>
      </c>
      <c r="F47" s="291">
        <f t="shared" si="22"/>
        <v>30.45</v>
      </c>
      <c r="G47" s="291">
        <f t="shared" si="22"/>
        <v>30.45</v>
      </c>
      <c r="H47" s="291">
        <f t="shared" si="2"/>
        <v>75.278121137206426</v>
      </c>
      <c r="I47" s="291"/>
      <c r="J47" s="127"/>
      <c r="K47" s="127"/>
      <c r="L47" s="127"/>
      <c r="M47" s="127"/>
      <c r="N47" s="127"/>
    </row>
    <row r="48" spans="1:21" ht="31.9" customHeight="1" x14ac:dyDescent="0.25">
      <c r="A48" s="7" t="s">
        <v>24</v>
      </c>
      <c r="B48" s="383" t="s">
        <v>196</v>
      </c>
      <c r="C48" s="384" t="s">
        <v>6</v>
      </c>
      <c r="D48" s="296">
        <v>30.45</v>
      </c>
      <c r="E48" s="296">
        <f>D48+D49</f>
        <v>30.45</v>
      </c>
      <c r="F48" s="296">
        <v>30.45</v>
      </c>
      <c r="G48" s="296">
        <v>30.45</v>
      </c>
      <c r="H48" s="291">
        <f t="shared" si="2"/>
        <v>100</v>
      </c>
      <c r="I48" s="296"/>
      <c r="J48" s="121"/>
      <c r="K48" s="121"/>
      <c r="L48" s="121"/>
      <c r="M48" s="121"/>
      <c r="N48" s="121"/>
      <c r="O48" s="122"/>
      <c r="P48" s="122"/>
    </row>
    <row r="49" spans="1:20" s="131" customFormat="1" ht="31.9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0</v>
      </c>
      <c r="E49" s="291">
        <f t="shared" ref="E49:G49" si="23">E50+E51</f>
        <v>10</v>
      </c>
      <c r="F49" s="291">
        <f t="shared" si="23"/>
        <v>0</v>
      </c>
      <c r="G49" s="291">
        <f t="shared" si="23"/>
        <v>0</v>
      </c>
      <c r="H49" s="291">
        <f t="shared" si="2"/>
        <v>0</v>
      </c>
      <c r="I49" s="291"/>
      <c r="J49" s="213"/>
      <c r="K49" s="213"/>
      <c r="L49" s="213"/>
      <c r="M49" s="213"/>
      <c r="N49" s="213"/>
    </row>
    <row r="50" spans="1:20" ht="31.9" customHeight="1" x14ac:dyDescent="0.25">
      <c r="A50" s="384" t="s">
        <v>18</v>
      </c>
      <c r="B50" s="386" t="s">
        <v>194</v>
      </c>
      <c r="C50" s="384" t="s">
        <v>6</v>
      </c>
      <c r="D50" s="296"/>
      <c r="E50" s="296">
        <v>8</v>
      </c>
      <c r="F50" s="296">
        <v>0</v>
      </c>
      <c r="G50" s="296">
        <v>0</v>
      </c>
      <c r="H50" s="291">
        <f t="shared" si="2"/>
        <v>0</v>
      </c>
      <c r="I50" s="296"/>
      <c r="J50" s="127"/>
      <c r="K50" s="127"/>
      <c r="L50" s="127"/>
      <c r="M50" s="127"/>
      <c r="N50" s="127"/>
    </row>
    <row r="51" spans="1:20" ht="31.9" customHeight="1" x14ac:dyDescent="0.25">
      <c r="A51" s="384" t="s">
        <v>18</v>
      </c>
      <c r="B51" s="386" t="s">
        <v>35</v>
      </c>
      <c r="C51" s="5" t="s">
        <v>6</v>
      </c>
      <c r="D51" s="296"/>
      <c r="E51" s="296">
        <v>2</v>
      </c>
      <c r="F51" s="296">
        <v>0</v>
      </c>
      <c r="G51" s="296">
        <v>0</v>
      </c>
      <c r="H51" s="291">
        <f t="shared" si="2"/>
        <v>0</v>
      </c>
      <c r="I51" s="296"/>
      <c r="J51" s="127"/>
      <c r="K51" s="127"/>
      <c r="L51" s="127"/>
      <c r="M51" s="127"/>
      <c r="N51" s="127"/>
    </row>
    <row r="52" spans="1:20" s="131" customFormat="1" ht="31.9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16.759999999999998</v>
      </c>
      <c r="E52" s="291">
        <f t="shared" ref="E52:G52" si="24">E53+E54</f>
        <v>25.8825</v>
      </c>
      <c r="F52" s="291">
        <f t="shared" si="24"/>
        <v>25.88</v>
      </c>
      <c r="G52" s="291">
        <f t="shared" si="24"/>
        <v>25.88</v>
      </c>
      <c r="H52" s="291">
        <f t="shared" si="2"/>
        <v>99.990340963971789</v>
      </c>
      <c r="I52" s="291"/>
      <c r="J52" s="213"/>
      <c r="K52" s="213"/>
      <c r="L52" s="213"/>
      <c r="M52" s="213"/>
      <c r="N52" s="213"/>
    </row>
    <row r="53" spans="1:20" ht="31.9" customHeight="1" x14ac:dyDescent="0.25">
      <c r="A53" s="387" t="s">
        <v>18</v>
      </c>
      <c r="B53" s="386" t="s">
        <v>198</v>
      </c>
      <c r="C53" s="5" t="s">
        <v>6</v>
      </c>
      <c r="D53" s="296">
        <f>14.29-1.23</f>
        <v>13.059999999999999</v>
      </c>
      <c r="E53" s="296">
        <f>D48*85%</f>
        <v>25.8825</v>
      </c>
      <c r="F53" s="296">
        <v>25.88</v>
      </c>
      <c r="G53" s="296">
        <v>25.88</v>
      </c>
      <c r="H53" s="296">
        <f t="shared" si="2"/>
        <v>99.990340963971789</v>
      </c>
      <c r="I53" s="296"/>
      <c r="J53" s="127"/>
      <c r="K53" s="155"/>
      <c r="L53" s="216"/>
      <c r="M53" s="155"/>
      <c r="N53" s="155"/>
      <c r="O53" s="138"/>
      <c r="P53" s="138"/>
      <c r="Q53" s="138"/>
      <c r="R53" s="138"/>
      <c r="S53" s="138"/>
      <c r="T53" s="138"/>
    </row>
    <row r="54" spans="1:20" ht="31.9" customHeight="1" x14ac:dyDescent="0.25">
      <c r="A54" s="5"/>
      <c r="B54" s="386" t="s">
        <v>199</v>
      </c>
      <c r="C54" s="5" t="s">
        <v>6</v>
      </c>
      <c r="D54" s="296">
        <v>3.7</v>
      </c>
      <c r="E54" s="296"/>
      <c r="F54" s="296"/>
      <c r="G54" s="296"/>
      <c r="H54" s="291"/>
      <c r="I54" s="296"/>
      <c r="J54" s="127"/>
      <c r="K54" s="155"/>
      <c r="L54" s="155"/>
      <c r="M54" s="155"/>
      <c r="N54" s="155"/>
      <c r="O54" s="138"/>
      <c r="P54" s="138"/>
      <c r="Q54" s="138"/>
      <c r="R54" s="138"/>
      <c r="S54" s="138"/>
      <c r="T54" s="138"/>
    </row>
    <row r="55" spans="1:20" ht="31.9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11.78</v>
      </c>
      <c r="E55" s="291">
        <f t="shared" ref="E55:G55" si="25">E56+E57</f>
        <v>13.5</v>
      </c>
      <c r="F55" s="291">
        <f t="shared" si="25"/>
        <v>12.3</v>
      </c>
      <c r="G55" s="291">
        <f t="shared" si="25"/>
        <v>12.3</v>
      </c>
      <c r="H55" s="291">
        <f t="shared" si="2"/>
        <v>91.111111111111114</v>
      </c>
      <c r="I55" s="291"/>
      <c r="J55" s="127"/>
      <c r="K55" s="155"/>
      <c r="L55" s="155"/>
      <c r="M55" s="155"/>
      <c r="N55" s="155"/>
      <c r="O55" s="138"/>
      <c r="P55" s="138"/>
      <c r="Q55" s="138"/>
      <c r="R55" s="138"/>
      <c r="S55" s="138"/>
      <c r="T55" s="138"/>
    </row>
    <row r="56" spans="1:20" ht="31.9" customHeight="1" x14ac:dyDescent="0.25">
      <c r="A56" s="5" t="s">
        <v>24</v>
      </c>
      <c r="B56" s="383" t="s">
        <v>197</v>
      </c>
      <c r="C56" s="5" t="s">
        <v>6</v>
      </c>
      <c r="D56" s="296">
        <v>11.5</v>
      </c>
      <c r="E56" s="296">
        <f>D56+E58</f>
        <v>12.3</v>
      </c>
      <c r="F56" s="296">
        <v>12.3</v>
      </c>
      <c r="G56" s="296">
        <v>12.3</v>
      </c>
      <c r="H56" s="296">
        <f t="shared" si="2"/>
        <v>100</v>
      </c>
      <c r="I56" s="296"/>
      <c r="J56" s="127"/>
      <c r="K56" s="155"/>
      <c r="L56" s="155"/>
      <c r="M56" s="155"/>
      <c r="N56" s="155"/>
      <c r="O56" s="138"/>
      <c r="P56" s="138"/>
      <c r="Q56" s="138"/>
      <c r="R56" s="138"/>
      <c r="S56" s="138"/>
      <c r="T56" s="138"/>
    </row>
    <row r="57" spans="1:20" ht="31.9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0.28000000000000003</v>
      </c>
      <c r="E57" s="296">
        <f t="shared" ref="E57:G57" si="26">E58+E61</f>
        <v>1.2000000000000002</v>
      </c>
      <c r="F57" s="296">
        <f t="shared" si="26"/>
        <v>0</v>
      </c>
      <c r="G57" s="296">
        <f t="shared" si="26"/>
        <v>0</v>
      </c>
      <c r="H57" s="291">
        <f t="shared" si="2"/>
        <v>0</v>
      </c>
      <c r="I57" s="296"/>
      <c r="J57" s="127"/>
      <c r="K57" s="155"/>
      <c r="L57" s="155"/>
      <c r="M57" s="155"/>
      <c r="N57" s="155"/>
      <c r="O57" s="138"/>
      <c r="P57" s="138"/>
      <c r="Q57" s="138"/>
      <c r="R57" s="138"/>
      <c r="S57" s="138"/>
      <c r="T57" s="138"/>
    </row>
    <row r="58" spans="1:20" s="149" customFormat="1" ht="31.9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0.28000000000000003</v>
      </c>
      <c r="E58" s="299">
        <f>E59+E60</f>
        <v>0.8</v>
      </c>
      <c r="F58" s="299">
        <f t="shared" ref="F58:G58" si="27">F59+F60</f>
        <v>0</v>
      </c>
      <c r="G58" s="299">
        <f t="shared" si="27"/>
        <v>0</v>
      </c>
      <c r="H58" s="291">
        <f t="shared" si="2"/>
        <v>0</v>
      </c>
      <c r="I58" s="299"/>
      <c r="J58" s="217"/>
      <c r="K58" s="142"/>
      <c r="L58" s="142"/>
      <c r="M58" s="142"/>
      <c r="N58" s="142"/>
      <c r="O58" s="142"/>
      <c r="P58" s="142"/>
      <c r="Q58" s="156"/>
      <c r="R58" s="156"/>
      <c r="S58" s="156"/>
      <c r="T58" s="156"/>
    </row>
    <row r="59" spans="1:20" ht="31.9" customHeight="1" x14ac:dyDescent="0.25">
      <c r="A59" s="5" t="s">
        <v>18</v>
      </c>
      <c r="B59" s="383" t="s">
        <v>202</v>
      </c>
      <c r="C59" s="5" t="s">
        <v>6</v>
      </c>
      <c r="D59" s="296">
        <v>0.28000000000000003</v>
      </c>
      <c r="E59" s="296">
        <v>0.3</v>
      </c>
      <c r="F59" s="296">
        <v>0</v>
      </c>
      <c r="G59" s="296">
        <v>0</v>
      </c>
      <c r="H59" s="291">
        <f t="shared" si="2"/>
        <v>0</v>
      </c>
      <c r="I59" s="296"/>
      <c r="J59" s="214"/>
      <c r="K59" s="132"/>
      <c r="L59" s="114"/>
      <c r="M59" s="114"/>
      <c r="N59" s="114"/>
      <c r="O59" s="114"/>
      <c r="P59" s="114"/>
      <c r="Q59" s="138"/>
      <c r="R59" s="138"/>
      <c r="S59" s="138"/>
      <c r="T59" s="138"/>
    </row>
    <row r="60" spans="1:20" ht="31.9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0.5</v>
      </c>
      <c r="F60" s="296">
        <v>0</v>
      </c>
      <c r="G60" s="296">
        <v>0</v>
      </c>
      <c r="H60" s="291">
        <f t="shared" si="2"/>
        <v>0</v>
      </c>
      <c r="I60" s="296"/>
      <c r="J60" s="214"/>
      <c r="K60" s="132"/>
      <c r="L60" s="114"/>
      <c r="M60" s="114"/>
      <c r="N60" s="114"/>
      <c r="O60" s="114"/>
      <c r="P60" s="114"/>
      <c r="Q60" s="138"/>
      <c r="R60" s="138"/>
      <c r="S60" s="138"/>
      <c r="T60" s="138"/>
    </row>
    <row r="61" spans="1:20" s="149" customFormat="1" ht="31.9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0</v>
      </c>
      <c r="E61" s="299">
        <f>E62+E63</f>
        <v>0.4</v>
      </c>
      <c r="F61" s="299">
        <f t="shared" ref="F61:G61" si="28">F62+F63</f>
        <v>0</v>
      </c>
      <c r="G61" s="299">
        <f t="shared" si="28"/>
        <v>0</v>
      </c>
      <c r="H61" s="291">
        <f t="shared" si="2"/>
        <v>0</v>
      </c>
      <c r="I61" s="299"/>
      <c r="J61" s="214"/>
      <c r="K61" s="142"/>
      <c r="L61" s="142"/>
      <c r="M61" s="142"/>
      <c r="N61" s="142"/>
      <c r="O61" s="142"/>
      <c r="P61" s="159"/>
      <c r="Q61" s="156"/>
      <c r="R61" s="156"/>
      <c r="S61" s="156"/>
      <c r="T61" s="156"/>
    </row>
    <row r="62" spans="1:20" ht="31.9" customHeight="1" x14ac:dyDescent="0.25">
      <c r="A62" s="5" t="s">
        <v>18</v>
      </c>
      <c r="B62" s="383" t="s">
        <v>203</v>
      </c>
      <c r="C62" s="5" t="s">
        <v>6</v>
      </c>
      <c r="D62" s="296"/>
      <c r="E62" s="296">
        <v>0.3</v>
      </c>
      <c r="F62" s="296">
        <v>0</v>
      </c>
      <c r="G62" s="296">
        <v>0</v>
      </c>
      <c r="H62" s="291">
        <f t="shared" si="2"/>
        <v>0</v>
      </c>
      <c r="I62" s="296"/>
      <c r="J62" s="214"/>
      <c r="K62" s="132"/>
      <c r="L62" s="114"/>
      <c r="M62" s="114"/>
      <c r="N62" s="114"/>
      <c r="O62" s="114"/>
      <c r="P62" s="114"/>
      <c r="Q62" s="138"/>
      <c r="R62" s="138"/>
      <c r="S62" s="138"/>
      <c r="T62" s="138"/>
    </row>
    <row r="63" spans="1:20" ht="31.9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0.1</v>
      </c>
      <c r="F63" s="296">
        <v>0</v>
      </c>
      <c r="G63" s="296">
        <v>0</v>
      </c>
      <c r="H63" s="291">
        <f t="shared" si="2"/>
        <v>0</v>
      </c>
      <c r="I63" s="296"/>
      <c r="J63" s="214"/>
      <c r="K63" s="132"/>
      <c r="L63" s="114"/>
      <c r="M63" s="114"/>
      <c r="N63" s="114"/>
      <c r="O63" s="114"/>
      <c r="P63" s="114"/>
      <c r="Q63" s="138"/>
      <c r="R63" s="138"/>
      <c r="S63" s="138"/>
      <c r="T63" s="138"/>
    </row>
    <row r="64" spans="1:20" ht="31.9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0</v>
      </c>
      <c r="E64" s="291">
        <f t="shared" ref="E64:G64" si="29">E65+E66</f>
        <v>6.5</v>
      </c>
      <c r="F64" s="291">
        <f t="shared" si="29"/>
        <v>6.5</v>
      </c>
      <c r="G64" s="291">
        <f t="shared" si="29"/>
        <v>6.5</v>
      </c>
      <c r="H64" s="291">
        <f t="shared" si="2"/>
        <v>100</v>
      </c>
      <c r="I64" s="291"/>
      <c r="J64" s="127"/>
      <c r="K64" s="155"/>
      <c r="L64" s="155"/>
      <c r="M64" s="155"/>
      <c r="N64" s="155"/>
      <c r="O64" s="138"/>
      <c r="P64" s="138"/>
      <c r="Q64" s="138"/>
      <c r="R64" s="138"/>
      <c r="S64" s="138"/>
      <c r="T64" s="138"/>
    </row>
    <row r="65" spans="1:20" ht="31.9" customHeight="1" x14ac:dyDescent="0.25">
      <c r="A65" s="5" t="s">
        <v>18</v>
      </c>
      <c r="B65" s="383" t="s">
        <v>196</v>
      </c>
      <c r="C65" s="5" t="s">
        <v>6</v>
      </c>
      <c r="D65" s="296"/>
      <c r="E65" s="296">
        <v>6.5</v>
      </c>
      <c r="F65" s="296">
        <v>6.5</v>
      </c>
      <c r="G65" s="296">
        <v>6.5</v>
      </c>
      <c r="H65" s="296">
        <f t="shared" si="2"/>
        <v>100</v>
      </c>
      <c r="I65" s="296"/>
      <c r="J65" s="127"/>
      <c r="K65" s="155"/>
      <c r="L65" s="155"/>
      <c r="M65" s="155"/>
      <c r="N65" s="155"/>
      <c r="O65" s="138"/>
      <c r="P65" s="138"/>
      <c r="Q65" s="138"/>
      <c r="R65" s="138"/>
      <c r="S65" s="138"/>
      <c r="T65" s="138"/>
    </row>
    <row r="66" spans="1:20" ht="31.9" customHeight="1" x14ac:dyDescent="0.25">
      <c r="A66" s="5" t="s">
        <v>18</v>
      </c>
      <c r="B66" s="337" t="s">
        <v>31</v>
      </c>
      <c r="C66" s="5" t="s">
        <v>6</v>
      </c>
      <c r="D66" s="296"/>
      <c r="E66" s="296"/>
      <c r="F66" s="296"/>
      <c r="G66" s="296"/>
      <c r="H66" s="291"/>
      <c r="I66" s="296"/>
      <c r="J66" s="127"/>
      <c r="K66" s="155"/>
      <c r="L66" s="155"/>
      <c r="M66" s="155"/>
      <c r="N66" s="155"/>
      <c r="O66" s="138"/>
      <c r="P66" s="138"/>
      <c r="Q66" s="138"/>
      <c r="R66" s="138"/>
      <c r="S66" s="138"/>
      <c r="T66" s="138"/>
    </row>
    <row r="67" spans="1:20" ht="31.9" customHeight="1" x14ac:dyDescent="0.25">
      <c r="A67" s="3">
        <v>6</v>
      </c>
      <c r="B67" s="335" t="s">
        <v>38</v>
      </c>
      <c r="C67" s="3" t="s">
        <v>6</v>
      </c>
      <c r="D67" s="291">
        <f>D68+D71</f>
        <v>21.57</v>
      </c>
      <c r="E67" s="291">
        <f t="shared" ref="E67:G67" si="30">E68+E71</f>
        <v>21.84</v>
      </c>
      <c r="F67" s="291">
        <f t="shared" si="30"/>
        <v>21.57</v>
      </c>
      <c r="G67" s="291">
        <f t="shared" si="30"/>
        <v>21.57</v>
      </c>
      <c r="H67" s="291">
        <f t="shared" si="2"/>
        <v>98.763736263736263</v>
      </c>
      <c r="I67" s="291"/>
      <c r="J67" s="127"/>
      <c r="K67" s="155"/>
      <c r="L67" s="155"/>
      <c r="M67" s="155"/>
      <c r="N67" s="155"/>
      <c r="O67" s="138"/>
      <c r="P67" s="138"/>
      <c r="Q67" s="138"/>
      <c r="R67" s="138"/>
      <c r="S67" s="138"/>
      <c r="T67" s="138"/>
    </row>
    <row r="68" spans="1:20" ht="31.9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0</v>
      </c>
      <c r="E68" s="291">
        <f t="shared" ref="E68:G68" si="31">E69+E70</f>
        <v>0</v>
      </c>
      <c r="F68" s="291">
        <f t="shared" si="31"/>
        <v>0</v>
      </c>
      <c r="G68" s="291">
        <f t="shared" si="31"/>
        <v>0</v>
      </c>
      <c r="H68" s="291"/>
      <c r="I68" s="291"/>
      <c r="J68" s="127"/>
      <c r="K68" s="155"/>
      <c r="L68" s="155"/>
      <c r="M68" s="155"/>
      <c r="N68" s="155"/>
      <c r="O68" s="138"/>
      <c r="P68" s="138"/>
      <c r="Q68" s="138"/>
      <c r="R68" s="138"/>
      <c r="S68" s="138"/>
      <c r="T68" s="138"/>
    </row>
    <row r="69" spans="1:20" ht="31.9" customHeight="1" x14ac:dyDescent="0.25">
      <c r="A69" s="5" t="s">
        <v>18</v>
      </c>
      <c r="B69" s="383" t="s">
        <v>205</v>
      </c>
      <c r="C69" s="5" t="s">
        <v>6</v>
      </c>
      <c r="D69" s="296"/>
      <c r="E69" s="296"/>
      <c r="F69" s="296"/>
      <c r="G69" s="296"/>
      <c r="H69" s="291"/>
      <c r="I69" s="296"/>
      <c r="J69" s="127"/>
      <c r="K69" s="155"/>
      <c r="L69" s="155"/>
      <c r="M69" s="155"/>
      <c r="N69" s="155"/>
      <c r="O69" s="138"/>
      <c r="P69" s="138"/>
      <c r="Q69" s="138"/>
      <c r="R69" s="138"/>
      <c r="S69" s="138"/>
      <c r="T69" s="138"/>
    </row>
    <row r="70" spans="1:20" ht="31.9" customHeight="1" x14ac:dyDescent="0.25">
      <c r="A70" s="5" t="s">
        <v>18</v>
      </c>
      <c r="B70" s="383" t="s">
        <v>206</v>
      </c>
      <c r="C70" s="5" t="s">
        <v>6</v>
      </c>
      <c r="D70" s="296"/>
      <c r="E70" s="296"/>
      <c r="F70" s="296"/>
      <c r="G70" s="296"/>
      <c r="H70" s="291"/>
      <c r="I70" s="296"/>
      <c r="J70" s="127"/>
      <c r="K70" s="155"/>
      <c r="L70" s="155"/>
      <c r="M70" s="155"/>
      <c r="N70" s="155"/>
      <c r="O70" s="138"/>
      <c r="P70" s="138"/>
      <c r="Q70" s="138"/>
      <c r="R70" s="138"/>
      <c r="S70" s="138"/>
      <c r="T70" s="138"/>
    </row>
    <row r="71" spans="1:20" ht="31.9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21.57</v>
      </c>
      <c r="E71" s="291">
        <f t="shared" ref="E71:G71" si="32">E72+E73</f>
        <v>21.84</v>
      </c>
      <c r="F71" s="291">
        <f t="shared" si="32"/>
        <v>21.57</v>
      </c>
      <c r="G71" s="291">
        <f t="shared" si="32"/>
        <v>21.57</v>
      </c>
      <c r="H71" s="291">
        <f t="shared" si="2"/>
        <v>98.763736263736263</v>
      </c>
      <c r="I71" s="291"/>
      <c r="J71" s="127"/>
      <c r="K71" s="155"/>
      <c r="L71" s="155"/>
      <c r="M71" s="155"/>
      <c r="N71" s="155"/>
      <c r="O71" s="138"/>
      <c r="P71" s="138"/>
      <c r="Q71" s="138"/>
      <c r="R71" s="138"/>
      <c r="S71" s="138"/>
      <c r="T71" s="138"/>
    </row>
    <row r="72" spans="1:20" ht="31.9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21.07</v>
      </c>
      <c r="E72" s="302">
        <f t="shared" ref="E72:G73" si="33">E75+E82</f>
        <v>21.57</v>
      </c>
      <c r="F72" s="302">
        <f t="shared" si="33"/>
        <v>21.57</v>
      </c>
      <c r="G72" s="302">
        <f t="shared" si="33"/>
        <v>21.57</v>
      </c>
      <c r="H72" s="291">
        <f t="shared" si="2"/>
        <v>100</v>
      </c>
      <c r="I72" s="302"/>
      <c r="J72" s="127"/>
      <c r="K72" s="155"/>
      <c r="L72" s="155"/>
      <c r="M72" s="155"/>
      <c r="N72" s="155"/>
      <c r="O72" s="138"/>
      <c r="P72" s="138"/>
      <c r="Q72" s="138"/>
      <c r="R72" s="138"/>
      <c r="S72" s="138"/>
      <c r="T72" s="138"/>
    </row>
    <row r="73" spans="1:20" ht="31.9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0.5</v>
      </c>
      <c r="E73" s="291">
        <f t="shared" si="33"/>
        <v>0.27</v>
      </c>
      <c r="F73" s="291">
        <f t="shared" si="33"/>
        <v>0</v>
      </c>
      <c r="G73" s="291">
        <f t="shared" si="33"/>
        <v>0</v>
      </c>
      <c r="H73" s="291">
        <f t="shared" si="2"/>
        <v>0</v>
      </c>
      <c r="I73" s="291"/>
      <c r="J73" s="213"/>
      <c r="K73" s="228"/>
      <c r="L73" s="228"/>
      <c r="M73" s="228"/>
      <c r="N73" s="228"/>
      <c r="O73" s="138"/>
      <c r="P73" s="138"/>
      <c r="Q73" s="138"/>
      <c r="R73" s="138"/>
      <c r="S73" s="138"/>
      <c r="T73" s="138"/>
    </row>
    <row r="74" spans="1:20" ht="31.9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15.98</v>
      </c>
      <c r="E74" s="304">
        <f t="shared" ref="E74:G74" si="34">E75+E76</f>
        <v>15.98</v>
      </c>
      <c r="F74" s="304">
        <f t="shared" si="34"/>
        <v>15.98</v>
      </c>
      <c r="G74" s="304">
        <f t="shared" si="34"/>
        <v>15.98</v>
      </c>
      <c r="H74" s="313">
        <f t="shared" ref="H74:H97" si="35">F74/E74*100</f>
        <v>100</v>
      </c>
      <c r="I74" s="304"/>
      <c r="J74" s="144"/>
      <c r="K74" s="229"/>
      <c r="L74" s="150"/>
      <c r="M74" s="150"/>
      <c r="N74" s="150"/>
      <c r="O74" s="150"/>
      <c r="P74" s="150"/>
      <c r="Q74" s="150"/>
      <c r="R74" s="138"/>
      <c r="S74" s="138"/>
      <c r="T74" s="138"/>
    </row>
    <row r="75" spans="1:20" ht="31.9" customHeight="1" x14ac:dyDescent="0.25">
      <c r="A75" s="7" t="s">
        <v>24</v>
      </c>
      <c r="B75" s="391" t="s">
        <v>196</v>
      </c>
      <c r="C75" s="5" t="s">
        <v>6</v>
      </c>
      <c r="D75" s="306">
        <v>15.48</v>
      </c>
      <c r="E75" s="306">
        <f>D75+D76</f>
        <v>15.98</v>
      </c>
      <c r="F75" s="306">
        <v>15.98</v>
      </c>
      <c r="G75" s="306">
        <v>15.98</v>
      </c>
      <c r="H75" s="296">
        <f t="shared" si="35"/>
        <v>100</v>
      </c>
      <c r="I75" s="296"/>
      <c r="J75" s="127"/>
      <c r="K75" s="155"/>
      <c r="L75" s="132"/>
      <c r="M75" s="132"/>
      <c r="N75" s="132"/>
      <c r="O75" s="147"/>
      <c r="P75" s="147"/>
      <c r="Q75" s="147"/>
      <c r="R75" s="138"/>
      <c r="S75" s="138"/>
      <c r="T75" s="138"/>
    </row>
    <row r="76" spans="1:20" ht="31.9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0.5</v>
      </c>
      <c r="E76" s="307">
        <f>SUM(E77:E80)</f>
        <v>0</v>
      </c>
      <c r="F76" s="307">
        <f t="shared" ref="F76:G76" si="36">SUM(F77:F80)</f>
        <v>0</v>
      </c>
      <c r="G76" s="307">
        <f t="shared" si="36"/>
        <v>0</v>
      </c>
      <c r="H76" s="291"/>
      <c r="I76" s="307"/>
      <c r="J76" s="217"/>
      <c r="K76" s="218"/>
      <c r="L76" s="142"/>
      <c r="M76" s="142"/>
      <c r="N76" s="142"/>
      <c r="O76" s="147"/>
      <c r="P76" s="147"/>
      <c r="Q76" s="147"/>
      <c r="R76" s="138"/>
      <c r="S76" s="138"/>
      <c r="T76" s="138"/>
    </row>
    <row r="77" spans="1:20" ht="31.9" customHeight="1" x14ac:dyDescent="0.25">
      <c r="A77" s="4" t="s">
        <v>18</v>
      </c>
      <c r="B77" s="393" t="s">
        <v>212</v>
      </c>
      <c r="C77" s="4" t="s">
        <v>6</v>
      </c>
      <c r="D77" s="296"/>
      <c r="E77" s="296"/>
      <c r="F77" s="296"/>
      <c r="G77" s="296"/>
      <c r="H77" s="291"/>
      <c r="I77" s="296"/>
      <c r="J77" s="217"/>
      <c r="K77" s="218"/>
      <c r="L77" s="142"/>
      <c r="M77" s="230"/>
      <c r="N77" s="230"/>
      <c r="O77" s="147"/>
      <c r="P77" s="157"/>
      <c r="Q77" s="157"/>
      <c r="R77" s="138"/>
      <c r="S77" s="138"/>
      <c r="T77" s="138"/>
    </row>
    <row r="78" spans="1:20" ht="31.9" customHeight="1" x14ac:dyDescent="0.25">
      <c r="A78" s="4" t="s">
        <v>18</v>
      </c>
      <c r="B78" s="393" t="s">
        <v>189</v>
      </c>
      <c r="C78" s="4" t="s">
        <v>6</v>
      </c>
      <c r="D78" s="296"/>
      <c r="E78" s="296">
        <v>0</v>
      </c>
      <c r="F78" s="296"/>
      <c r="G78" s="296"/>
      <c r="H78" s="291"/>
      <c r="I78" s="296"/>
      <c r="J78" s="217"/>
      <c r="K78" s="218"/>
      <c r="L78" s="142"/>
      <c r="M78" s="142"/>
      <c r="N78" s="142"/>
      <c r="O78" s="147"/>
      <c r="P78" s="147"/>
      <c r="Q78" s="147"/>
      <c r="R78" s="138"/>
      <c r="S78" s="138"/>
      <c r="T78" s="138"/>
    </row>
    <row r="79" spans="1:20" ht="31.9" customHeight="1" x14ac:dyDescent="0.25">
      <c r="A79" s="4" t="s">
        <v>18</v>
      </c>
      <c r="B79" s="393" t="s">
        <v>190</v>
      </c>
      <c r="C79" s="4" t="s">
        <v>6</v>
      </c>
      <c r="D79" s="296"/>
      <c r="E79" s="296"/>
      <c r="F79" s="296"/>
      <c r="G79" s="296"/>
      <c r="H79" s="291"/>
      <c r="I79" s="296"/>
      <c r="J79" s="217"/>
      <c r="K79" s="218"/>
      <c r="L79" s="142"/>
      <c r="M79" s="142"/>
      <c r="N79" s="142"/>
      <c r="O79" s="147"/>
      <c r="P79" s="147"/>
      <c r="Q79" s="147"/>
      <c r="R79" s="138"/>
      <c r="S79" s="138"/>
      <c r="T79" s="138"/>
    </row>
    <row r="80" spans="1:20" ht="31.9" customHeight="1" x14ac:dyDescent="0.25">
      <c r="A80" s="4" t="s">
        <v>18</v>
      </c>
      <c r="B80" s="394" t="s">
        <v>208</v>
      </c>
      <c r="C80" s="4" t="s">
        <v>6</v>
      </c>
      <c r="D80" s="296">
        <v>0.5</v>
      </c>
      <c r="E80" s="296"/>
      <c r="F80" s="296"/>
      <c r="G80" s="296"/>
      <c r="H80" s="291"/>
      <c r="I80" s="296"/>
      <c r="J80" s="217"/>
      <c r="K80" s="218"/>
      <c r="L80" s="142"/>
      <c r="M80" s="142"/>
      <c r="N80" s="142"/>
      <c r="O80" s="147"/>
      <c r="P80" s="147"/>
      <c r="Q80" s="147"/>
      <c r="R80" s="138"/>
      <c r="S80" s="138"/>
      <c r="T80" s="138"/>
    </row>
    <row r="81" spans="1:20" s="152" customFormat="1" ht="31.9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5.59</v>
      </c>
      <c r="E81" s="304">
        <f t="shared" ref="E81:G81" si="37">E82+E83</f>
        <v>5.8599999999999994</v>
      </c>
      <c r="F81" s="304">
        <f t="shared" si="37"/>
        <v>5.59</v>
      </c>
      <c r="G81" s="304">
        <f t="shared" si="37"/>
        <v>5.59</v>
      </c>
      <c r="H81" s="313">
        <f t="shared" si="35"/>
        <v>95.392491467576804</v>
      </c>
      <c r="I81" s="304"/>
      <c r="J81" s="144"/>
      <c r="K81" s="229"/>
      <c r="L81" s="150"/>
      <c r="M81" s="150"/>
      <c r="N81" s="150"/>
      <c r="O81" s="150"/>
      <c r="P81" s="150"/>
      <c r="Q81" s="150"/>
      <c r="R81" s="158"/>
      <c r="S81" s="158"/>
      <c r="T81" s="158"/>
    </row>
    <row r="82" spans="1:20" s="149" customFormat="1" ht="31.9" customHeight="1" x14ac:dyDescent="0.25">
      <c r="A82" s="392" t="s">
        <v>18</v>
      </c>
      <c r="B82" s="393" t="s">
        <v>188</v>
      </c>
      <c r="C82" s="4" t="s">
        <v>6</v>
      </c>
      <c r="D82" s="299">
        <v>5.59</v>
      </c>
      <c r="E82" s="299">
        <f>D82+D83</f>
        <v>5.59</v>
      </c>
      <c r="F82" s="299">
        <v>5.59</v>
      </c>
      <c r="G82" s="299">
        <v>5.59</v>
      </c>
      <c r="H82" s="296">
        <f t="shared" si="35"/>
        <v>100</v>
      </c>
      <c r="I82" s="299"/>
      <c r="J82" s="217"/>
      <c r="K82" s="218"/>
      <c r="L82" s="142"/>
      <c r="M82" s="142"/>
      <c r="N82" s="142"/>
      <c r="O82" s="159"/>
      <c r="P82" s="159"/>
      <c r="Q82" s="159"/>
      <c r="R82" s="156"/>
      <c r="S82" s="156"/>
      <c r="T82" s="156"/>
    </row>
    <row r="83" spans="1:20" ht="31.9" customHeight="1" x14ac:dyDescent="0.25">
      <c r="A83" s="392" t="s">
        <v>15</v>
      </c>
      <c r="B83" s="389" t="s">
        <v>210</v>
      </c>
      <c r="C83" s="5" t="s">
        <v>6</v>
      </c>
      <c r="D83" s="306">
        <f t="shared" ref="D83:G83" si="38">SUM(D84:D87)</f>
        <v>0</v>
      </c>
      <c r="E83" s="306">
        <f>SUM(E84:E87)</f>
        <v>0.27</v>
      </c>
      <c r="F83" s="306">
        <f t="shared" si="38"/>
        <v>0</v>
      </c>
      <c r="G83" s="306">
        <f t="shared" si="38"/>
        <v>0</v>
      </c>
      <c r="H83" s="291">
        <f t="shared" si="35"/>
        <v>0</v>
      </c>
      <c r="I83" s="306"/>
      <c r="J83" s="217"/>
      <c r="K83" s="218"/>
      <c r="L83" s="142"/>
      <c r="M83" s="142"/>
      <c r="N83" s="142"/>
      <c r="O83" s="147"/>
      <c r="P83" s="147"/>
      <c r="Q83" s="147"/>
      <c r="R83" s="138"/>
      <c r="S83" s="138"/>
      <c r="T83" s="138"/>
    </row>
    <row r="84" spans="1:20" ht="31.9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291"/>
      <c r="I84" s="296"/>
      <c r="J84" s="219"/>
      <c r="K84" s="142"/>
      <c r="L84" s="142"/>
      <c r="M84" s="142"/>
      <c r="N84" s="142"/>
      <c r="O84" s="138"/>
      <c r="P84" s="138"/>
      <c r="Q84" s="138"/>
      <c r="R84" s="138"/>
      <c r="S84" s="138"/>
      <c r="T84" s="138"/>
    </row>
    <row r="85" spans="1:20" ht="31.9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291"/>
      <c r="I85" s="296"/>
      <c r="J85" s="219"/>
      <c r="K85" s="142"/>
      <c r="L85" s="142"/>
      <c r="M85" s="142"/>
      <c r="N85" s="142"/>
      <c r="O85" s="138"/>
      <c r="P85" s="138"/>
      <c r="Q85" s="138"/>
      <c r="R85" s="138"/>
      <c r="S85" s="138"/>
      <c r="T85" s="138"/>
    </row>
    <row r="86" spans="1:20" ht="31.9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291"/>
      <c r="I86" s="296"/>
      <c r="J86" s="219"/>
      <c r="K86" s="142"/>
      <c r="L86" s="142"/>
      <c r="M86" s="142"/>
      <c r="N86" s="147"/>
      <c r="O86" s="147"/>
      <c r="P86" s="147"/>
      <c r="Q86" s="147"/>
      <c r="R86" s="138"/>
      <c r="S86" s="138"/>
      <c r="T86" s="138"/>
    </row>
    <row r="87" spans="1:20" ht="31.9" customHeight="1" x14ac:dyDescent="0.25">
      <c r="A87" s="392" t="s">
        <v>18</v>
      </c>
      <c r="B87" s="393" t="s">
        <v>193</v>
      </c>
      <c r="C87" s="4" t="s">
        <v>6</v>
      </c>
      <c r="D87" s="296"/>
      <c r="E87" s="296">
        <v>0.27</v>
      </c>
      <c r="F87" s="296">
        <v>0</v>
      </c>
      <c r="G87" s="296">
        <v>0</v>
      </c>
      <c r="H87" s="291">
        <f t="shared" si="35"/>
        <v>0</v>
      </c>
      <c r="I87" s="296"/>
      <c r="J87" s="219"/>
      <c r="K87" s="142"/>
      <c r="L87" s="142"/>
      <c r="M87" s="230"/>
      <c r="N87" s="230"/>
      <c r="O87" s="157"/>
      <c r="P87" s="157"/>
      <c r="Q87" s="157"/>
      <c r="R87" s="141"/>
      <c r="S87" s="138"/>
      <c r="T87" s="138"/>
    </row>
    <row r="88" spans="1:20" ht="31.9" customHeight="1" x14ac:dyDescent="0.25">
      <c r="A88" s="3" t="s">
        <v>44</v>
      </c>
      <c r="B88" s="334" t="s">
        <v>45</v>
      </c>
      <c r="C88" s="3"/>
      <c r="D88" s="291">
        <f>SUM(D89:D93)</f>
        <v>641</v>
      </c>
      <c r="E88" s="291">
        <f t="shared" ref="E88:G88" si="39">SUM(E89:E93)</f>
        <v>524</v>
      </c>
      <c r="F88" s="291">
        <f t="shared" si="39"/>
        <v>433</v>
      </c>
      <c r="G88" s="291">
        <f t="shared" si="39"/>
        <v>433</v>
      </c>
      <c r="H88" s="291">
        <f t="shared" si="35"/>
        <v>82.63358778625954</v>
      </c>
      <c r="I88" s="291"/>
      <c r="J88" s="128"/>
      <c r="K88" s="132"/>
      <c r="L88" s="136"/>
      <c r="M88" s="136"/>
      <c r="N88" s="132"/>
      <c r="O88" s="138"/>
      <c r="P88" s="138"/>
      <c r="Q88" s="138"/>
      <c r="R88" s="138"/>
      <c r="S88" s="138"/>
      <c r="T88" s="138"/>
    </row>
    <row r="89" spans="1:20" s="194" customFormat="1" ht="31.9" customHeight="1" x14ac:dyDescent="0.25">
      <c r="A89" s="5">
        <v>1</v>
      </c>
      <c r="B89" s="337" t="s">
        <v>46</v>
      </c>
      <c r="C89" s="5" t="s">
        <v>8</v>
      </c>
      <c r="D89" s="296">
        <v>58</v>
      </c>
      <c r="E89" s="296">
        <f>20+10</f>
        <v>30</v>
      </c>
      <c r="F89" s="296">
        <v>29</v>
      </c>
      <c r="G89" s="296">
        <f>F89</f>
        <v>29</v>
      </c>
      <c r="H89" s="291">
        <f t="shared" si="35"/>
        <v>96.666666666666671</v>
      </c>
      <c r="I89" s="296"/>
      <c r="J89" s="222"/>
      <c r="K89" s="171"/>
      <c r="L89" s="318"/>
      <c r="M89" s="319"/>
      <c r="N89" s="171"/>
      <c r="O89" s="202"/>
      <c r="P89" s="202"/>
      <c r="Q89" s="202"/>
      <c r="R89" s="202"/>
      <c r="S89" s="202"/>
      <c r="T89" s="202"/>
    </row>
    <row r="90" spans="1:20" s="194" customFormat="1" ht="31.9" customHeight="1" x14ac:dyDescent="0.25">
      <c r="A90" s="5">
        <v>2</v>
      </c>
      <c r="B90" s="337" t="s">
        <v>47</v>
      </c>
      <c r="C90" s="5" t="s">
        <v>8</v>
      </c>
      <c r="D90" s="296">
        <f>97+5</f>
        <v>102</v>
      </c>
      <c r="E90" s="296">
        <f>99+16</f>
        <v>115</v>
      </c>
      <c r="F90" s="296">
        <v>111</v>
      </c>
      <c r="G90" s="296">
        <f>F90</f>
        <v>111</v>
      </c>
      <c r="H90" s="291">
        <f t="shared" si="35"/>
        <v>96.521739130434781</v>
      </c>
      <c r="I90" s="296"/>
      <c r="J90" s="222"/>
      <c r="K90" s="215"/>
      <c r="L90" s="318"/>
      <c r="M90" s="319"/>
      <c r="N90" s="231"/>
      <c r="O90" s="202"/>
      <c r="P90" s="202"/>
      <c r="Q90" s="202"/>
      <c r="R90" s="202"/>
      <c r="S90" s="202"/>
      <c r="T90" s="202"/>
    </row>
    <row r="91" spans="1:20" ht="31.9" customHeight="1" x14ac:dyDescent="0.25">
      <c r="A91" s="5">
        <v>3</v>
      </c>
      <c r="B91" s="337" t="s">
        <v>48</v>
      </c>
      <c r="C91" s="5" t="s">
        <v>8</v>
      </c>
      <c r="D91" s="296">
        <v>55</v>
      </c>
      <c r="E91" s="296">
        <v>2</v>
      </c>
      <c r="F91" s="296">
        <v>2</v>
      </c>
      <c r="G91" s="296">
        <f>F91</f>
        <v>2</v>
      </c>
      <c r="H91" s="296">
        <f t="shared" si="35"/>
        <v>100</v>
      </c>
      <c r="I91" s="296"/>
      <c r="J91" s="128"/>
      <c r="K91" s="116"/>
      <c r="L91" s="318"/>
      <c r="M91" s="319"/>
      <c r="N91" s="116"/>
      <c r="O91" s="138"/>
      <c r="P91" s="138"/>
      <c r="Q91" s="138"/>
      <c r="R91" s="138"/>
      <c r="S91" s="138"/>
      <c r="T91" s="138"/>
    </row>
    <row r="92" spans="1:20" ht="31.9" customHeight="1" x14ac:dyDescent="0.25">
      <c r="A92" s="5">
        <v>4</v>
      </c>
      <c r="B92" s="337" t="s">
        <v>49</v>
      </c>
      <c r="C92" s="5" t="s">
        <v>8</v>
      </c>
      <c r="D92" s="296"/>
      <c r="E92" s="296"/>
      <c r="F92" s="296"/>
      <c r="G92" s="296"/>
      <c r="H92" s="291"/>
      <c r="I92" s="296"/>
      <c r="J92" s="128"/>
      <c r="K92" s="132"/>
      <c r="L92" s="320"/>
      <c r="M92" s="319"/>
      <c r="N92" s="132"/>
      <c r="O92" s="138"/>
      <c r="P92" s="138"/>
      <c r="Q92" s="138"/>
      <c r="R92" s="138"/>
      <c r="S92" s="138"/>
      <c r="T92" s="138"/>
    </row>
    <row r="93" spans="1:20" s="194" customFormat="1" ht="31.9" customHeight="1" x14ac:dyDescent="0.25">
      <c r="A93" s="5">
        <v>5</v>
      </c>
      <c r="B93" s="337" t="s">
        <v>50</v>
      </c>
      <c r="C93" s="5" t="s">
        <v>8</v>
      </c>
      <c r="D93" s="296">
        <v>426</v>
      </c>
      <c r="E93" s="296">
        <f>417-40</f>
        <v>377</v>
      </c>
      <c r="F93" s="296">
        <v>291</v>
      </c>
      <c r="G93" s="296">
        <f>F93</f>
        <v>291</v>
      </c>
      <c r="H93" s="296">
        <f t="shared" si="35"/>
        <v>77.188328912466844</v>
      </c>
      <c r="I93" s="296"/>
      <c r="J93" s="267"/>
      <c r="K93" s="215"/>
      <c r="L93" s="320"/>
      <c r="M93" s="319"/>
      <c r="N93" s="231"/>
      <c r="O93" s="202"/>
      <c r="P93" s="202"/>
      <c r="Q93" s="202"/>
      <c r="R93" s="202"/>
      <c r="S93" s="202"/>
      <c r="T93" s="202"/>
    </row>
    <row r="94" spans="1:20" s="131" customFormat="1" ht="31.9" customHeight="1" x14ac:dyDescent="0.25">
      <c r="A94" s="3" t="s">
        <v>51</v>
      </c>
      <c r="B94" s="335" t="s">
        <v>52</v>
      </c>
      <c r="C94" s="3" t="s">
        <v>6</v>
      </c>
      <c r="D94" s="291">
        <f>D95</f>
        <v>0</v>
      </c>
      <c r="E94" s="291">
        <f t="shared" ref="E94:G94" si="40">E95</f>
        <v>0.5</v>
      </c>
      <c r="F94" s="291">
        <f>F95</f>
        <v>0.5</v>
      </c>
      <c r="G94" s="291">
        <f t="shared" si="40"/>
        <v>0.5</v>
      </c>
      <c r="H94" s="291">
        <f t="shared" si="35"/>
        <v>100</v>
      </c>
      <c r="I94" s="291"/>
      <c r="J94" s="321"/>
      <c r="K94" s="200"/>
      <c r="L94" s="129"/>
      <c r="M94" s="129"/>
      <c r="N94" s="129"/>
      <c r="O94" s="143"/>
      <c r="P94" s="143"/>
      <c r="Q94" s="143"/>
      <c r="R94" s="143"/>
      <c r="S94" s="143"/>
      <c r="T94" s="143"/>
    </row>
    <row r="95" spans="1:20" ht="31.9" customHeight="1" x14ac:dyDescent="0.25">
      <c r="A95" s="4" t="s">
        <v>18</v>
      </c>
      <c r="B95" s="389" t="s">
        <v>53</v>
      </c>
      <c r="C95" s="4" t="s">
        <v>6</v>
      </c>
      <c r="D95" s="296"/>
      <c r="E95" s="296">
        <v>0.5</v>
      </c>
      <c r="F95" s="296">
        <v>0.5</v>
      </c>
      <c r="G95" s="296">
        <v>0.5</v>
      </c>
      <c r="H95" s="296">
        <f t="shared" si="35"/>
        <v>100</v>
      </c>
      <c r="I95" s="296"/>
      <c r="J95" s="128"/>
      <c r="K95" s="116"/>
      <c r="L95" s="116"/>
      <c r="M95" s="116"/>
      <c r="N95" s="116"/>
      <c r="O95" s="138"/>
      <c r="P95" s="138"/>
      <c r="Q95" s="138"/>
      <c r="R95" s="138"/>
      <c r="S95" s="138"/>
      <c r="T95" s="138"/>
    </row>
    <row r="96" spans="1:20" ht="31.9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0</v>
      </c>
      <c r="E96" s="291">
        <f t="shared" ref="E96:G96" si="41">E97+E98</f>
        <v>2.1</v>
      </c>
      <c r="F96" s="291">
        <f t="shared" si="41"/>
        <v>0</v>
      </c>
      <c r="G96" s="291">
        <f t="shared" si="41"/>
        <v>0</v>
      </c>
      <c r="H96" s="291">
        <f t="shared" si="35"/>
        <v>0</v>
      </c>
      <c r="I96" s="291"/>
      <c r="J96" s="128"/>
      <c r="K96" s="132"/>
      <c r="L96" s="132"/>
      <c r="M96" s="132"/>
      <c r="N96" s="132"/>
      <c r="O96" s="138"/>
      <c r="P96" s="138"/>
      <c r="Q96" s="138"/>
      <c r="R96" s="138"/>
      <c r="S96" s="138"/>
      <c r="T96" s="138"/>
    </row>
    <row r="97" spans="1:20" ht="31.9" customHeight="1" x14ac:dyDescent="0.25">
      <c r="A97" s="5" t="s">
        <v>18</v>
      </c>
      <c r="B97" s="391" t="s">
        <v>213</v>
      </c>
      <c r="C97" s="4" t="s">
        <v>6</v>
      </c>
      <c r="D97" s="296"/>
      <c r="E97" s="296">
        <v>2.1</v>
      </c>
      <c r="F97" s="296"/>
      <c r="G97" s="296"/>
      <c r="H97" s="291">
        <f t="shared" si="35"/>
        <v>0</v>
      </c>
      <c r="I97" s="296"/>
      <c r="J97" s="128"/>
      <c r="K97" s="116"/>
      <c r="L97" s="134"/>
      <c r="M97" s="132"/>
      <c r="N97" s="132"/>
      <c r="O97" s="138"/>
      <c r="P97" s="138"/>
      <c r="Q97" s="138"/>
      <c r="R97" s="138"/>
      <c r="S97" s="138"/>
      <c r="T97" s="138"/>
    </row>
    <row r="98" spans="1:20" ht="31.9" customHeight="1" x14ac:dyDescent="0.25">
      <c r="A98" s="395" t="s">
        <v>18</v>
      </c>
      <c r="B98" s="391" t="s">
        <v>56</v>
      </c>
      <c r="C98" s="4" t="s">
        <v>6</v>
      </c>
      <c r="D98" s="296"/>
      <c r="E98" s="296"/>
      <c r="F98" s="296"/>
      <c r="G98" s="296"/>
      <c r="H98" s="291"/>
      <c r="I98" s="296"/>
      <c r="J98" s="128"/>
      <c r="K98" s="132"/>
      <c r="L98" s="132"/>
      <c r="M98" s="132"/>
      <c r="N98" s="132"/>
      <c r="O98" s="138"/>
      <c r="P98" s="138"/>
      <c r="Q98" s="138"/>
      <c r="R98" s="138"/>
      <c r="S98" s="138"/>
      <c r="T98" s="138"/>
    </row>
    <row r="99" spans="1:20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27"/>
      <c r="L99" s="127"/>
      <c r="M99" s="127"/>
      <c r="N99" s="127"/>
    </row>
    <row r="100" spans="1:20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27"/>
      <c r="L100" s="127"/>
      <c r="M100" s="127"/>
      <c r="N100" s="127"/>
    </row>
    <row r="101" spans="1:20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27"/>
      <c r="L101" s="127"/>
      <c r="M101" s="127"/>
      <c r="N101" s="127"/>
    </row>
    <row r="102" spans="1:20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27"/>
      <c r="L102" s="127"/>
      <c r="M102" s="127"/>
      <c r="N102" s="127"/>
    </row>
    <row r="103" spans="1:20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27"/>
      <c r="L103" s="127"/>
      <c r="M103" s="127"/>
      <c r="N103" s="127"/>
    </row>
    <row r="104" spans="1:20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27"/>
      <c r="L104" s="127"/>
      <c r="M104" s="127"/>
      <c r="N104" s="127"/>
    </row>
    <row r="105" spans="1:20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27"/>
      <c r="L105" s="127"/>
      <c r="M105" s="127"/>
      <c r="N105" s="127"/>
    </row>
    <row r="106" spans="1:20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27"/>
      <c r="L106" s="127"/>
      <c r="M106" s="127"/>
      <c r="N106" s="127"/>
    </row>
    <row r="107" spans="1:20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27"/>
      <c r="L107" s="127"/>
      <c r="M107" s="127"/>
      <c r="N107" s="127"/>
    </row>
    <row r="108" spans="1:20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27"/>
      <c r="L108" s="127"/>
      <c r="M108" s="127"/>
      <c r="N108" s="127"/>
    </row>
    <row r="109" spans="1:20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  <c r="N109" s="127"/>
    </row>
    <row r="110" spans="1:20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  <c r="N110" s="127"/>
    </row>
    <row r="111" spans="1:20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  <c r="N111" s="127"/>
    </row>
    <row r="112" spans="1:20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  <c r="N112" s="127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51181102362204722" bottom="0.47244094488188981" header="0" footer="0"/>
  <pageSetup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984"/>
  <sheetViews>
    <sheetView zoomScaleNormal="100" workbookViewId="0">
      <pane ySplit="8" topLeftCell="A9" activePane="bottomLeft" state="frozen"/>
      <selection pane="bottomLeft" activeCell="B7" sqref="B7:B8"/>
    </sheetView>
  </sheetViews>
  <sheetFormatPr defaultColWidth="11.21875" defaultRowHeight="15" customHeight="1" x14ac:dyDescent="0.25"/>
  <cols>
    <col min="1" max="1" width="6.88671875" style="330" customWidth="1"/>
    <col min="2" max="2" width="30.44140625" style="330" customWidth="1"/>
    <col min="3" max="3" width="9.21875" style="330" customWidth="1"/>
    <col min="4" max="4" width="17.21875" style="330" customWidth="1"/>
    <col min="5" max="5" width="18.109375" style="330" customWidth="1"/>
    <col min="6" max="8" width="12.6640625" style="330" customWidth="1"/>
    <col min="9" max="9" width="11.44140625" style="330" customWidth="1"/>
    <col min="10" max="10" width="8.88671875" style="125" customWidth="1"/>
    <col min="11" max="11" width="18.6640625" style="125" customWidth="1"/>
    <col min="12" max="14" width="8.88671875" style="125" customWidth="1"/>
    <col min="15" max="16384" width="11.21875" style="125"/>
  </cols>
  <sheetData>
    <row r="1" spans="1:18" ht="15" customHeight="1" x14ac:dyDescent="0.25">
      <c r="H1" s="409"/>
      <c r="I1" s="409"/>
    </row>
    <row r="2" spans="1:18" ht="16.5" x14ac:dyDescent="0.25">
      <c r="A2" s="410"/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  <c r="N2" s="127"/>
    </row>
    <row r="3" spans="1:18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18" ht="16.5" x14ac:dyDescent="0.25">
      <c r="A4" s="405" t="s">
        <v>236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18" ht="16.5" x14ac:dyDescent="0.25">
      <c r="A5" s="417" t="str">
        <f>'TY TU(13)'!A5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18" ht="16.5" x14ac:dyDescent="0.25">
      <c r="A6" s="376"/>
      <c r="B6" s="376"/>
      <c r="C6" s="376"/>
      <c r="D6" s="377"/>
      <c r="E6" s="377"/>
      <c r="F6" s="377"/>
      <c r="G6" s="377"/>
      <c r="H6" s="377"/>
      <c r="I6" s="377"/>
      <c r="J6" s="127"/>
      <c r="K6" s="127"/>
      <c r="L6" s="127"/>
      <c r="M6" s="127"/>
      <c r="N6" s="127"/>
    </row>
    <row r="7" spans="1:18" ht="33.6" customHeight="1" x14ac:dyDescent="0.25">
      <c r="A7" s="412" t="s">
        <v>10</v>
      </c>
      <c r="B7" s="412" t="s">
        <v>1</v>
      </c>
      <c r="C7" s="412" t="s">
        <v>11</v>
      </c>
      <c r="D7" s="414" t="s">
        <v>222</v>
      </c>
      <c r="E7" s="416" t="s">
        <v>256</v>
      </c>
      <c r="F7" s="418"/>
      <c r="G7" s="418"/>
      <c r="H7" s="419"/>
      <c r="I7" s="407" t="s">
        <v>259</v>
      </c>
      <c r="J7" s="127"/>
      <c r="K7" s="153" t="s">
        <v>215</v>
      </c>
      <c r="L7" s="174">
        <v>62</v>
      </c>
      <c r="M7" s="127"/>
      <c r="N7" s="127"/>
    </row>
    <row r="8" spans="1:18" ht="33.6" customHeight="1" x14ac:dyDescent="0.25">
      <c r="A8" s="413"/>
      <c r="B8" s="413"/>
      <c r="C8" s="413"/>
      <c r="D8" s="415"/>
      <c r="E8" s="331" t="s">
        <v>257</v>
      </c>
      <c r="F8" s="331" t="s">
        <v>261</v>
      </c>
      <c r="G8" s="331" t="s">
        <v>263</v>
      </c>
      <c r="H8" s="331" t="s">
        <v>258</v>
      </c>
      <c r="I8" s="423"/>
      <c r="J8" s="127"/>
      <c r="K8" s="153" t="s">
        <v>216</v>
      </c>
      <c r="L8" s="174">
        <v>368</v>
      </c>
      <c r="M8" s="127"/>
      <c r="N8" s="127"/>
    </row>
    <row r="9" spans="1:18" s="131" customFormat="1" ht="33" customHeight="1" x14ac:dyDescent="0.25">
      <c r="A9" s="3" t="s">
        <v>12</v>
      </c>
      <c r="B9" s="335" t="s">
        <v>13</v>
      </c>
      <c r="C9" s="3" t="s">
        <v>6</v>
      </c>
      <c r="D9" s="291">
        <f>D13+D28+D37+D43+D46+D67</f>
        <v>147.64999999999998</v>
      </c>
      <c r="E9" s="291">
        <f t="shared" ref="E9:G9" si="0">E13+E28+E37+E43+E46+E67</f>
        <v>151.6</v>
      </c>
      <c r="F9" s="291">
        <f t="shared" si="0"/>
        <v>107.91999999999999</v>
      </c>
      <c r="G9" s="291">
        <f t="shared" si="0"/>
        <v>107.91999999999999</v>
      </c>
      <c r="H9" s="291">
        <f>F9/E9*100</f>
        <v>71.187335092348277</v>
      </c>
      <c r="I9" s="291"/>
      <c r="J9" s="213"/>
      <c r="K9" s="213"/>
      <c r="L9" s="213"/>
      <c r="M9" s="213"/>
      <c r="N9" s="213"/>
    </row>
    <row r="10" spans="1:18" s="131" customFormat="1" ht="33" customHeight="1" x14ac:dyDescent="0.25">
      <c r="A10" s="3">
        <v>1</v>
      </c>
      <c r="B10" s="335" t="s">
        <v>14</v>
      </c>
      <c r="C10" s="3" t="s">
        <v>6</v>
      </c>
      <c r="D10" s="291">
        <f>D13+D28</f>
        <v>1</v>
      </c>
      <c r="E10" s="291">
        <f t="shared" ref="E10:G10" si="1">E13+E28</f>
        <v>1.03</v>
      </c>
      <c r="F10" s="291">
        <f t="shared" si="1"/>
        <v>0</v>
      </c>
      <c r="G10" s="291">
        <f t="shared" si="1"/>
        <v>0</v>
      </c>
      <c r="H10" s="291">
        <f t="shared" ref="H10:H73" si="2">F10/E10*100</f>
        <v>0</v>
      </c>
      <c r="I10" s="291"/>
      <c r="J10" s="213"/>
      <c r="K10" s="213"/>
      <c r="L10" s="213"/>
      <c r="M10" s="213"/>
      <c r="N10" s="213"/>
    </row>
    <row r="11" spans="1:18" s="131" customFormat="1" ht="33" customHeight="1" x14ac:dyDescent="0.25">
      <c r="A11" s="3"/>
      <c r="B11" s="334" t="s">
        <v>16</v>
      </c>
      <c r="C11" s="3" t="s">
        <v>17</v>
      </c>
      <c r="D11" s="291">
        <f>D12+D30</f>
        <v>3.6850000000000001</v>
      </c>
      <c r="E11" s="291">
        <f t="shared" ref="E11:G11" si="3">E12+E30</f>
        <v>3.780405</v>
      </c>
      <c r="F11" s="291">
        <f t="shared" si="3"/>
        <v>0</v>
      </c>
      <c r="G11" s="291">
        <f t="shared" si="3"/>
        <v>0</v>
      </c>
      <c r="H11" s="291">
        <f t="shared" si="2"/>
        <v>0</v>
      </c>
      <c r="I11" s="291"/>
      <c r="J11" s="213"/>
      <c r="K11" s="213"/>
      <c r="L11" s="213"/>
      <c r="M11" s="213"/>
      <c r="N11" s="213"/>
    </row>
    <row r="12" spans="1:18" s="131" customFormat="1" ht="33" customHeight="1" x14ac:dyDescent="0.25">
      <c r="A12" s="3"/>
      <c r="B12" s="335" t="s">
        <v>221</v>
      </c>
      <c r="C12" s="3" t="s">
        <v>17</v>
      </c>
      <c r="D12" s="291">
        <f>D15</f>
        <v>0</v>
      </c>
      <c r="E12" s="291">
        <f t="shared" ref="E12:G12" si="4">E15</f>
        <v>9.0404999999999999E-2</v>
      </c>
      <c r="F12" s="291">
        <f t="shared" si="4"/>
        <v>0</v>
      </c>
      <c r="G12" s="291">
        <f t="shared" si="4"/>
        <v>0</v>
      </c>
      <c r="H12" s="291">
        <f t="shared" si="2"/>
        <v>0</v>
      </c>
      <c r="I12" s="291"/>
      <c r="J12" s="213"/>
      <c r="K12" s="213"/>
      <c r="L12" s="213"/>
      <c r="M12" s="213"/>
      <c r="N12" s="213"/>
    </row>
    <row r="13" spans="1:18" ht="33" customHeight="1" x14ac:dyDescent="0.25">
      <c r="A13" s="3" t="s">
        <v>5</v>
      </c>
      <c r="B13" s="335" t="s">
        <v>19</v>
      </c>
      <c r="C13" s="3" t="s">
        <v>6</v>
      </c>
      <c r="D13" s="291">
        <f>D16+D19</f>
        <v>0</v>
      </c>
      <c r="E13" s="291">
        <f t="shared" ref="E13:G13" si="5">E16+E19</f>
        <v>0.03</v>
      </c>
      <c r="F13" s="291">
        <f t="shared" si="5"/>
        <v>0</v>
      </c>
      <c r="G13" s="291">
        <f t="shared" si="5"/>
        <v>0</v>
      </c>
      <c r="H13" s="291">
        <f t="shared" si="2"/>
        <v>0</v>
      </c>
      <c r="I13" s="291"/>
      <c r="J13" s="127"/>
      <c r="K13" s="121"/>
      <c r="L13" s="121"/>
      <c r="M13" s="121"/>
      <c r="N13" s="121"/>
      <c r="O13" s="122"/>
    </row>
    <row r="14" spans="1:18" ht="33" customHeight="1" x14ac:dyDescent="0.25">
      <c r="A14" s="3"/>
      <c r="B14" s="337" t="s">
        <v>218</v>
      </c>
      <c r="C14" s="5" t="s">
        <v>219</v>
      </c>
      <c r="D14" s="296">
        <f>(D17+D20)/2</f>
        <v>30.125</v>
      </c>
      <c r="E14" s="296">
        <f t="shared" ref="E14:G14" si="6">(E17+E20)/2</f>
        <v>30.135000000000002</v>
      </c>
      <c r="F14" s="296">
        <f t="shared" si="6"/>
        <v>0</v>
      </c>
      <c r="G14" s="296">
        <f t="shared" si="6"/>
        <v>0</v>
      </c>
      <c r="H14" s="291">
        <f t="shared" si="2"/>
        <v>0</v>
      </c>
      <c r="I14" s="296"/>
      <c r="J14" s="127"/>
      <c r="K14" s="127"/>
      <c r="L14" s="127"/>
      <c r="M14" s="127"/>
      <c r="N14" s="127"/>
    </row>
    <row r="15" spans="1:18" ht="33" customHeight="1" x14ac:dyDescent="0.25">
      <c r="A15" s="3"/>
      <c r="B15" s="337" t="s">
        <v>220</v>
      </c>
      <c r="C15" s="5" t="s">
        <v>17</v>
      </c>
      <c r="D15" s="296">
        <f>D13*D14/10</f>
        <v>0</v>
      </c>
      <c r="E15" s="296">
        <f t="shared" ref="E15:G15" si="7">E13*E14/10</f>
        <v>9.0404999999999999E-2</v>
      </c>
      <c r="F15" s="296">
        <f t="shared" si="7"/>
        <v>0</v>
      </c>
      <c r="G15" s="296">
        <f t="shared" si="7"/>
        <v>0</v>
      </c>
      <c r="H15" s="291">
        <f t="shared" si="2"/>
        <v>0</v>
      </c>
      <c r="I15" s="296"/>
      <c r="J15" s="127"/>
      <c r="K15" s="127"/>
      <c r="L15" s="127"/>
      <c r="M15" s="127"/>
      <c r="N15" s="127"/>
    </row>
    <row r="16" spans="1:18" ht="33" customHeight="1" x14ac:dyDescent="0.25">
      <c r="A16" s="3" t="s">
        <v>20</v>
      </c>
      <c r="B16" s="335" t="s">
        <v>21</v>
      </c>
      <c r="C16" s="3" t="s">
        <v>6</v>
      </c>
      <c r="D16" s="291"/>
      <c r="E16" s="291">
        <v>0</v>
      </c>
      <c r="F16" s="291">
        <v>0</v>
      </c>
      <c r="G16" s="291">
        <v>0</v>
      </c>
      <c r="H16" s="291"/>
      <c r="I16" s="291"/>
      <c r="J16" s="214"/>
      <c r="K16" s="214"/>
      <c r="L16" s="214"/>
      <c r="M16" s="214"/>
      <c r="N16" s="214"/>
      <c r="O16" s="135"/>
      <c r="P16" s="135"/>
      <c r="Q16" s="135"/>
      <c r="R16" s="135"/>
    </row>
    <row r="17" spans="1:21" ht="33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/>
      <c r="G17" s="296"/>
      <c r="H17" s="291">
        <f t="shared" si="2"/>
        <v>0</v>
      </c>
      <c r="I17" s="296"/>
      <c r="J17" s="214"/>
      <c r="K17" s="214"/>
      <c r="L17" s="214"/>
      <c r="M17" s="214"/>
      <c r="N17" s="214"/>
      <c r="O17" s="135"/>
      <c r="P17" s="135"/>
      <c r="Q17" s="135"/>
      <c r="R17" s="135"/>
    </row>
    <row r="18" spans="1:21" ht="33" customHeight="1" x14ac:dyDescent="0.25">
      <c r="A18" s="3"/>
      <c r="B18" s="337" t="s">
        <v>220</v>
      </c>
      <c r="C18" s="5" t="s">
        <v>17</v>
      </c>
      <c r="D18" s="296">
        <f>D16*D17/10</f>
        <v>0</v>
      </c>
      <c r="E18" s="296">
        <f>E16*E17/10</f>
        <v>0</v>
      </c>
      <c r="F18" s="296">
        <f t="shared" ref="F18:G18" si="8">F16*F17/10</f>
        <v>0</v>
      </c>
      <c r="G18" s="296">
        <f t="shared" si="8"/>
        <v>0</v>
      </c>
      <c r="H18" s="291"/>
      <c r="I18" s="296"/>
      <c r="J18" s="214"/>
      <c r="K18" s="214"/>
      <c r="L18" s="214"/>
      <c r="M18" s="214"/>
      <c r="N18" s="214"/>
      <c r="O18" s="135"/>
      <c r="P18" s="135"/>
      <c r="Q18" s="135"/>
      <c r="R18" s="135"/>
    </row>
    <row r="19" spans="1:21" ht="33" customHeight="1" x14ac:dyDescent="0.25">
      <c r="A19" s="379" t="s">
        <v>22</v>
      </c>
      <c r="B19" s="380" t="s">
        <v>23</v>
      </c>
      <c r="C19" s="379" t="s">
        <v>6</v>
      </c>
      <c r="D19" s="291">
        <f t="shared" ref="D19:G19" si="9">D22+D25</f>
        <v>0</v>
      </c>
      <c r="E19" s="291">
        <f t="shared" si="9"/>
        <v>0.03</v>
      </c>
      <c r="F19" s="291">
        <f t="shared" si="9"/>
        <v>0</v>
      </c>
      <c r="G19" s="291">
        <f t="shared" si="9"/>
        <v>0</v>
      </c>
      <c r="H19" s="291">
        <f t="shared" si="2"/>
        <v>0</v>
      </c>
      <c r="I19" s="291"/>
      <c r="J19" s="128"/>
      <c r="K19" s="128"/>
      <c r="L19" s="128"/>
      <c r="M19" s="128"/>
      <c r="N19" s="128"/>
      <c r="O19" s="126"/>
      <c r="P19" s="126"/>
    </row>
    <row r="20" spans="1:21" ht="33" customHeight="1" x14ac:dyDescent="0.25">
      <c r="A20" s="379"/>
      <c r="B20" s="337" t="s">
        <v>218</v>
      </c>
      <c r="C20" s="5" t="s">
        <v>219</v>
      </c>
      <c r="D20" s="296">
        <f>(D23+D26)/2</f>
        <v>26.75</v>
      </c>
      <c r="E20" s="296">
        <f t="shared" ref="E20:G20" si="10">(E23+E26)/2</f>
        <v>26.770000000000003</v>
      </c>
      <c r="F20" s="296">
        <f t="shared" si="10"/>
        <v>0</v>
      </c>
      <c r="G20" s="296">
        <f t="shared" si="10"/>
        <v>0</v>
      </c>
      <c r="H20" s="291">
        <f t="shared" si="2"/>
        <v>0</v>
      </c>
      <c r="I20" s="296"/>
      <c r="J20" s="128"/>
      <c r="K20" s="128"/>
      <c r="L20" s="128"/>
      <c r="M20" s="128"/>
      <c r="N20" s="128"/>
      <c r="O20" s="126"/>
      <c r="P20" s="126"/>
    </row>
    <row r="21" spans="1:21" ht="33" customHeight="1" x14ac:dyDescent="0.25">
      <c r="A21" s="379"/>
      <c r="B21" s="337" t="s">
        <v>220</v>
      </c>
      <c r="C21" s="5" t="s">
        <v>17</v>
      </c>
      <c r="D21" s="296">
        <f>D19*D20/10</f>
        <v>0</v>
      </c>
      <c r="E21" s="296">
        <f t="shared" ref="E21:G21" si="11">E19*E20/10</f>
        <v>8.0310000000000006E-2</v>
      </c>
      <c r="F21" s="296">
        <f t="shared" si="11"/>
        <v>0</v>
      </c>
      <c r="G21" s="296">
        <f t="shared" si="11"/>
        <v>0</v>
      </c>
      <c r="H21" s="291">
        <f t="shared" si="2"/>
        <v>0</v>
      </c>
      <c r="I21" s="296"/>
      <c r="J21" s="128"/>
      <c r="K21" s="128"/>
      <c r="L21" s="128"/>
      <c r="M21" s="128"/>
      <c r="N21" s="128"/>
      <c r="O21" s="126"/>
      <c r="P21" s="126"/>
    </row>
    <row r="22" spans="1:21" ht="33" customHeight="1" x14ac:dyDescent="0.25">
      <c r="A22" s="379" t="s">
        <v>24</v>
      </c>
      <c r="B22" s="380" t="s">
        <v>25</v>
      </c>
      <c r="C22" s="379" t="s">
        <v>6</v>
      </c>
      <c r="D22" s="291"/>
      <c r="E22" s="313">
        <v>0.03</v>
      </c>
      <c r="F22" s="313">
        <v>0</v>
      </c>
      <c r="G22" s="313">
        <v>0</v>
      </c>
      <c r="H22" s="291">
        <f t="shared" si="2"/>
        <v>0</v>
      </c>
      <c r="I22" s="291"/>
      <c r="J22" s="121"/>
      <c r="K22" s="121"/>
      <c r="L22" s="121"/>
      <c r="M22" s="121"/>
      <c r="N22" s="121"/>
      <c r="O22" s="122"/>
      <c r="P22" s="122"/>
      <c r="Q22" s="123"/>
      <c r="R22" s="123"/>
      <c r="S22" s="123"/>
      <c r="T22" s="123"/>
      <c r="U22" s="123"/>
    </row>
    <row r="23" spans="1:21" ht="33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/>
      <c r="G23" s="296"/>
      <c r="H23" s="291">
        <f t="shared" si="2"/>
        <v>0</v>
      </c>
      <c r="I23" s="296"/>
      <c r="J23" s="121"/>
      <c r="K23" s="121"/>
      <c r="L23" s="121"/>
      <c r="M23" s="121"/>
      <c r="N23" s="121"/>
      <c r="O23" s="122"/>
      <c r="P23" s="122"/>
      <c r="Q23" s="123"/>
      <c r="R23" s="123"/>
      <c r="S23" s="123"/>
      <c r="T23" s="123"/>
      <c r="U23" s="123"/>
    </row>
    <row r="24" spans="1:21" ht="33" customHeight="1" x14ac:dyDescent="0.25">
      <c r="A24" s="379"/>
      <c r="B24" s="337" t="s">
        <v>220</v>
      </c>
      <c r="C24" s="5" t="s">
        <v>17</v>
      </c>
      <c r="D24" s="296">
        <f>D22*D23/10</f>
        <v>0</v>
      </c>
      <c r="E24" s="296">
        <f t="shared" ref="E24:G24" si="12">E22*E23/10</f>
        <v>0.11502000000000001</v>
      </c>
      <c r="F24" s="296">
        <f t="shared" si="12"/>
        <v>0</v>
      </c>
      <c r="G24" s="296">
        <f t="shared" si="12"/>
        <v>0</v>
      </c>
      <c r="H24" s="291">
        <f t="shared" si="2"/>
        <v>0</v>
      </c>
      <c r="I24" s="296"/>
      <c r="J24" s="121"/>
      <c r="K24" s="121"/>
      <c r="L24" s="121"/>
      <c r="M24" s="121"/>
      <c r="N24" s="121"/>
      <c r="O24" s="122"/>
      <c r="P24" s="122"/>
      <c r="Q24" s="123"/>
      <c r="R24" s="123"/>
      <c r="S24" s="123"/>
      <c r="T24" s="123"/>
      <c r="U24" s="123"/>
    </row>
    <row r="25" spans="1:21" ht="33" customHeight="1" x14ac:dyDescent="0.25">
      <c r="A25" s="379" t="s">
        <v>24</v>
      </c>
      <c r="B25" s="380" t="s">
        <v>26</v>
      </c>
      <c r="C25" s="379" t="s">
        <v>6</v>
      </c>
      <c r="D25" s="291"/>
      <c r="E25" s="291"/>
      <c r="F25" s="296">
        <v>0</v>
      </c>
      <c r="G25" s="296">
        <v>0</v>
      </c>
      <c r="H25" s="291"/>
      <c r="I25" s="296"/>
      <c r="J25" s="121"/>
      <c r="K25" s="121"/>
      <c r="L25" s="121"/>
      <c r="M25" s="121"/>
      <c r="N25" s="121"/>
      <c r="O25" s="122"/>
      <c r="P25" s="122"/>
      <c r="Q25" s="123"/>
      <c r="R25" s="123"/>
      <c r="S25" s="123"/>
      <c r="T25" s="123"/>
      <c r="U25" s="123"/>
    </row>
    <row r="26" spans="1:21" ht="33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15.2</v>
      </c>
      <c r="F26" s="296"/>
      <c r="G26" s="296"/>
      <c r="H26" s="291">
        <f t="shared" si="2"/>
        <v>0</v>
      </c>
      <c r="I26" s="296"/>
      <c r="J26" s="121"/>
      <c r="K26" s="121"/>
      <c r="L26" s="121"/>
      <c r="M26" s="121"/>
      <c r="N26" s="121"/>
      <c r="O26" s="122"/>
      <c r="P26" s="122"/>
      <c r="Q26" s="123"/>
      <c r="R26" s="123"/>
      <c r="S26" s="123"/>
      <c r="T26" s="123"/>
      <c r="U26" s="123"/>
    </row>
    <row r="27" spans="1:21" ht="33" customHeight="1" x14ac:dyDescent="0.25">
      <c r="A27" s="379"/>
      <c r="B27" s="337" t="s">
        <v>220</v>
      </c>
      <c r="C27" s="5" t="s">
        <v>17</v>
      </c>
      <c r="D27" s="291"/>
      <c r="E27" s="291"/>
      <c r="F27" s="296"/>
      <c r="G27" s="296"/>
      <c r="H27" s="291"/>
      <c r="I27" s="296"/>
      <c r="J27" s="121"/>
      <c r="K27" s="121"/>
      <c r="L27" s="121"/>
      <c r="M27" s="121"/>
      <c r="N27" s="121"/>
      <c r="O27" s="122"/>
      <c r="P27" s="122"/>
      <c r="Q27" s="123"/>
      <c r="R27" s="123"/>
      <c r="S27" s="123"/>
      <c r="T27" s="123"/>
      <c r="U27" s="123"/>
    </row>
    <row r="28" spans="1:21" ht="33" customHeight="1" x14ac:dyDescent="0.25">
      <c r="A28" s="3" t="s">
        <v>7</v>
      </c>
      <c r="B28" s="335" t="s">
        <v>27</v>
      </c>
      <c r="C28" s="3" t="s">
        <v>6</v>
      </c>
      <c r="D28" s="291">
        <f t="shared" ref="D28:G28" si="13">D31+D34</f>
        <v>1</v>
      </c>
      <c r="E28" s="291">
        <f t="shared" si="13"/>
        <v>1</v>
      </c>
      <c r="F28" s="291">
        <f t="shared" si="13"/>
        <v>0</v>
      </c>
      <c r="G28" s="291">
        <f t="shared" si="13"/>
        <v>0</v>
      </c>
      <c r="H28" s="291">
        <f t="shared" si="2"/>
        <v>0</v>
      </c>
      <c r="I28" s="291"/>
      <c r="J28" s="121"/>
      <c r="K28" s="121"/>
      <c r="L28" s="121"/>
      <c r="M28" s="121"/>
      <c r="N28" s="121"/>
      <c r="O28" s="122"/>
      <c r="P28" s="122"/>
      <c r="Q28" s="123"/>
      <c r="R28" s="123"/>
      <c r="S28" s="123"/>
      <c r="T28" s="123"/>
      <c r="U28" s="123"/>
    </row>
    <row r="29" spans="1:21" ht="33" customHeight="1" x14ac:dyDescent="0.25">
      <c r="A29" s="3"/>
      <c r="B29" s="337" t="s">
        <v>218</v>
      </c>
      <c r="C29" s="5" t="s">
        <v>219</v>
      </c>
      <c r="D29" s="296">
        <f>D35</f>
        <v>36.85</v>
      </c>
      <c r="E29" s="296">
        <f t="shared" ref="E29:G29" si="14">E35</f>
        <v>36.9</v>
      </c>
      <c r="F29" s="296">
        <f t="shared" si="14"/>
        <v>0</v>
      </c>
      <c r="G29" s="296">
        <f t="shared" si="14"/>
        <v>0</v>
      </c>
      <c r="H29" s="291">
        <f t="shared" si="2"/>
        <v>0</v>
      </c>
      <c r="I29" s="296"/>
      <c r="J29" s="121"/>
      <c r="K29" s="121"/>
      <c r="L29" s="121"/>
      <c r="M29" s="121"/>
      <c r="N29" s="121"/>
      <c r="O29" s="122"/>
      <c r="P29" s="122"/>
      <c r="Q29" s="123"/>
      <c r="R29" s="123"/>
      <c r="S29" s="123"/>
      <c r="T29" s="123"/>
      <c r="U29" s="123"/>
    </row>
    <row r="30" spans="1:21" ht="33" customHeight="1" x14ac:dyDescent="0.25">
      <c r="A30" s="3"/>
      <c r="B30" s="337" t="s">
        <v>220</v>
      </c>
      <c r="C30" s="5" t="s">
        <v>17</v>
      </c>
      <c r="D30" s="296">
        <f>D28*D29/10</f>
        <v>3.6850000000000001</v>
      </c>
      <c r="E30" s="296">
        <f t="shared" ref="E30:G30" si="15">E28*E29/10</f>
        <v>3.69</v>
      </c>
      <c r="F30" s="296">
        <f t="shared" si="15"/>
        <v>0</v>
      </c>
      <c r="G30" s="296">
        <f t="shared" si="15"/>
        <v>0</v>
      </c>
      <c r="H30" s="291">
        <f t="shared" si="2"/>
        <v>0</v>
      </c>
      <c r="I30" s="296"/>
      <c r="J30" s="121"/>
      <c r="K30" s="121"/>
      <c r="L30" s="121"/>
      <c r="M30" s="121"/>
      <c r="N30" s="121"/>
      <c r="O30" s="122"/>
      <c r="P30" s="122"/>
      <c r="Q30" s="123"/>
      <c r="R30" s="123"/>
      <c r="S30" s="123"/>
      <c r="T30" s="123"/>
      <c r="U30" s="123"/>
    </row>
    <row r="31" spans="1:21" ht="33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/>
      <c r="G31" s="291"/>
      <c r="H31" s="291"/>
      <c r="I31" s="291"/>
      <c r="J31" s="121"/>
      <c r="K31" s="114"/>
      <c r="L31" s="169"/>
      <c r="M31" s="169"/>
      <c r="N31" s="169"/>
      <c r="O31" s="169"/>
      <c r="P31" s="122"/>
      <c r="Q31" s="123"/>
      <c r="R31" s="123"/>
      <c r="S31" s="123"/>
      <c r="T31" s="123"/>
      <c r="U31" s="123"/>
    </row>
    <row r="32" spans="1:21" ht="33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1"/>
      <c r="H32" s="291"/>
      <c r="I32" s="291"/>
      <c r="J32" s="121"/>
      <c r="K32" s="114"/>
      <c r="L32" s="169"/>
      <c r="M32" s="169"/>
      <c r="N32" s="169"/>
      <c r="O32" s="169"/>
      <c r="P32" s="122"/>
      <c r="Q32" s="123"/>
      <c r="R32" s="123"/>
      <c r="S32" s="123"/>
      <c r="T32" s="123"/>
      <c r="U32" s="123"/>
    </row>
    <row r="33" spans="1:21" ht="33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1"/>
      <c r="H33" s="291"/>
      <c r="I33" s="291"/>
      <c r="J33" s="121"/>
      <c r="K33" s="114"/>
      <c r="L33" s="169"/>
      <c r="M33" s="169"/>
      <c r="N33" s="169"/>
      <c r="O33" s="169"/>
      <c r="P33" s="122"/>
      <c r="Q33" s="123"/>
      <c r="R33" s="123"/>
      <c r="S33" s="123"/>
      <c r="T33" s="123"/>
      <c r="U33" s="123"/>
    </row>
    <row r="34" spans="1:21" ht="33" customHeight="1" x14ac:dyDescent="0.25">
      <c r="A34" s="379" t="s">
        <v>22</v>
      </c>
      <c r="B34" s="380" t="s">
        <v>29</v>
      </c>
      <c r="C34" s="379" t="s">
        <v>6</v>
      </c>
      <c r="D34" s="313">
        <v>1</v>
      </c>
      <c r="E34" s="313">
        <v>1</v>
      </c>
      <c r="F34" s="313"/>
      <c r="G34" s="313">
        <v>0</v>
      </c>
      <c r="H34" s="291">
        <f t="shared" si="2"/>
        <v>0</v>
      </c>
      <c r="I34" s="296"/>
      <c r="J34" s="121"/>
      <c r="K34" s="137"/>
      <c r="L34" s="137"/>
      <c r="M34" s="137"/>
      <c r="N34" s="137"/>
      <c r="O34" s="137"/>
      <c r="P34" s="122"/>
      <c r="Q34" s="123"/>
      <c r="R34" s="123"/>
      <c r="S34" s="123"/>
      <c r="T34" s="123"/>
      <c r="U34" s="123"/>
    </row>
    <row r="35" spans="1:21" ht="33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/>
      <c r="G35" s="296"/>
      <c r="H35" s="291">
        <f t="shared" si="2"/>
        <v>0</v>
      </c>
      <c r="I35" s="296"/>
      <c r="J35" s="121"/>
      <c r="K35" s="137"/>
      <c r="L35" s="137"/>
      <c r="M35" s="137"/>
      <c r="N35" s="137"/>
      <c r="O35" s="137"/>
      <c r="P35" s="122"/>
      <c r="Q35" s="123"/>
      <c r="R35" s="123"/>
      <c r="S35" s="123"/>
      <c r="T35" s="123"/>
      <c r="U35" s="123"/>
    </row>
    <row r="36" spans="1:21" ht="33" customHeight="1" x14ac:dyDescent="0.25">
      <c r="A36" s="379"/>
      <c r="B36" s="337" t="s">
        <v>220</v>
      </c>
      <c r="C36" s="5" t="s">
        <v>17</v>
      </c>
      <c r="D36" s="296">
        <f>D34*D35/10</f>
        <v>3.6850000000000001</v>
      </c>
      <c r="E36" s="296">
        <f t="shared" ref="E36:G36" si="16">E34*E35/10</f>
        <v>3.69</v>
      </c>
      <c r="F36" s="296">
        <f t="shared" si="16"/>
        <v>0</v>
      </c>
      <c r="G36" s="296">
        <f t="shared" si="16"/>
        <v>0</v>
      </c>
      <c r="H36" s="291">
        <f t="shared" si="2"/>
        <v>0</v>
      </c>
      <c r="I36" s="296"/>
      <c r="J36" s="121"/>
      <c r="K36" s="137"/>
      <c r="L36" s="137"/>
      <c r="M36" s="137"/>
      <c r="N36" s="137"/>
      <c r="O36" s="137"/>
      <c r="P36" s="122"/>
      <c r="Q36" s="123"/>
      <c r="R36" s="123"/>
      <c r="S36" s="123"/>
      <c r="T36" s="123"/>
      <c r="U36" s="123"/>
    </row>
    <row r="37" spans="1:21" ht="33" customHeight="1" x14ac:dyDescent="0.25">
      <c r="A37" s="3">
        <v>2</v>
      </c>
      <c r="B37" s="335" t="s">
        <v>30</v>
      </c>
      <c r="C37" s="3" t="s">
        <v>6</v>
      </c>
      <c r="D37" s="291">
        <v>36</v>
      </c>
      <c r="E37" s="291">
        <v>31.23</v>
      </c>
      <c r="F37" s="291">
        <v>0</v>
      </c>
      <c r="G37" s="291">
        <v>0</v>
      </c>
      <c r="H37" s="291">
        <f t="shared" si="2"/>
        <v>0</v>
      </c>
      <c r="I37" s="291"/>
      <c r="J37" s="121"/>
      <c r="K37" s="116"/>
      <c r="L37" s="116"/>
      <c r="M37" s="116"/>
      <c r="N37" s="116"/>
      <c r="O37" s="116"/>
      <c r="P37" s="121"/>
      <c r="Q37" s="121"/>
      <c r="R37" s="121"/>
      <c r="S37" s="121"/>
      <c r="T37" s="121"/>
      <c r="U37" s="123"/>
    </row>
    <row r="38" spans="1:21" ht="33" customHeight="1" x14ac:dyDescent="0.25">
      <c r="A38" s="3"/>
      <c r="B38" s="337" t="s">
        <v>218</v>
      </c>
      <c r="C38" s="5" t="s">
        <v>219</v>
      </c>
      <c r="D38" s="296">
        <v>137.5</v>
      </c>
      <c r="E38" s="296">
        <v>140</v>
      </c>
      <c r="F38" s="296"/>
      <c r="G38" s="296"/>
      <c r="H38" s="291">
        <f t="shared" si="2"/>
        <v>0</v>
      </c>
      <c r="I38" s="296"/>
      <c r="J38" s="121"/>
      <c r="K38" s="116"/>
      <c r="L38" s="116"/>
      <c r="M38" s="116"/>
      <c r="N38" s="116"/>
      <c r="O38" s="116"/>
      <c r="P38" s="121"/>
      <c r="Q38" s="121"/>
      <c r="R38" s="121"/>
      <c r="S38" s="121"/>
      <c r="T38" s="121"/>
      <c r="U38" s="123"/>
    </row>
    <row r="39" spans="1:21" ht="33" customHeight="1" x14ac:dyDescent="0.25">
      <c r="A39" s="3"/>
      <c r="B39" s="337" t="s">
        <v>220</v>
      </c>
      <c r="C39" s="5" t="s">
        <v>17</v>
      </c>
      <c r="D39" s="296">
        <f>D37*D38/10</f>
        <v>495</v>
      </c>
      <c r="E39" s="296">
        <f t="shared" ref="E39:G39" si="17">E37*E38/10</f>
        <v>437.21999999999997</v>
      </c>
      <c r="F39" s="296">
        <f t="shared" si="17"/>
        <v>0</v>
      </c>
      <c r="G39" s="296">
        <f t="shared" si="17"/>
        <v>0</v>
      </c>
      <c r="H39" s="291">
        <f t="shared" si="2"/>
        <v>0</v>
      </c>
      <c r="I39" s="296"/>
      <c r="J39" s="121"/>
      <c r="K39" s="116"/>
      <c r="L39" s="116"/>
      <c r="M39" s="116"/>
      <c r="N39" s="116"/>
      <c r="O39" s="116"/>
      <c r="P39" s="121"/>
      <c r="Q39" s="121"/>
      <c r="R39" s="121"/>
      <c r="S39" s="121"/>
      <c r="T39" s="121"/>
      <c r="U39" s="123"/>
    </row>
    <row r="40" spans="1:21" ht="33" customHeight="1" x14ac:dyDescent="0.25">
      <c r="A40" s="3">
        <v>3</v>
      </c>
      <c r="B40" s="333" t="s">
        <v>241</v>
      </c>
      <c r="C40" s="332" t="s">
        <v>6</v>
      </c>
      <c r="D40" s="294">
        <v>0.5</v>
      </c>
      <c r="E40" s="294">
        <v>0.5</v>
      </c>
      <c r="F40" s="291">
        <v>0</v>
      </c>
      <c r="G40" s="291">
        <v>0</v>
      </c>
      <c r="H40" s="291">
        <f t="shared" si="2"/>
        <v>0</v>
      </c>
      <c r="I40" s="296"/>
      <c r="J40" s="121"/>
      <c r="K40" s="116"/>
      <c r="L40" s="116"/>
      <c r="M40" s="116"/>
      <c r="N40" s="116"/>
      <c r="O40" s="116"/>
      <c r="P40" s="121"/>
      <c r="Q40" s="121"/>
      <c r="R40" s="121"/>
      <c r="S40" s="121"/>
      <c r="T40" s="121"/>
      <c r="U40" s="123"/>
    </row>
    <row r="41" spans="1:21" ht="33" customHeight="1" x14ac:dyDescent="0.25">
      <c r="A41" s="3"/>
      <c r="B41" s="336" t="s">
        <v>218</v>
      </c>
      <c r="C41" s="343" t="s">
        <v>219</v>
      </c>
      <c r="D41" s="298">
        <v>25</v>
      </c>
      <c r="E41" s="298">
        <v>24.1</v>
      </c>
      <c r="F41" s="296"/>
      <c r="G41" s="296"/>
      <c r="H41" s="291">
        <f t="shared" si="2"/>
        <v>0</v>
      </c>
      <c r="I41" s="296"/>
      <c r="J41" s="121"/>
      <c r="K41" s="116"/>
      <c r="L41" s="116"/>
      <c r="M41" s="116"/>
      <c r="N41" s="116"/>
      <c r="O41" s="116"/>
      <c r="P41" s="121"/>
      <c r="Q41" s="121"/>
      <c r="R41" s="121"/>
      <c r="S41" s="121"/>
      <c r="T41" s="121"/>
      <c r="U41" s="123"/>
    </row>
    <row r="42" spans="1:21" ht="33" customHeight="1" x14ac:dyDescent="0.25">
      <c r="A42" s="3"/>
      <c r="B42" s="336" t="s">
        <v>220</v>
      </c>
      <c r="C42" s="343" t="s">
        <v>17</v>
      </c>
      <c r="D42" s="298">
        <f>D40*D41/10</f>
        <v>1.25</v>
      </c>
      <c r="E42" s="298">
        <f>E40*E41/10</f>
        <v>1.2050000000000001</v>
      </c>
      <c r="F42" s="298">
        <f t="shared" ref="F42:G42" si="18">F40*F41/10</f>
        <v>0</v>
      </c>
      <c r="G42" s="298">
        <f t="shared" si="18"/>
        <v>0</v>
      </c>
      <c r="H42" s="291">
        <f t="shared" si="2"/>
        <v>0</v>
      </c>
      <c r="I42" s="296"/>
      <c r="J42" s="121"/>
      <c r="K42" s="116"/>
      <c r="L42" s="116"/>
      <c r="M42" s="116"/>
      <c r="N42" s="116"/>
      <c r="O42" s="116"/>
      <c r="P42" s="121"/>
      <c r="Q42" s="121"/>
      <c r="R42" s="121"/>
      <c r="S42" s="121"/>
      <c r="T42" s="121"/>
      <c r="U42" s="123"/>
    </row>
    <row r="43" spans="1:21" ht="33" customHeight="1" x14ac:dyDescent="0.25">
      <c r="A43" s="3">
        <v>4</v>
      </c>
      <c r="B43" s="335" t="s">
        <v>242</v>
      </c>
      <c r="C43" s="3" t="s">
        <v>6</v>
      </c>
      <c r="D43" s="291">
        <v>0.5</v>
      </c>
      <c r="E43" s="291">
        <v>0.5</v>
      </c>
      <c r="F43" s="291">
        <v>0.27</v>
      </c>
      <c r="G43" s="291">
        <f>F43</f>
        <v>0.27</v>
      </c>
      <c r="H43" s="291">
        <f t="shared" si="2"/>
        <v>54</v>
      </c>
      <c r="I43" s="291"/>
      <c r="J43" s="127"/>
      <c r="K43" s="134"/>
      <c r="L43" s="215"/>
      <c r="M43" s="215"/>
      <c r="N43" s="215"/>
      <c r="O43" s="215"/>
    </row>
    <row r="44" spans="1:21" ht="33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1">
        <f t="shared" si="2"/>
        <v>0</v>
      </c>
      <c r="I44" s="296"/>
      <c r="J44" s="127"/>
      <c r="K44" s="224"/>
      <c r="L44" s="127"/>
      <c r="M44" s="127"/>
      <c r="N44" s="127"/>
    </row>
    <row r="45" spans="1:21" ht="33" customHeight="1" x14ac:dyDescent="0.25">
      <c r="A45" s="5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19">F43*F44/10</f>
        <v>0</v>
      </c>
      <c r="G45" s="296">
        <f t="shared" si="19"/>
        <v>0</v>
      </c>
      <c r="H45" s="291">
        <f t="shared" si="2"/>
        <v>0</v>
      </c>
      <c r="I45" s="296"/>
      <c r="J45" s="127"/>
      <c r="K45" s="127"/>
      <c r="L45" s="127"/>
      <c r="M45" s="127"/>
      <c r="N45" s="127"/>
    </row>
    <row r="46" spans="1:21" ht="33" customHeight="1" x14ac:dyDescent="0.25">
      <c r="A46" s="3">
        <v>5</v>
      </c>
      <c r="B46" s="335" t="s">
        <v>32</v>
      </c>
      <c r="C46" s="3" t="s">
        <v>6</v>
      </c>
      <c r="D46" s="291">
        <f>D47+D55+D64</f>
        <v>94.46</v>
      </c>
      <c r="E46" s="291">
        <f t="shared" ref="E46:G46" si="20">E47+E55+E64</f>
        <v>104.96</v>
      </c>
      <c r="F46" s="291">
        <f t="shared" si="20"/>
        <v>93.96</v>
      </c>
      <c r="G46" s="291">
        <f t="shared" si="20"/>
        <v>93.96</v>
      </c>
      <c r="H46" s="291">
        <f t="shared" si="2"/>
        <v>89.519817073170728</v>
      </c>
      <c r="I46" s="291"/>
      <c r="J46" s="127"/>
      <c r="K46" s="127"/>
      <c r="L46" s="127"/>
      <c r="M46" s="127"/>
      <c r="N46" s="127"/>
    </row>
    <row r="47" spans="1:21" ht="33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90.86</v>
      </c>
      <c r="E47" s="291">
        <f t="shared" ref="E47:G47" si="21">E48+E49</f>
        <v>100.86</v>
      </c>
      <c r="F47" s="291">
        <f t="shared" si="21"/>
        <v>90.86</v>
      </c>
      <c r="G47" s="291">
        <f t="shared" si="21"/>
        <v>90.86</v>
      </c>
      <c r="H47" s="291">
        <f t="shared" si="2"/>
        <v>90.085266706325598</v>
      </c>
      <c r="I47" s="291"/>
      <c r="J47" s="127"/>
      <c r="K47" s="127"/>
      <c r="L47" s="127"/>
      <c r="M47" s="127"/>
      <c r="N47" s="127"/>
    </row>
    <row r="48" spans="1:21" ht="33" customHeight="1" x14ac:dyDescent="0.25">
      <c r="A48" s="7" t="s">
        <v>24</v>
      </c>
      <c r="B48" s="383" t="s">
        <v>196</v>
      </c>
      <c r="C48" s="384" t="s">
        <v>6</v>
      </c>
      <c r="D48" s="296">
        <v>90</v>
      </c>
      <c r="E48" s="296">
        <f>D48+D49</f>
        <v>90.86</v>
      </c>
      <c r="F48" s="296">
        <v>90.86</v>
      </c>
      <c r="G48" s="296">
        <v>90.86</v>
      </c>
      <c r="H48" s="296">
        <f t="shared" si="2"/>
        <v>100</v>
      </c>
      <c r="I48" s="296"/>
      <c r="J48" s="121"/>
      <c r="K48" s="121"/>
      <c r="L48" s="121"/>
      <c r="M48" s="121"/>
      <c r="N48" s="121"/>
      <c r="O48" s="122"/>
      <c r="P48" s="122"/>
    </row>
    <row r="49" spans="1:19" s="131" customFormat="1" ht="33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0.86</v>
      </c>
      <c r="E49" s="291">
        <f t="shared" ref="E49:G49" si="22">E50+E51</f>
        <v>10</v>
      </c>
      <c r="F49" s="291">
        <f t="shared" si="22"/>
        <v>0</v>
      </c>
      <c r="G49" s="291">
        <f t="shared" si="22"/>
        <v>0</v>
      </c>
      <c r="H49" s="291">
        <f t="shared" si="2"/>
        <v>0</v>
      </c>
      <c r="I49" s="291"/>
      <c r="J49" s="213"/>
      <c r="K49" s="213"/>
      <c r="L49" s="213"/>
      <c r="M49" s="213"/>
      <c r="N49" s="213"/>
    </row>
    <row r="50" spans="1:19" ht="33" customHeight="1" x14ac:dyDescent="0.25">
      <c r="A50" s="384" t="s">
        <v>18</v>
      </c>
      <c r="B50" s="386" t="s">
        <v>194</v>
      </c>
      <c r="C50" s="384" t="s">
        <v>6</v>
      </c>
      <c r="D50" s="296"/>
      <c r="E50" s="296">
        <v>10</v>
      </c>
      <c r="F50" s="296">
        <v>0</v>
      </c>
      <c r="G50" s="296">
        <v>0</v>
      </c>
      <c r="H50" s="291">
        <f t="shared" si="2"/>
        <v>0</v>
      </c>
      <c r="I50" s="296"/>
      <c r="J50" s="127"/>
      <c r="K50" s="121"/>
      <c r="L50" s="121"/>
      <c r="M50" s="121"/>
      <c r="N50" s="121"/>
      <c r="O50" s="122"/>
    </row>
    <row r="51" spans="1:19" ht="33" customHeight="1" x14ac:dyDescent="0.25">
      <c r="A51" s="384" t="s">
        <v>18</v>
      </c>
      <c r="B51" s="386" t="s">
        <v>35</v>
      </c>
      <c r="C51" s="5" t="s">
        <v>6</v>
      </c>
      <c r="D51" s="296">
        <v>0.86</v>
      </c>
      <c r="E51" s="296"/>
      <c r="F51" s="296"/>
      <c r="G51" s="296"/>
      <c r="H51" s="291"/>
      <c r="I51" s="296"/>
      <c r="J51" s="127"/>
      <c r="K51" s="127"/>
      <c r="L51" s="127"/>
      <c r="M51" s="127"/>
      <c r="N51" s="127"/>
    </row>
    <row r="52" spans="1:19" s="131" customFormat="1" ht="33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48.5</v>
      </c>
      <c r="E52" s="291">
        <f t="shared" ref="E52:G52" si="23">E53+E54</f>
        <v>76.5</v>
      </c>
      <c r="F52" s="291">
        <f t="shared" si="23"/>
        <v>76.5</v>
      </c>
      <c r="G52" s="291">
        <f t="shared" si="23"/>
        <v>76.5</v>
      </c>
      <c r="H52" s="291">
        <f t="shared" si="2"/>
        <v>100</v>
      </c>
      <c r="I52" s="291"/>
      <c r="J52" s="213"/>
      <c r="K52" s="213"/>
      <c r="L52" s="213"/>
      <c r="M52" s="213"/>
      <c r="N52" s="213"/>
    </row>
    <row r="53" spans="1:19" ht="33" customHeight="1" x14ac:dyDescent="0.25">
      <c r="A53" s="387" t="s">
        <v>18</v>
      </c>
      <c r="B53" s="386" t="s">
        <v>198</v>
      </c>
      <c r="C53" s="5" t="s">
        <v>6</v>
      </c>
      <c r="D53" s="296">
        <v>43.5</v>
      </c>
      <c r="E53" s="296">
        <f>D48*85%</f>
        <v>76.5</v>
      </c>
      <c r="F53" s="296">
        <v>76.5</v>
      </c>
      <c r="G53" s="296">
        <v>76.5</v>
      </c>
      <c r="H53" s="296">
        <f t="shared" si="2"/>
        <v>100</v>
      </c>
      <c r="I53" s="296"/>
      <c r="J53" s="127"/>
      <c r="K53" s="127"/>
      <c r="L53" s="224"/>
      <c r="M53" s="127"/>
      <c r="N53" s="127"/>
    </row>
    <row r="54" spans="1:19" ht="33" customHeight="1" x14ac:dyDescent="0.25">
      <c r="A54" s="5"/>
      <c r="B54" s="386" t="s">
        <v>199</v>
      </c>
      <c r="C54" s="5" t="s">
        <v>6</v>
      </c>
      <c r="D54" s="296">
        <v>5</v>
      </c>
      <c r="E54" s="296"/>
      <c r="F54" s="296"/>
      <c r="G54" s="296"/>
      <c r="H54" s="291"/>
      <c r="I54" s="296"/>
      <c r="J54" s="127"/>
      <c r="K54" s="127"/>
      <c r="L54" s="127"/>
      <c r="M54" s="127"/>
      <c r="N54" s="127"/>
    </row>
    <row r="55" spans="1:19" ht="33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3.6</v>
      </c>
      <c r="E55" s="291">
        <f t="shared" ref="E55:G55" si="24">E56+E57</f>
        <v>4.0999999999999996</v>
      </c>
      <c r="F55" s="291">
        <f t="shared" si="24"/>
        <v>3.1</v>
      </c>
      <c r="G55" s="291">
        <f t="shared" si="24"/>
        <v>3.1</v>
      </c>
      <c r="H55" s="291">
        <f t="shared" si="2"/>
        <v>75.609756097560989</v>
      </c>
      <c r="I55" s="291"/>
      <c r="J55" s="127"/>
      <c r="K55" s="127"/>
      <c r="L55" s="127"/>
      <c r="M55" s="127"/>
      <c r="N55" s="127"/>
    </row>
    <row r="56" spans="1:19" ht="33" customHeight="1" x14ac:dyDescent="0.25">
      <c r="A56" s="5" t="s">
        <v>24</v>
      </c>
      <c r="B56" s="383" t="s">
        <v>197</v>
      </c>
      <c r="C56" s="5" t="s">
        <v>6</v>
      </c>
      <c r="D56" s="296">
        <v>2.5</v>
      </c>
      <c r="E56" s="296">
        <f>D56+E58</f>
        <v>3.1</v>
      </c>
      <c r="F56" s="296">
        <v>3.1</v>
      </c>
      <c r="G56" s="296">
        <v>3.1</v>
      </c>
      <c r="H56" s="296">
        <f t="shared" si="2"/>
        <v>100</v>
      </c>
      <c r="I56" s="296"/>
      <c r="J56" s="127"/>
      <c r="K56" s="127"/>
      <c r="L56" s="127"/>
      <c r="M56" s="127"/>
      <c r="N56" s="127"/>
    </row>
    <row r="57" spans="1:19" ht="33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1.1000000000000001</v>
      </c>
      <c r="E57" s="296">
        <f t="shared" ref="E57:G57" si="25">E58+E61</f>
        <v>1</v>
      </c>
      <c r="F57" s="296">
        <f t="shared" si="25"/>
        <v>0</v>
      </c>
      <c r="G57" s="296">
        <f t="shared" si="25"/>
        <v>0</v>
      </c>
      <c r="H57" s="291">
        <f t="shared" si="2"/>
        <v>0</v>
      </c>
      <c r="I57" s="296"/>
      <c r="J57" s="127"/>
      <c r="K57" s="127"/>
      <c r="L57" s="127"/>
      <c r="M57" s="127"/>
      <c r="N57" s="127"/>
    </row>
    <row r="58" spans="1:19" s="149" customFormat="1" ht="33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</v>
      </c>
      <c r="E58" s="299">
        <f>E59+E60</f>
        <v>0.6</v>
      </c>
      <c r="F58" s="299">
        <f t="shared" ref="F58:G58" si="26">F59+F60</f>
        <v>0</v>
      </c>
      <c r="G58" s="299">
        <f t="shared" si="26"/>
        <v>0</v>
      </c>
      <c r="H58" s="291">
        <f t="shared" si="2"/>
        <v>0</v>
      </c>
      <c r="I58" s="299"/>
      <c r="J58" s="217"/>
      <c r="K58" s="142"/>
      <c r="L58" s="142"/>
      <c r="M58" s="142"/>
      <c r="N58" s="142"/>
      <c r="O58" s="142"/>
      <c r="P58" s="156"/>
      <c r="Q58" s="156"/>
      <c r="R58" s="156"/>
      <c r="S58" s="156"/>
    </row>
    <row r="59" spans="1:19" ht="33" customHeight="1" x14ac:dyDescent="0.25">
      <c r="A59" s="5" t="s">
        <v>18</v>
      </c>
      <c r="B59" s="383" t="s">
        <v>202</v>
      </c>
      <c r="C59" s="5" t="s">
        <v>6</v>
      </c>
      <c r="D59" s="296"/>
      <c r="E59" s="296">
        <v>0.3</v>
      </c>
      <c r="F59" s="296">
        <v>0</v>
      </c>
      <c r="G59" s="296">
        <v>0</v>
      </c>
      <c r="H59" s="291">
        <f t="shared" si="2"/>
        <v>0</v>
      </c>
      <c r="I59" s="296"/>
      <c r="J59" s="214"/>
      <c r="K59" s="132"/>
      <c r="L59" s="114"/>
      <c r="M59" s="114"/>
      <c r="N59" s="114"/>
      <c r="O59" s="114"/>
      <c r="P59" s="138"/>
      <c r="Q59" s="138"/>
      <c r="R59" s="138"/>
      <c r="S59" s="138"/>
    </row>
    <row r="60" spans="1:19" ht="33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0.3</v>
      </c>
      <c r="F60" s="296">
        <v>0</v>
      </c>
      <c r="G60" s="296">
        <v>0</v>
      </c>
      <c r="H60" s="291">
        <f t="shared" si="2"/>
        <v>0</v>
      </c>
      <c r="I60" s="296"/>
      <c r="J60" s="214"/>
      <c r="K60" s="132"/>
      <c r="L60" s="114"/>
      <c r="M60" s="114"/>
      <c r="N60" s="114"/>
      <c r="O60" s="114"/>
      <c r="P60" s="138"/>
      <c r="Q60" s="138"/>
      <c r="R60" s="138"/>
      <c r="S60" s="138"/>
    </row>
    <row r="61" spans="1:19" s="149" customFormat="1" ht="33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1.1000000000000001</v>
      </c>
      <c r="E61" s="299">
        <f t="shared" ref="E61:G61" si="27">E62+E63</f>
        <v>0.4</v>
      </c>
      <c r="F61" s="299">
        <f t="shared" si="27"/>
        <v>0</v>
      </c>
      <c r="G61" s="299">
        <f t="shared" si="27"/>
        <v>0</v>
      </c>
      <c r="H61" s="291">
        <f t="shared" si="2"/>
        <v>0</v>
      </c>
      <c r="I61" s="299"/>
      <c r="J61" s="214"/>
      <c r="K61" s="142"/>
      <c r="L61" s="142"/>
      <c r="M61" s="142"/>
      <c r="N61" s="142"/>
      <c r="O61" s="159"/>
      <c r="P61" s="156"/>
      <c r="Q61" s="156"/>
      <c r="R61" s="156"/>
      <c r="S61" s="156"/>
    </row>
    <row r="62" spans="1:19" ht="33" customHeight="1" x14ac:dyDescent="0.25">
      <c r="A62" s="5" t="s">
        <v>18</v>
      </c>
      <c r="B62" s="383" t="s">
        <v>203</v>
      </c>
      <c r="C62" s="5" t="s">
        <v>6</v>
      </c>
      <c r="D62" s="296">
        <f>1.5-0.4</f>
        <v>1.1000000000000001</v>
      </c>
      <c r="E62" s="296">
        <v>0.3</v>
      </c>
      <c r="F62" s="296">
        <v>0</v>
      </c>
      <c r="G62" s="296">
        <v>0</v>
      </c>
      <c r="H62" s="291">
        <f t="shared" si="2"/>
        <v>0</v>
      </c>
      <c r="I62" s="296"/>
      <c r="J62" s="214"/>
      <c r="K62" s="132"/>
      <c r="L62" s="114"/>
      <c r="M62" s="114"/>
      <c r="N62" s="114"/>
      <c r="O62" s="114"/>
      <c r="P62" s="138"/>
      <c r="Q62" s="138"/>
      <c r="R62" s="138"/>
      <c r="S62" s="138"/>
    </row>
    <row r="63" spans="1:19" ht="33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0.1</v>
      </c>
      <c r="F63" s="296">
        <v>0</v>
      </c>
      <c r="G63" s="296">
        <v>0</v>
      </c>
      <c r="H63" s="291">
        <f t="shared" si="2"/>
        <v>0</v>
      </c>
      <c r="I63" s="296"/>
      <c r="J63" s="214"/>
      <c r="K63" s="132"/>
      <c r="L63" s="114"/>
      <c r="M63" s="114"/>
      <c r="N63" s="114"/>
      <c r="O63" s="114"/>
      <c r="P63" s="138"/>
      <c r="Q63" s="138"/>
      <c r="R63" s="138"/>
      <c r="S63" s="138"/>
    </row>
    <row r="64" spans="1:19" ht="33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0</v>
      </c>
      <c r="E64" s="291">
        <f t="shared" ref="E64:G64" si="28">E65+E66</f>
        <v>0</v>
      </c>
      <c r="F64" s="291">
        <f t="shared" si="28"/>
        <v>0</v>
      </c>
      <c r="G64" s="291">
        <f t="shared" si="28"/>
        <v>0</v>
      </c>
      <c r="H64" s="291"/>
      <c r="I64" s="291"/>
      <c r="J64" s="214"/>
      <c r="K64" s="155"/>
      <c r="L64" s="155"/>
      <c r="M64" s="155"/>
      <c r="N64" s="155"/>
      <c r="O64" s="138"/>
      <c r="P64" s="138"/>
      <c r="Q64" s="138"/>
      <c r="R64" s="138"/>
      <c r="S64" s="138"/>
    </row>
    <row r="65" spans="1:19" ht="33" customHeight="1" x14ac:dyDescent="0.25">
      <c r="A65" s="5" t="s">
        <v>18</v>
      </c>
      <c r="B65" s="383" t="s">
        <v>196</v>
      </c>
      <c r="C65" s="5" t="s">
        <v>6</v>
      </c>
      <c r="D65" s="296"/>
      <c r="E65" s="296"/>
      <c r="F65" s="296"/>
      <c r="G65" s="296"/>
      <c r="H65" s="291"/>
      <c r="I65" s="296"/>
      <c r="J65" s="214"/>
      <c r="K65" s="155"/>
      <c r="L65" s="155"/>
      <c r="M65" s="155"/>
      <c r="N65" s="155"/>
      <c r="O65" s="138"/>
      <c r="P65" s="138"/>
      <c r="Q65" s="138"/>
      <c r="R65" s="138"/>
      <c r="S65" s="138"/>
    </row>
    <row r="66" spans="1:19" ht="33" customHeight="1" x14ac:dyDescent="0.25">
      <c r="A66" s="5" t="s">
        <v>18</v>
      </c>
      <c r="B66" s="337" t="s">
        <v>31</v>
      </c>
      <c r="C66" s="5" t="s">
        <v>6</v>
      </c>
      <c r="D66" s="296"/>
      <c r="E66" s="296"/>
      <c r="F66" s="296"/>
      <c r="G66" s="296"/>
      <c r="H66" s="291"/>
      <c r="I66" s="296"/>
      <c r="J66" s="127"/>
      <c r="K66" s="155"/>
      <c r="L66" s="155"/>
      <c r="M66" s="155"/>
      <c r="N66" s="155"/>
      <c r="O66" s="138"/>
      <c r="P66" s="138"/>
      <c r="Q66" s="138"/>
      <c r="R66" s="138"/>
      <c r="S66" s="138"/>
    </row>
    <row r="67" spans="1:19" ht="33" customHeight="1" x14ac:dyDescent="0.25">
      <c r="A67" s="3">
        <v>6</v>
      </c>
      <c r="B67" s="335" t="s">
        <v>38</v>
      </c>
      <c r="C67" s="3" t="s">
        <v>6</v>
      </c>
      <c r="D67" s="291">
        <f>D68+D71</f>
        <v>15.690000000000001</v>
      </c>
      <c r="E67" s="291">
        <f t="shared" ref="E67:G67" si="29">E68+E71</f>
        <v>13.88</v>
      </c>
      <c r="F67" s="291">
        <f t="shared" si="29"/>
        <v>13.69</v>
      </c>
      <c r="G67" s="291">
        <f t="shared" si="29"/>
        <v>13.69</v>
      </c>
      <c r="H67" s="291">
        <f t="shared" si="2"/>
        <v>98.631123919308351</v>
      </c>
      <c r="I67" s="291"/>
      <c r="J67" s="127"/>
      <c r="K67" s="155"/>
      <c r="L67" s="155"/>
      <c r="M67" s="155"/>
      <c r="N67" s="155"/>
      <c r="O67" s="138"/>
      <c r="P67" s="138"/>
      <c r="Q67" s="138"/>
      <c r="R67" s="138"/>
      <c r="S67" s="138"/>
    </row>
    <row r="68" spans="1:19" ht="33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0</v>
      </c>
      <c r="E68" s="291">
        <f t="shared" ref="E68:G68" si="30">E69+E70</f>
        <v>0</v>
      </c>
      <c r="F68" s="291">
        <f t="shared" si="30"/>
        <v>0</v>
      </c>
      <c r="G68" s="291">
        <f t="shared" si="30"/>
        <v>0</v>
      </c>
      <c r="H68" s="291"/>
      <c r="I68" s="291"/>
      <c r="J68" s="127"/>
      <c r="K68" s="155"/>
      <c r="L68" s="155"/>
      <c r="M68" s="155"/>
      <c r="N68" s="155"/>
      <c r="O68" s="138"/>
      <c r="P68" s="138"/>
      <c r="Q68" s="138"/>
      <c r="R68" s="138"/>
      <c r="S68" s="138"/>
    </row>
    <row r="69" spans="1:19" ht="33" customHeight="1" x14ac:dyDescent="0.25">
      <c r="A69" s="5" t="s">
        <v>18</v>
      </c>
      <c r="B69" s="383" t="s">
        <v>205</v>
      </c>
      <c r="C69" s="5" t="s">
        <v>6</v>
      </c>
      <c r="D69" s="296"/>
      <c r="E69" s="296"/>
      <c r="F69" s="296"/>
      <c r="G69" s="296"/>
      <c r="H69" s="291"/>
      <c r="I69" s="296"/>
      <c r="J69" s="127"/>
      <c r="K69" s="155"/>
      <c r="L69" s="155"/>
      <c r="M69" s="155"/>
      <c r="N69" s="155"/>
      <c r="O69" s="138"/>
      <c r="P69" s="138"/>
      <c r="Q69" s="138"/>
      <c r="R69" s="138"/>
      <c r="S69" s="138"/>
    </row>
    <row r="70" spans="1:19" ht="33" customHeight="1" x14ac:dyDescent="0.25">
      <c r="A70" s="5" t="s">
        <v>18</v>
      </c>
      <c r="B70" s="383" t="s">
        <v>206</v>
      </c>
      <c r="C70" s="5" t="s">
        <v>6</v>
      </c>
      <c r="D70" s="296"/>
      <c r="E70" s="296"/>
      <c r="F70" s="296"/>
      <c r="G70" s="296"/>
      <c r="H70" s="291"/>
      <c r="I70" s="296"/>
      <c r="J70" s="127"/>
      <c r="K70" s="155"/>
      <c r="L70" s="155"/>
      <c r="M70" s="155"/>
      <c r="N70" s="155"/>
      <c r="O70" s="138"/>
      <c r="P70" s="138"/>
      <c r="Q70" s="138"/>
      <c r="R70" s="138"/>
      <c r="S70" s="138"/>
    </row>
    <row r="71" spans="1:19" ht="33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15.690000000000001</v>
      </c>
      <c r="E71" s="291">
        <f t="shared" ref="E71:G71" si="31">E72+E73</f>
        <v>13.88</v>
      </c>
      <c r="F71" s="291">
        <f t="shared" si="31"/>
        <v>13.69</v>
      </c>
      <c r="G71" s="291">
        <f t="shared" si="31"/>
        <v>13.69</v>
      </c>
      <c r="H71" s="291">
        <f t="shared" si="2"/>
        <v>98.631123919308351</v>
      </c>
      <c r="I71" s="291"/>
      <c r="J71" s="127"/>
      <c r="K71" s="155"/>
      <c r="L71" s="155"/>
      <c r="M71" s="155"/>
      <c r="N71" s="155"/>
      <c r="O71" s="138"/>
      <c r="P71" s="138"/>
      <c r="Q71" s="138"/>
      <c r="R71" s="138"/>
      <c r="S71" s="138"/>
    </row>
    <row r="72" spans="1:19" ht="33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15.190000000000001</v>
      </c>
      <c r="E72" s="302">
        <f t="shared" ref="E72:G73" si="32">E75+E82</f>
        <v>13.690000000000001</v>
      </c>
      <c r="F72" s="302">
        <f t="shared" si="32"/>
        <v>13.69</v>
      </c>
      <c r="G72" s="302">
        <f t="shared" si="32"/>
        <v>13.69</v>
      </c>
      <c r="H72" s="291">
        <f t="shared" si="2"/>
        <v>99.999999999999986</v>
      </c>
      <c r="I72" s="302"/>
      <c r="J72" s="127"/>
      <c r="K72" s="155"/>
      <c r="L72" s="155"/>
      <c r="M72" s="155"/>
      <c r="N72" s="155"/>
      <c r="O72" s="138"/>
      <c r="P72" s="138"/>
      <c r="Q72" s="138"/>
      <c r="R72" s="138"/>
      <c r="S72" s="138"/>
    </row>
    <row r="73" spans="1:19" ht="33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0.5</v>
      </c>
      <c r="E73" s="291">
        <f t="shared" si="32"/>
        <v>0.19</v>
      </c>
      <c r="F73" s="291">
        <f t="shared" si="32"/>
        <v>0</v>
      </c>
      <c r="G73" s="291">
        <f t="shared" si="32"/>
        <v>0</v>
      </c>
      <c r="H73" s="291">
        <f t="shared" si="2"/>
        <v>0</v>
      </c>
      <c r="I73" s="291"/>
      <c r="J73" s="213"/>
      <c r="K73" s="228"/>
      <c r="L73" s="228"/>
      <c r="M73" s="228"/>
      <c r="N73" s="228"/>
      <c r="O73" s="138"/>
      <c r="P73" s="138"/>
      <c r="Q73" s="138"/>
      <c r="R73" s="138"/>
      <c r="S73" s="138"/>
    </row>
    <row r="74" spans="1:19" ht="33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11.16</v>
      </c>
      <c r="E74" s="304">
        <f t="shared" ref="E74:G74" si="33">E75+E76</f>
        <v>10.16</v>
      </c>
      <c r="F74" s="304">
        <f t="shared" si="33"/>
        <v>10.16</v>
      </c>
      <c r="G74" s="304">
        <f t="shared" si="33"/>
        <v>10.16</v>
      </c>
      <c r="H74" s="313">
        <f t="shared" ref="H74:H93" si="34">F74/E74*100</f>
        <v>100</v>
      </c>
      <c r="I74" s="304"/>
      <c r="J74" s="144"/>
      <c r="K74" s="229"/>
      <c r="L74" s="150"/>
      <c r="M74" s="150"/>
      <c r="N74" s="150"/>
      <c r="O74" s="150"/>
      <c r="P74" s="150"/>
      <c r="Q74" s="150"/>
      <c r="R74" s="138"/>
      <c r="S74" s="138"/>
    </row>
    <row r="75" spans="1:19" ht="33" customHeight="1" x14ac:dyDescent="0.25">
      <c r="A75" s="7" t="s">
        <v>24</v>
      </c>
      <c r="B75" s="391" t="s">
        <v>196</v>
      </c>
      <c r="C75" s="5" t="s">
        <v>6</v>
      </c>
      <c r="D75" s="306">
        <v>11.16</v>
      </c>
      <c r="E75" s="306">
        <v>10.16</v>
      </c>
      <c r="F75" s="296">
        <v>10.16</v>
      </c>
      <c r="G75" s="296">
        <v>10.16</v>
      </c>
      <c r="H75" s="296">
        <f t="shared" si="34"/>
        <v>100</v>
      </c>
      <c r="I75" s="296"/>
      <c r="J75" s="127"/>
      <c r="K75" s="155"/>
      <c r="L75" s="132"/>
      <c r="M75" s="132"/>
      <c r="N75" s="132"/>
      <c r="O75" s="147"/>
      <c r="P75" s="147"/>
      <c r="Q75" s="147"/>
      <c r="R75" s="138"/>
      <c r="S75" s="138"/>
    </row>
    <row r="76" spans="1:19" ht="33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0</v>
      </c>
      <c r="E76" s="307">
        <f>SUM(E77:E80)</f>
        <v>0</v>
      </c>
      <c r="F76" s="307">
        <f t="shared" ref="F76:G76" si="35">SUM(F77:F80)</f>
        <v>0</v>
      </c>
      <c r="G76" s="307">
        <f t="shared" si="35"/>
        <v>0</v>
      </c>
      <c r="H76" s="291"/>
      <c r="I76" s="307"/>
      <c r="J76" s="217"/>
      <c r="K76" s="218"/>
      <c r="L76" s="142"/>
      <c r="M76" s="142"/>
      <c r="N76" s="142"/>
      <c r="O76" s="147"/>
      <c r="P76" s="147"/>
      <c r="Q76" s="147"/>
      <c r="R76" s="138"/>
      <c r="S76" s="138"/>
    </row>
    <row r="77" spans="1:19" ht="33" customHeight="1" x14ac:dyDescent="0.25">
      <c r="A77" s="4" t="s">
        <v>18</v>
      </c>
      <c r="B77" s="393" t="s">
        <v>212</v>
      </c>
      <c r="C77" s="4" t="s">
        <v>6</v>
      </c>
      <c r="D77" s="296"/>
      <c r="E77" s="296"/>
      <c r="F77" s="296"/>
      <c r="G77" s="296"/>
      <c r="H77" s="291"/>
      <c r="I77" s="296"/>
      <c r="J77" s="217"/>
      <c r="K77" s="218"/>
      <c r="L77" s="142"/>
      <c r="M77" s="230"/>
      <c r="N77" s="230"/>
      <c r="O77" s="147"/>
      <c r="P77" s="157"/>
      <c r="Q77" s="157"/>
      <c r="R77" s="138"/>
      <c r="S77" s="138"/>
    </row>
    <row r="78" spans="1:19" ht="33" customHeight="1" x14ac:dyDescent="0.25">
      <c r="A78" s="4" t="s">
        <v>18</v>
      </c>
      <c r="B78" s="393" t="s">
        <v>189</v>
      </c>
      <c r="C78" s="4" t="s">
        <v>6</v>
      </c>
      <c r="D78" s="296"/>
      <c r="E78" s="296">
        <v>0</v>
      </c>
      <c r="F78" s="296"/>
      <c r="G78" s="296"/>
      <c r="H78" s="291"/>
      <c r="I78" s="296"/>
      <c r="J78" s="217"/>
      <c r="K78" s="218"/>
      <c r="L78" s="142"/>
      <c r="M78" s="142"/>
      <c r="N78" s="142"/>
      <c r="O78" s="147"/>
      <c r="P78" s="147"/>
      <c r="Q78" s="147"/>
      <c r="R78" s="138"/>
      <c r="S78" s="138"/>
    </row>
    <row r="79" spans="1:19" ht="33" customHeight="1" x14ac:dyDescent="0.25">
      <c r="A79" s="4" t="s">
        <v>18</v>
      </c>
      <c r="B79" s="393" t="s">
        <v>190</v>
      </c>
      <c r="C79" s="4" t="s">
        <v>6</v>
      </c>
      <c r="D79" s="296"/>
      <c r="E79" s="296"/>
      <c r="F79" s="296"/>
      <c r="G79" s="296"/>
      <c r="H79" s="291"/>
      <c r="I79" s="296"/>
      <c r="J79" s="217"/>
      <c r="K79" s="218"/>
      <c r="L79" s="142"/>
      <c r="M79" s="142"/>
      <c r="N79" s="142"/>
      <c r="O79" s="147"/>
      <c r="P79" s="147"/>
      <c r="Q79" s="147"/>
      <c r="R79" s="138"/>
      <c r="S79" s="138"/>
    </row>
    <row r="80" spans="1:19" ht="33" customHeight="1" x14ac:dyDescent="0.25">
      <c r="A80" s="4" t="s">
        <v>18</v>
      </c>
      <c r="B80" s="394" t="s">
        <v>208</v>
      </c>
      <c r="C80" s="4" t="s">
        <v>6</v>
      </c>
      <c r="D80" s="296"/>
      <c r="E80" s="296"/>
      <c r="F80" s="296"/>
      <c r="G80" s="296"/>
      <c r="H80" s="291"/>
      <c r="I80" s="296"/>
      <c r="J80" s="217"/>
      <c r="K80" s="218"/>
      <c r="L80" s="142"/>
      <c r="M80" s="142"/>
      <c r="N80" s="142"/>
      <c r="O80" s="147"/>
      <c r="P80" s="147"/>
      <c r="Q80" s="147"/>
      <c r="R80" s="138"/>
      <c r="S80" s="138"/>
    </row>
    <row r="81" spans="1:20" s="152" customFormat="1" ht="33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4.53</v>
      </c>
      <c r="E81" s="304">
        <f t="shared" ref="E81:G81" si="36">E82+E83</f>
        <v>3.72</v>
      </c>
      <c r="F81" s="304">
        <f t="shared" si="36"/>
        <v>3.53</v>
      </c>
      <c r="G81" s="304">
        <f t="shared" si="36"/>
        <v>3.53</v>
      </c>
      <c r="H81" s="313">
        <f t="shared" si="34"/>
        <v>94.892473118279568</v>
      </c>
      <c r="I81" s="304"/>
      <c r="J81" s="144"/>
      <c r="K81" s="229"/>
      <c r="L81" s="150"/>
      <c r="M81" s="150"/>
      <c r="N81" s="150"/>
      <c r="O81" s="150"/>
      <c r="P81" s="150"/>
      <c r="Q81" s="150"/>
      <c r="R81" s="158"/>
      <c r="S81" s="158"/>
    </row>
    <row r="82" spans="1:20" s="149" customFormat="1" ht="33" customHeight="1" x14ac:dyDescent="0.25">
      <c r="A82" s="392" t="s">
        <v>18</v>
      </c>
      <c r="B82" s="393" t="s">
        <v>188</v>
      </c>
      <c r="C82" s="4" t="s">
        <v>6</v>
      </c>
      <c r="D82" s="299">
        <v>4.03</v>
      </c>
      <c r="E82" s="299">
        <f>D82+D83-1</f>
        <v>3.5300000000000002</v>
      </c>
      <c r="F82" s="299">
        <v>3.53</v>
      </c>
      <c r="G82" s="299">
        <v>3.53</v>
      </c>
      <c r="H82" s="299">
        <f t="shared" si="34"/>
        <v>99.999999999999986</v>
      </c>
      <c r="I82" s="299"/>
      <c r="J82" s="217"/>
      <c r="K82" s="218"/>
      <c r="L82" s="142"/>
      <c r="M82" s="142"/>
      <c r="N82" s="142"/>
      <c r="O82" s="159"/>
      <c r="P82" s="159"/>
      <c r="Q82" s="159"/>
      <c r="R82" s="156"/>
      <c r="S82" s="156"/>
    </row>
    <row r="83" spans="1:20" ht="33" customHeight="1" x14ac:dyDescent="0.25">
      <c r="A83" s="392" t="s">
        <v>15</v>
      </c>
      <c r="B83" s="389" t="s">
        <v>210</v>
      </c>
      <c r="C83" s="5" t="s">
        <v>6</v>
      </c>
      <c r="D83" s="306">
        <f t="shared" ref="D83" si="37">SUM(D84:D87)</f>
        <v>0.5</v>
      </c>
      <c r="E83" s="306">
        <f>SUM(E84:E87)</f>
        <v>0.19</v>
      </c>
      <c r="F83" s="306">
        <f t="shared" ref="F83:G83" si="38">SUM(F84:F87)</f>
        <v>0</v>
      </c>
      <c r="G83" s="306">
        <f t="shared" si="38"/>
        <v>0</v>
      </c>
      <c r="H83" s="291">
        <f t="shared" si="34"/>
        <v>0</v>
      </c>
      <c r="I83" s="306"/>
      <c r="J83" s="217"/>
      <c r="K83" s="218"/>
      <c r="L83" s="218"/>
      <c r="M83" s="218"/>
      <c r="N83" s="218"/>
      <c r="O83" s="138"/>
      <c r="P83" s="138"/>
      <c r="Q83" s="138"/>
      <c r="R83" s="138"/>
      <c r="S83" s="138"/>
    </row>
    <row r="84" spans="1:20" ht="33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291"/>
      <c r="I84" s="296"/>
      <c r="J84" s="219"/>
      <c r="K84" s="142"/>
      <c r="L84" s="142"/>
      <c r="M84" s="142"/>
      <c r="N84" s="142"/>
      <c r="O84" s="138"/>
      <c r="P84" s="138"/>
      <c r="Q84" s="138"/>
      <c r="R84" s="138"/>
      <c r="S84" s="138"/>
    </row>
    <row r="85" spans="1:20" ht="33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291"/>
      <c r="I85" s="296"/>
      <c r="J85" s="219"/>
      <c r="K85" s="142"/>
      <c r="L85" s="142"/>
      <c r="M85" s="142"/>
      <c r="N85" s="142"/>
      <c r="O85" s="138"/>
      <c r="P85" s="138"/>
      <c r="Q85" s="138"/>
      <c r="R85" s="138"/>
      <c r="S85" s="138"/>
    </row>
    <row r="86" spans="1:20" ht="33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291"/>
      <c r="I86" s="296"/>
      <c r="J86" s="219"/>
      <c r="K86" s="142"/>
      <c r="L86" s="142"/>
      <c r="M86" s="142"/>
      <c r="N86" s="147"/>
      <c r="O86" s="147"/>
      <c r="P86" s="147"/>
      <c r="Q86" s="147"/>
      <c r="R86" s="138"/>
      <c r="S86" s="138"/>
    </row>
    <row r="87" spans="1:20" ht="33" customHeight="1" x14ac:dyDescent="0.25">
      <c r="A87" s="392" t="s">
        <v>18</v>
      </c>
      <c r="B87" s="393" t="s">
        <v>193</v>
      </c>
      <c r="C87" s="4" t="s">
        <v>6</v>
      </c>
      <c r="D87" s="296">
        <v>0.5</v>
      </c>
      <c r="E87" s="296">
        <v>0.19</v>
      </c>
      <c r="F87" s="296">
        <v>0</v>
      </c>
      <c r="G87" s="296">
        <v>0</v>
      </c>
      <c r="H87" s="291">
        <f t="shared" si="34"/>
        <v>0</v>
      </c>
      <c r="I87" s="296"/>
      <c r="J87" s="219"/>
      <c r="K87" s="142"/>
      <c r="L87" s="142"/>
      <c r="M87" s="230"/>
      <c r="N87" s="230"/>
      <c r="O87" s="157"/>
      <c r="P87" s="157"/>
      <c r="Q87" s="157"/>
      <c r="R87" s="157"/>
      <c r="S87" s="157"/>
      <c r="T87" s="126"/>
    </row>
    <row r="88" spans="1:20" ht="33" customHeight="1" x14ac:dyDescent="0.25">
      <c r="A88" s="3" t="s">
        <v>44</v>
      </c>
      <c r="B88" s="334" t="s">
        <v>45</v>
      </c>
      <c r="C88" s="3"/>
      <c r="D88" s="291">
        <f>SUM(D89:D93)</f>
        <v>467</v>
      </c>
      <c r="E88" s="291">
        <f t="shared" ref="E88:G88" si="39">SUM(E89:E93)</f>
        <v>407</v>
      </c>
      <c r="F88" s="291">
        <f t="shared" si="39"/>
        <v>342</v>
      </c>
      <c r="G88" s="291">
        <f t="shared" si="39"/>
        <v>342</v>
      </c>
      <c r="H88" s="291">
        <f t="shared" si="34"/>
        <v>84.029484029484024</v>
      </c>
      <c r="I88" s="291"/>
      <c r="J88" s="128"/>
      <c r="K88" s="132"/>
      <c r="L88" s="136"/>
      <c r="M88" s="136"/>
      <c r="N88" s="132"/>
      <c r="O88" s="138"/>
      <c r="P88" s="138"/>
      <c r="Q88" s="138"/>
      <c r="R88" s="138"/>
      <c r="S88" s="138"/>
    </row>
    <row r="89" spans="1:20" s="194" customFormat="1" ht="33" customHeight="1" x14ac:dyDescent="0.25">
      <c r="A89" s="5">
        <v>1</v>
      </c>
      <c r="B89" s="337" t="s">
        <v>46</v>
      </c>
      <c r="C89" s="5" t="s">
        <v>8</v>
      </c>
      <c r="D89" s="296">
        <v>42</v>
      </c>
      <c r="E89" s="296">
        <v>0</v>
      </c>
      <c r="F89" s="296">
        <v>0</v>
      </c>
      <c r="G89" s="296">
        <v>0</v>
      </c>
      <c r="H89" s="291"/>
      <c r="I89" s="296"/>
      <c r="J89" s="128"/>
      <c r="K89" s="116"/>
      <c r="L89" s="318"/>
      <c r="M89" s="319"/>
      <c r="N89" s="231"/>
      <c r="O89" s="202"/>
      <c r="P89" s="202"/>
      <c r="Q89" s="202"/>
      <c r="R89" s="202"/>
      <c r="S89" s="202"/>
    </row>
    <row r="90" spans="1:20" s="194" customFormat="1" ht="33" customHeight="1" x14ac:dyDescent="0.25">
      <c r="A90" s="5">
        <v>2</v>
      </c>
      <c r="B90" s="337" t="s">
        <v>47</v>
      </c>
      <c r="C90" s="5" t="s">
        <v>8</v>
      </c>
      <c r="D90" s="296">
        <v>70</v>
      </c>
      <c r="E90" s="296">
        <f>69+11</f>
        <v>80</v>
      </c>
      <c r="F90" s="296">
        <v>76</v>
      </c>
      <c r="G90" s="296">
        <f>F90</f>
        <v>76</v>
      </c>
      <c r="H90" s="296">
        <f t="shared" si="34"/>
        <v>95</v>
      </c>
      <c r="I90" s="296"/>
      <c r="J90" s="222"/>
      <c r="K90" s="215"/>
      <c r="L90" s="318"/>
      <c r="M90" s="319"/>
      <c r="N90" s="231"/>
      <c r="O90" s="202"/>
      <c r="P90" s="202"/>
      <c r="Q90" s="202"/>
      <c r="R90" s="202"/>
      <c r="S90" s="202"/>
    </row>
    <row r="91" spans="1:20" s="194" customFormat="1" ht="33" customHeight="1" x14ac:dyDescent="0.25">
      <c r="A91" s="5">
        <v>3</v>
      </c>
      <c r="B91" s="337" t="s">
        <v>48</v>
      </c>
      <c r="C91" s="5" t="s">
        <v>8</v>
      </c>
      <c r="D91" s="296">
        <v>40</v>
      </c>
      <c r="E91" s="296">
        <f>40+12</f>
        <v>52</v>
      </c>
      <c r="F91" s="296">
        <v>48</v>
      </c>
      <c r="G91" s="296">
        <f>F91</f>
        <v>48</v>
      </c>
      <c r="H91" s="296">
        <f t="shared" si="34"/>
        <v>92.307692307692307</v>
      </c>
      <c r="I91" s="296"/>
      <c r="J91" s="222"/>
      <c r="K91" s="215"/>
      <c r="L91" s="318"/>
      <c r="M91" s="319"/>
      <c r="N91" s="231"/>
      <c r="O91" s="202"/>
      <c r="P91" s="202"/>
      <c r="Q91" s="202"/>
      <c r="R91" s="202"/>
      <c r="S91" s="202"/>
    </row>
    <row r="92" spans="1:20" s="194" customFormat="1" ht="33" customHeight="1" x14ac:dyDescent="0.25">
      <c r="A92" s="5">
        <v>4</v>
      </c>
      <c r="B92" s="337" t="s">
        <v>49</v>
      </c>
      <c r="C92" s="5" t="s">
        <v>8</v>
      </c>
      <c r="D92" s="296">
        <v>8</v>
      </c>
      <c r="E92" s="296">
        <f>10+3</f>
        <v>13</v>
      </c>
      <c r="F92" s="296">
        <v>11</v>
      </c>
      <c r="G92" s="296">
        <f>F92</f>
        <v>11</v>
      </c>
      <c r="H92" s="296">
        <f t="shared" si="34"/>
        <v>84.615384615384613</v>
      </c>
      <c r="I92" s="296"/>
      <c r="J92" s="222"/>
      <c r="K92" s="215"/>
      <c r="L92" s="320"/>
      <c r="M92" s="319"/>
      <c r="N92" s="231"/>
      <c r="O92" s="202"/>
      <c r="P92" s="202"/>
      <c r="Q92" s="202"/>
      <c r="R92" s="202"/>
      <c r="S92" s="202"/>
    </row>
    <row r="93" spans="1:20" s="194" customFormat="1" ht="33" customHeight="1" x14ac:dyDescent="0.25">
      <c r="A93" s="5">
        <v>5</v>
      </c>
      <c r="B93" s="337" t="s">
        <v>50</v>
      </c>
      <c r="C93" s="5" t="s">
        <v>8</v>
      </c>
      <c r="D93" s="296">
        <v>307</v>
      </c>
      <c r="E93" s="296">
        <f>290-28</f>
        <v>262</v>
      </c>
      <c r="F93" s="296">
        <v>207</v>
      </c>
      <c r="G93" s="296">
        <f>F93</f>
        <v>207</v>
      </c>
      <c r="H93" s="296">
        <f t="shared" si="34"/>
        <v>79.007633587786259</v>
      </c>
      <c r="I93" s="296"/>
      <c r="J93" s="267"/>
      <c r="K93" s="215"/>
      <c r="L93" s="320"/>
      <c r="M93" s="319"/>
      <c r="N93" s="231"/>
      <c r="O93" s="202"/>
      <c r="P93" s="202"/>
      <c r="Q93" s="202"/>
      <c r="R93" s="202"/>
      <c r="S93" s="202"/>
    </row>
    <row r="94" spans="1:20" s="131" customFormat="1" ht="33" customHeight="1" x14ac:dyDescent="0.25">
      <c r="A94" s="3" t="s">
        <v>51</v>
      </c>
      <c r="B94" s="335" t="s">
        <v>52</v>
      </c>
      <c r="C94" s="3" t="s">
        <v>6</v>
      </c>
      <c r="D94" s="291">
        <f>D95</f>
        <v>0</v>
      </c>
      <c r="E94" s="291">
        <f>E95</f>
        <v>0</v>
      </c>
      <c r="F94" s="291">
        <f t="shared" ref="F94:G94" si="40">F95</f>
        <v>0</v>
      </c>
      <c r="G94" s="291">
        <f t="shared" si="40"/>
        <v>0</v>
      </c>
      <c r="H94" s="291"/>
      <c r="I94" s="291"/>
      <c r="J94" s="321"/>
      <c r="K94" s="200"/>
      <c r="L94" s="129"/>
      <c r="M94" s="129"/>
      <c r="N94" s="129"/>
      <c r="O94" s="143"/>
      <c r="P94" s="143"/>
      <c r="Q94" s="143"/>
      <c r="R94" s="143"/>
      <c r="S94" s="143"/>
    </row>
    <row r="95" spans="1:20" ht="33" customHeight="1" x14ac:dyDescent="0.25">
      <c r="A95" s="4" t="s">
        <v>18</v>
      </c>
      <c r="B95" s="389" t="s">
        <v>53</v>
      </c>
      <c r="C95" s="4" t="s">
        <v>6</v>
      </c>
      <c r="D95" s="296"/>
      <c r="E95" s="296"/>
      <c r="F95" s="296"/>
      <c r="G95" s="296"/>
      <c r="H95" s="291"/>
      <c r="I95" s="296"/>
      <c r="J95" s="128"/>
      <c r="K95" s="128"/>
      <c r="L95" s="128"/>
      <c r="M95" s="128"/>
      <c r="N95" s="128"/>
    </row>
    <row r="96" spans="1:20" ht="33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0</v>
      </c>
      <c r="E96" s="291">
        <f t="shared" ref="E96:G96" si="41">E97+E98</f>
        <v>0</v>
      </c>
      <c r="F96" s="291">
        <f t="shared" si="41"/>
        <v>0</v>
      </c>
      <c r="G96" s="291">
        <f t="shared" si="41"/>
        <v>0</v>
      </c>
      <c r="H96" s="291"/>
      <c r="I96" s="291"/>
      <c r="J96" s="128"/>
      <c r="K96" s="128"/>
      <c r="L96" s="128"/>
      <c r="M96" s="128"/>
      <c r="N96" s="128"/>
    </row>
    <row r="97" spans="1:14" ht="33" customHeight="1" x14ac:dyDescent="0.25">
      <c r="A97" s="5" t="s">
        <v>18</v>
      </c>
      <c r="B97" s="391" t="s">
        <v>213</v>
      </c>
      <c r="C97" s="4" t="s">
        <v>6</v>
      </c>
      <c r="D97" s="296"/>
      <c r="E97" s="296"/>
      <c r="F97" s="296"/>
      <c r="G97" s="296"/>
      <c r="H97" s="291"/>
      <c r="I97" s="296"/>
      <c r="J97" s="128"/>
      <c r="K97" s="128"/>
      <c r="L97" s="128"/>
      <c r="M97" s="128"/>
      <c r="N97" s="128"/>
    </row>
    <row r="98" spans="1:14" ht="33" customHeight="1" x14ac:dyDescent="0.25">
      <c r="A98" s="395" t="s">
        <v>18</v>
      </c>
      <c r="B98" s="391" t="s">
        <v>56</v>
      </c>
      <c r="C98" s="4" t="s">
        <v>6</v>
      </c>
      <c r="D98" s="296"/>
      <c r="E98" s="296"/>
      <c r="F98" s="296"/>
      <c r="G98" s="296"/>
      <c r="H98" s="291"/>
      <c r="I98" s="296"/>
      <c r="J98" s="128"/>
      <c r="K98" s="128"/>
      <c r="L98" s="128"/>
      <c r="M98" s="128"/>
      <c r="N98" s="128"/>
    </row>
    <row r="99" spans="1:14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27"/>
      <c r="L99" s="127"/>
      <c r="M99" s="127"/>
      <c r="N99" s="127"/>
    </row>
    <row r="100" spans="1:14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27"/>
      <c r="L100" s="127"/>
      <c r="M100" s="127"/>
      <c r="N100" s="127"/>
    </row>
    <row r="101" spans="1:14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27"/>
      <c r="L101" s="127"/>
      <c r="M101" s="127"/>
      <c r="N101" s="127"/>
    </row>
    <row r="102" spans="1:14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27"/>
      <c r="L102" s="127"/>
      <c r="M102" s="127"/>
      <c r="N102" s="127"/>
    </row>
    <row r="103" spans="1:14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27"/>
      <c r="L103" s="127"/>
      <c r="M103" s="127"/>
      <c r="N103" s="127"/>
    </row>
    <row r="104" spans="1:14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27"/>
      <c r="L104" s="127"/>
      <c r="M104" s="127"/>
      <c r="N104" s="127"/>
    </row>
    <row r="105" spans="1:14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27"/>
      <c r="L105" s="127"/>
      <c r="M105" s="127"/>
      <c r="N105" s="127"/>
    </row>
    <row r="106" spans="1:14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27"/>
      <c r="L106" s="127"/>
      <c r="M106" s="127"/>
      <c r="N106" s="127"/>
    </row>
    <row r="107" spans="1:14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27"/>
      <c r="L107" s="127"/>
      <c r="M107" s="127"/>
      <c r="N107" s="127"/>
    </row>
    <row r="108" spans="1:14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27"/>
      <c r="L108" s="127"/>
      <c r="M108" s="127"/>
      <c r="N108" s="127"/>
    </row>
    <row r="109" spans="1:14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  <c r="N109" s="127"/>
    </row>
    <row r="110" spans="1:14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  <c r="N110" s="127"/>
    </row>
    <row r="111" spans="1:14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  <c r="N111" s="127"/>
    </row>
    <row r="112" spans="1:14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  <c r="N112" s="127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43307086614173229" bottom="0.31496062992125984" header="0" footer="0"/>
  <pageSetup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984"/>
  <sheetViews>
    <sheetView zoomScaleNormal="100" workbookViewId="0">
      <pane ySplit="8" topLeftCell="A95" activePane="bottomLeft" state="frozen"/>
      <selection pane="bottomLeft" activeCell="B7" sqref="B7:B8"/>
    </sheetView>
  </sheetViews>
  <sheetFormatPr defaultColWidth="11.21875" defaultRowHeight="15" customHeight="1" x14ac:dyDescent="0.25"/>
  <cols>
    <col min="1" max="1" width="6.5546875" style="330" customWidth="1"/>
    <col min="2" max="2" width="28.77734375" style="330" customWidth="1"/>
    <col min="3" max="3" width="9.77734375" style="330" customWidth="1"/>
    <col min="4" max="5" width="17.44140625" style="330" customWidth="1"/>
    <col min="6" max="9" width="12.6640625" style="330" customWidth="1"/>
    <col min="10" max="10" width="8.88671875" style="125" customWidth="1"/>
    <col min="11" max="11" width="21.109375" style="125" customWidth="1"/>
    <col min="12" max="14" width="8.88671875" style="125" customWidth="1"/>
    <col min="15" max="16384" width="11.21875" style="125"/>
  </cols>
  <sheetData>
    <row r="1" spans="1:20" ht="15" customHeight="1" x14ac:dyDescent="0.25">
      <c r="H1" s="409"/>
      <c r="I1" s="409"/>
    </row>
    <row r="2" spans="1:20" ht="16.5" x14ac:dyDescent="0.25">
      <c r="A2" s="410"/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  <c r="N2" s="127"/>
    </row>
    <row r="3" spans="1:20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20" ht="16.5" x14ac:dyDescent="0.25">
      <c r="A4" s="405" t="s">
        <v>237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20" ht="16.5" x14ac:dyDescent="0.25">
      <c r="A5" s="417" t="str">
        <f>'KON LING(14)'!A5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20" ht="16.5" x14ac:dyDescent="0.25">
      <c r="A6" s="376"/>
      <c r="B6" s="376"/>
      <c r="C6" s="376"/>
      <c r="D6" s="377"/>
      <c r="E6" s="377"/>
      <c r="F6" s="377"/>
      <c r="G6" s="377"/>
      <c r="H6" s="377"/>
      <c r="I6" s="377"/>
      <c r="J6" s="127"/>
      <c r="K6" s="127"/>
      <c r="L6" s="127"/>
      <c r="M6" s="127"/>
      <c r="N6" s="127"/>
    </row>
    <row r="7" spans="1:20" ht="33.6" customHeight="1" x14ac:dyDescent="0.25">
      <c r="A7" s="412" t="s">
        <v>10</v>
      </c>
      <c r="B7" s="412" t="s">
        <v>1</v>
      </c>
      <c r="C7" s="412" t="s">
        <v>11</v>
      </c>
      <c r="D7" s="414" t="s">
        <v>222</v>
      </c>
      <c r="E7" s="416" t="s">
        <v>256</v>
      </c>
      <c r="F7" s="418"/>
      <c r="G7" s="418"/>
      <c r="H7" s="419"/>
      <c r="I7" s="407" t="s">
        <v>259</v>
      </c>
      <c r="J7" s="127"/>
      <c r="K7" s="153" t="s">
        <v>215</v>
      </c>
      <c r="L7" s="174">
        <v>57</v>
      </c>
      <c r="M7" s="127"/>
      <c r="N7" s="127"/>
    </row>
    <row r="8" spans="1:20" ht="33.6" customHeight="1" x14ac:dyDescent="0.25">
      <c r="A8" s="413"/>
      <c r="B8" s="413"/>
      <c r="C8" s="413"/>
      <c r="D8" s="415"/>
      <c r="E8" s="331" t="s">
        <v>257</v>
      </c>
      <c r="F8" s="331" t="s">
        <v>261</v>
      </c>
      <c r="G8" s="331" t="s">
        <v>263</v>
      </c>
      <c r="H8" s="331" t="s">
        <v>258</v>
      </c>
      <c r="I8" s="423"/>
      <c r="J8" s="127"/>
      <c r="K8" s="153" t="s">
        <v>216</v>
      </c>
      <c r="L8" s="174">
        <v>325</v>
      </c>
      <c r="M8" s="127"/>
      <c r="N8" s="127"/>
    </row>
    <row r="9" spans="1:20" s="131" customFormat="1" ht="31.9" customHeight="1" x14ac:dyDescent="0.25">
      <c r="A9" s="3" t="s">
        <v>12</v>
      </c>
      <c r="B9" s="335" t="s">
        <v>13</v>
      </c>
      <c r="C9" s="3" t="s">
        <v>6</v>
      </c>
      <c r="D9" s="291">
        <f>D13+D28+D37+D43+D46+D67</f>
        <v>67.59</v>
      </c>
      <c r="E9" s="291">
        <f t="shared" ref="E9:G9" si="0">E13+E28+E37+E43+E46+E67</f>
        <v>85.64</v>
      </c>
      <c r="F9" s="291">
        <f t="shared" si="0"/>
        <v>37.4</v>
      </c>
      <c r="G9" s="291">
        <f t="shared" si="0"/>
        <v>37.4</v>
      </c>
      <c r="H9" s="291">
        <f>F9/E9*100</f>
        <v>43.67118169079869</v>
      </c>
      <c r="I9" s="291"/>
      <c r="J9" s="213"/>
      <c r="K9" s="213"/>
      <c r="L9" s="213"/>
      <c r="M9" s="213"/>
      <c r="N9" s="213"/>
    </row>
    <row r="10" spans="1:20" s="131" customFormat="1" ht="31.9" customHeight="1" x14ac:dyDescent="0.25">
      <c r="A10" s="3">
        <v>1</v>
      </c>
      <c r="B10" s="335" t="s">
        <v>14</v>
      </c>
      <c r="C10" s="3" t="s">
        <v>6</v>
      </c>
      <c r="D10" s="291">
        <f>D13+D28</f>
        <v>1</v>
      </c>
      <c r="E10" s="291">
        <f t="shared" ref="E10:G10" si="1">E13+E28</f>
        <v>14.05</v>
      </c>
      <c r="F10" s="291">
        <f t="shared" si="1"/>
        <v>1.04</v>
      </c>
      <c r="G10" s="291">
        <f t="shared" si="1"/>
        <v>1.04</v>
      </c>
      <c r="H10" s="291">
        <f t="shared" ref="H10:H73" si="2">F10/E10*100</f>
        <v>7.4021352313167252</v>
      </c>
      <c r="I10" s="291"/>
      <c r="J10" s="213"/>
      <c r="K10" s="213"/>
      <c r="L10" s="213"/>
      <c r="M10" s="213"/>
      <c r="N10" s="213"/>
    </row>
    <row r="11" spans="1:20" s="131" customFormat="1" ht="31.9" customHeight="1" x14ac:dyDescent="0.25">
      <c r="A11" s="3"/>
      <c r="B11" s="334" t="s">
        <v>16</v>
      </c>
      <c r="C11" s="3" t="s">
        <v>17</v>
      </c>
      <c r="D11" s="291">
        <f>D12+D30</f>
        <v>3.6850000000000001</v>
      </c>
      <c r="E11" s="291">
        <f t="shared" ref="E11:G11" si="3">E12+E30</f>
        <v>43.016175000000004</v>
      </c>
      <c r="F11" s="291">
        <f t="shared" si="3"/>
        <v>0</v>
      </c>
      <c r="G11" s="291">
        <f t="shared" si="3"/>
        <v>0</v>
      </c>
      <c r="H11" s="291">
        <f t="shared" si="2"/>
        <v>0</v>
      </c>
      <c r="I11" s="291"/>
      <c r="J11" s="213"/>
      <c r="K11" s="213"/>
      <c r="L11" s="213"/>
      <c r="M11" s="213"/>
      <c r="N11" s="213"/>
    </row>
    <row r="12" spans="1:20" s="131" customFormat="1" ht="31.9" customHeight="1" x14ac:dyDescent="0.25">
      <c r="A12" s="3"/>
      <c r="B12" s="335" t="s">
        <v>221</v>
      </c>
      <c r="C12" s="3" t="s">
        <v>17</v>
      </c>
      <c r="D12" s="291">
        <f>D15</f>
        <v>0</v>
      </c>
      <c r="E12" s="291">
        <f t="shared" ref="E12:G12" si="4">E15</f>
        <v>39.326175000000006</v>
      </c>
      <c r="F12" s="291">
        <f t="shared" si="4"/>
        <v>0</v>
      </c>
      <c r="G12" s="291">
        <f t="shared" si="4"/>
        <v>0</v>
      </c>
      <c r="H12" s="291">
        <f t="shared" si="2"/>
        <v>0</v>
      </c>
      <c r="I12" s="291"/>
      <c r="J12" s="213"/>
      <c r="K12" s="213"/>
      <c r="L12" s="213"/>
      <c r="M12" s="213"/>
      <c r="N12" s="213"/>
    </row>
    <row r="13" spans="1:20" ht="31.9" customHeight="1" x14ac:dyDescent="0.25">
      <c r="A13" s="3" t="s">
        <v>5</v>
      </c>
      <c r="B13" s="335" t="s">
        <v>19</v>
      </c>
      <c r="C13" s="3" t="s">
        <v>6</v>
      </c>
      <c r="D13" s="291">
        <f>D16+D19</f>
        <v>0</v>
      </c>
      <c r="E13" s="291">
        <f t="shared" ref="E13:G13" si="5">E16+E19</f>
        <v>13.05</v>
      </c>
      <c r="F13" s="291">
        <f t="shared" si="5"/>
        <v>1.04</v>
      </c>
      <c r="G13" s="291">
        <f t="shared" si="5"/>
        <v>1.04</v>
      </c>
      <c r="H13" s="291">
        <f t="shared" si="2"/>
        <v>7.969348659003832</v>
      </c>
      <c r="I13" s="291"/>
      <c r="J13" s="127"/>
      <c r="K13" s="127"/>
      <c r="L13" s="127"/>
      <c r="M13" s="127"/>
      <c r="N13" s="127"/>
    </row>
    <row r="14" spans="1:20" ht="31.9" customHeight="1" x14ac:dyDescent="0.25">
      <c r="A14" s="3"/>
      <c r="B14" s="337" t="s">
        <v>218</v>
      </c>
      <c r="C14" s="5" t="s">
        <v>219</v>
      </c>
      <c r="D14" s="296">
        <f>(D17+D20)/2</f>
        <v>30.125</v>
      </c>
      <c r="E14" s="296">
        <f t="shared" ref="E14:G14" si="6">(E17+E20)/2</f>
        <v>30.135000000000002</v>
      </c>
      <c r="F14" s="296">
        <f t="shared" si="6"/>
        <v>0</v>
      </c>
      <c r="G14" s="296">
        <f t="shared" si="6"/>
        <v>0</v>
      </c>
      <c r="H14" s="291">
        <f t="shared" si="2"/>
        <v>0</v>
      </c>
      <c r="I14" s="296"/>
      <c r="J14" s="127"/>
      <c r="K14" s="127"/>
      <c r="L14" s="127"/>
      <c r="M14" s="127"/>
      <c r="N14" s="127"/>
    </row>
    <row r="15" spans="1:20" ht="31.9" customHeight="1" x14ac:dyDescent="0.25">
      <c r="A15" s="3"/>
      <c r="B15" s="337" t="s">
        <v>220</v>
      </c>
      <c r="C15" s="5" t="s">
        <v>17</v>
      </c>
      <c r="D15" s="296">
        <f>D13*D14/10</f>
        <v>0</v>
      </c>
      <c r="E15" s="296">
        <f t="shared" ref="E15:G15" si="7">E13*E14/10</f>
        <v>39.326175000000006</v>
      </c>
      <c r="F15" s="296">
        <f t="shared" si="7"/>
        <v>0</v>
      </c>
      <c r="G15" s="296">
        <f t="shared" si="7"/>
        <v>0</v>
      </c>
      <c r="H15" s="291">
        <f t="shared" si="2"/>
        <v>0</v>
      </c>
      <c r="I15" s="296"/>
      <c r="J15" s="127"/>
      <c r="K15" s="127"/>
      <c r="L15" s="127"/>
      <c r="M15" s="127"/>
      <c r="N15" s="127"/>
    </row>
    <row r="16" spans="1:20" ht="31.9" customHeight="1" x14ac:dyDescent="0.25">
      <c r="A16" s="3" t="s">
        <v>20</v>
      </c>
      <c r="B16" s="335" t="s">
        <v>21</v>
      </c>
      <c r="C16" s="3" t="s">
        <v>6</v>
      </c>
      <c r="D16" s="291"/>
      <c r="E16" s="291">
        <v>1.04</v>
      </c>
      <c r="F16" s="291">
        <v>1.04</v>
      </c>
      <c r="G16" s="291">
        <v>1.04</v>
      </c>
      <c r="H16" s="291">
        <f t="shared" si="2"/>
        <v>100</v>
      </c>
      <c r="I16" s="291"/>
      <c r="J16" s="214"/>
      <c r="K16" s="214"/>
      <c r="L16" s="214"/>
      <c r="M16" s="214"/>
      <c r="N16" s="214"/>
      <c r="O16" s="135"/>
      <c r="P16" s="135"/>
      <c r="Q16" s="135"/>
      <c r="R16" s="135"/>
      <c r="S16" s="126"/>
      <c r="T16" s="126"/>
    </row>
    <row r="17" spans="1:20" ht="31.9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>
        <v>0</v>
      </c>
      <c r="G17" s="296">
        <v>0</v>
      </c>
      <c r="H17" s="291">
        <f t="shared" si="2"/>
        <v>0</v>
      </c>
      <c r="I17" s="296"/>
      <c r="J17" s="214"/>
      <c r="K17" s="214"/>
      <c r="L17" s="214"/>
      <c r="M17" s="214"/>
      <c r="N17" s="214"/>
      <c r="O17" s="135"/>
      <c r="P17" s="135"/>
      <c r="Q17" s="135"/>
      <c r="R17" s="135"/>
      <c r="S17" s="126"/>
      <c r="T17" s="126"/>
    </row>
    <row r="18" spans="1:20" ht="31.9" customHeight="1" x14ac:dyDescent="0.25">
      <c r="A18" s="3"/>
      <c r="B18" s="337" t="s">
        <v>220</v>
      </c>
      <c r="C18" s="5" t="s">
        <v>17</v>
      </c>
      <c r="D18" s="296">
        <f>D16*D17/10</f>
        <v>0</v>
      </c>
      <c r="E18" s="296">
        <f t="shared" ref="E18:G18" si="8">E16*E17/10</f>
        <v>3.4840000000000004</v>
      </c>
      <c r="F18" s="296">
        <f t="shared" si="8"/>
        <v>0</v>
      </c>
      <c r="G18" s="296">
        <f t="shared" si="8"/>
        <v>0</v>
      </c>
      <c r="H18" s="291">
        <f t="shared" si="2"/>
        <v>0</v>
      </c>
      <c r="I18" s="296"/>
      <c r="J18" s="214"/>
      <c r="K18" s="214"/>
      <c r="L18" s="214"/>
      <c r="M18" s="214"/>
      <c r="N18" s="214"/>
      <c r="O18" s="135"/>
      <c r="P18" s="135"/>
      <c r="Q18" s="135"/>
      <c r="R18" s="135"/>
      <c r="S18" s="126"/>
      <c r="T18" s="126"/>
    </row>
    <row r="19" spans="1:20" ht="31.9" customHeight="1" x14ac:dyDescent="0.25">
      <c r="A19" s="379" t="s">
        <v>22</v>
      </c>
      <c r="B19" s="380" t="s">
        <v>23</v>
      </c>
      <c r="C19" s="379" t="s">
        <v>6</v>
      </c>
      <c r="D19" s="291">
        <f t="shared" ref="D19:G19" si="9">D22+D25</f>
        <v>0</v>
      </c>
      <c r="E19" s="291">
        <f t="shared" si="9"/>
        <v>12.01</v>
      </c>
      <c r="F19" s="291">
        <f t="shared" si="9"/>
        <v>0</v>
      </c>
      <c r="G19" s="291">
        <f t="shared" si="9"/>
        <v>0</v>
      </c>
      <c r="H19" s="291">
        <f t="shared" si="2"/>
        <v>0</v>
      </c>
      <c r="I19" s="291"/>
      <c r="J19" s="128"/>
      <c r="K19" s="128"/>
      <c r="L19" s="128"/>
      <c r="M19" s="128"/>
      <c r="N19" s="128"/>
      <c r="O19" s="126"/>
      <c r="P19" s="126"/>
      <c r="Q19" s="126"/>
      <c r="R19" s="126"/>
      <c r="S19" s="126"/>
      <c r="T19" s="126"/>
    </row>
    <row r="20" spans="1:20" ht="31.9" customHeight="1" x14ac:dyDescent="0.25">
      <c r="A20" s="379"/>
      <c r="B20" s="337" t="s">
        <v>218</v>
      </c>
      <c r="C20" s="5" t="s">
        <v>219</v>
      </c>
      <c r="D20" s="296">
        <f>(D23+D26)/2</f>
        <v>26.75</v>
      </c>
      <c r="E20" s="296">
        <f t="shared" ref="E20:G20" si="10">(E23+E26)/2</f>
        <v>26.770000000000003</v>
      </c>
      <c r="F20" s="296">
        <f t="shared" si="10"/>
        <v>0</v>
      </c>
      <c r="G20" s="296">
        <f t="shared" si="10"/>
        <v>0</v>
      </c>
      <c r="H20" s="291">
        <f t="shared" si="2"/>
        <v>0</v>
      </c>
      <c r="I20" s="296"/>
      <c r="J20" s="128"/>
      <c r="K20" s="128"/>
      <c r="L20" s="128"/>
      <c r="M20" s="128"/>
      <c r="N20" s="128"/>
      <c r="O20" s="126"/>
      <c r="P20" s="126"/>
      <c r="Q20" s="126"/>
      <c r="R20" s="126"/>
      <c r="S20" s="126"/>
      <c r="T20" s="126"/>
    </row>
    <row r="21" spans="1:20" ht="31.9" customHeight="1" x14ac:dyDescent="0.25">
      <c r="A21" s="379"/>
      <c r="B21" s="337" t="s">
        <v>220</v>
      </c>
      <c r="C21" s="5" t="s">
        <v>17</v>
      </c>
      <c r="D21" s="296">
        <f>D19*D20/10</f>
        <v>0</v>
      </c>
      <c r="E21" s="296">
        <f t="shared" ref="E21:G21" si="11">E19*E20/10</f>
        <v>32.150770000000009</v>
      </c>
      <c r="F21" s="296">
        <f t="shared" si="11"/>
        <v>0</v>
      </c>
      <c r="G21" s="296">
        <f t="shared" si="11"/>
        <v>0</v>
      </c>
      <c r="H21" s="291">
        <f t="shared" si="2"/>
        <v>0</v>
      </c>
      <c r="I21" s="296"/>
      <c r="J21" s="128"/>
      <c r="K21" s="128"/>
      <c r="L21" s="128"/>
      <c r="M21" s="128"/>
      <c r="N21" s="128"/>
      <c r="O21" s="126"/>
      <c r="P21" s="126"/>
      <c r="Q21" s="126"/>
      <c r="R21" s="126"/>
      <c r="S21" s="126"/>
      <c r="T21" s="126"/>
    </row>
    <row r="22" spans="1:20" ht="31.9" customHeight="1" x14ac:dyDescent="0.25">
      <c r="A22" s="379" t="s">
        <v>24</v>
      </c>
      <c r="B22" s="380" t="s">
        <v>25</v>
      </c>
      <c r="C22" s="379" t="s">
        <v>6</v>
      </c>
      <c r="D22" s="313"/>
      <c r="E22" s="313">
        <v>12.01</v>
      </c>
      <c r="F22" s="313">
        <v>0</v>
      </c>
      <c r="G22" s="313">
        <v>0</v>
      </c>
      <c r="H22" s="291">
        <f t="shared" si="2"/>
        <v>0</v>
      </c>
      <c r="I22" s="291"/>
      <c r="J22" s="121"/>
      <c r="K22" s="121"/>
      <c r="L22" s="121"/>
      <c r="M22" s="121"/>
      <c r="N22" s="121"/>
      <c r="O22" s="122"/>
      <c r="P22" s="122"/>
      <c r="Q22" s="122"/>
      <c r="R22" s="122"/>
      <c r="S22" s="122"/>
      <c r="T22" s="122"/>
    </row>
    <row r="23" spans="1:20" ht="31.9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/>
      <c r="G23" s="296"/>
      <c r="H23" s="291">
        <f t="shared" si="2"/>
        <v>0</v>
      </c>
      <c r="I23" s="296"/>
      <c r="J23" s="121"/>
      <c r="K23" s="121"/>
      <c r="L23" s="121"/>
      <c r="M23" s="121"/>
      <c r="N23" s="121"/>
      <c r="O23" s="122"/>
      <c r="P23" s="122"/>
      <c r="Q23" s="122"/>
      <c r="R23" s="122"/>
      <c r="S23" s="122"/>
      <c r="T23" s="122"/>
    </row>
    <row r="24" spans="1:20" ht="31.9" customHeight="1" x14ac:dyDescent="0.25">
      <c r="A24" s="379"/>
      <c r="B24" s="337" t="s">
        <v>220</v>
      </c>
      <c r="C24" s="5" t="s">
        <v>17</v>
      </c>
      <c r="D24" s="291"/>
      <c r="E24" s="296"/>
      <c r="F24" s="296"/>
      <c r="G24" s="296"/>
      <c r="H24" s="291"/>
      <c r="I24" s="296"/>
      <c r="J24" s="121"/>
      <c r="K24" s="121"/>
      <c r="L24" s="121"/>
      <c r="M24" s="121"/>
      <c r="N24" s="121"/>
      <c r="O24" s="122"/>
      <c r="P24" s="122"/>
      <c r="Q24" s="122"/>
      <c r="R24" s="122"/>
      <c r="S24" s="122"/>
      <c r="T24" s="122"/>
    </row>
    <row r="25" spans="1:20" ht="31.9" customHeight="1" x14ac:dyDescent="0.25">
      <c r="A25" s="379" t="s">
        <v>24</v>
      </c>
      <c r="B25" s="380" t="s">
        <v>26</v>
      </c>
      <c r="C25" s="379" t="s">
        <v>6</v>
      </c>
      <c r="D25" s="291"/>
      <c r="E25" s="313">
        <v>0</v>
      </c>
      <c r="F25" s="299">
        <v>0</v>
      </c>
      <c r="G25" s="299">
        <v>0</v>
      </c>
      <c r="H25" s="291"/>
      <c r="I25" s="296"/>
      <c r="J25" s="121"/>
      <c r="K25" s="121"/>
      <c r="L25" s="121"/>
      <c r="M25" s="121"/>
      <c r="N25" s="121"/>
      <c r="O25" s="122"/>
      <c r="P25" s="122"/>
      <c r="Q25" s="122"/>
      <c r="R25" s="122"/>
      <c r="S25" s="122"/>
      <c r="T25" s="122"/>
    </row>
    <row r="26" spans="1:20" ht="31.9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15.2</v>
      </c>
      <c r="F26" s="296"/>
      <c r="G26" s="296"/>
      <c r="H26" s="291">
        <f t="shared" si="2"/>
        <v>0</v>
      </c>
      <c r="I26" s="296"/>
      <c r="J26" s="121"/>
      <c r="K26" s="121"/>
      <c r="L26" s="121"/>
      <c r="M26" s="121"/>
      <c r="N26" s="121"/>
      <c r="O26" s="122"/>
      <c r="P26" s="122"/>
      <c r="Q26" s="122"/>
      <c r="R26" s="122"/>
      <c r="S26" s="122"/>
      <c r="T26" s="122"/>
    </row>
    <row r="27" spans="1:20" ht="31.9" customHeight="1" x14ac:dyDescent="0.25">
      <c r="A27" s="379"/>
      <c r="B27" s="337" t="s">
        <v>220</v>
      </c>
      <c r="C27" s="5" t="s">
        <v>17</v>
      </c>
      <c r="D27" s="291"/>
      <c r="E27" s="291"/>
      <c r="F27" s="296"/>
      <c r="G27" s="296"/>
      <c r="H27" s="291"/>
      <c r="I27" s="296"/>
      <c r="J27" s="121"/>
      <c r="K27" s="121"/>
      <c r="L27" s="121"/>
      <c r="M27" s="121"/>
      <c r="N27" s="121"/>
      <c r="O27" s="122"/>
      <c r="P27" s="122"/>
      <c r="Q27" s="122"/>
      <c r="R27" s="122"/>
      <c r="S27" s="122"/>
      <c r="T27" s="122"/>
    </row>
    <row r="28" spans="1:20" ht="31.9" customHeight="1" x14ac:dyDescent="0.25">
      <c r="A28" s="3" t="s">
        <v>7</v>
      </c>
      <c r="B28" s="335" t="s">
        <v>27</v>
      </c>
      <c r="C28" s="3" t="s">
        <v>6</v>
      </c>
      <c r="D28" s="291">
        <f t="shared" ref="D28:G28" si="12">D31+D34</f>
        <v>1</v>
      </c>
      <c r="E28" s="291">
        <f t="shared" si="12"/>
        <v>1</v>
      </c>
      <c r="F28" s="291">
        <f t="shared" si="12"/>
        <v>0</v>
      </c>
      <c r="G28" s="291">
        <f t="shared" si="12"/>
        <v>0</v>
      </c>
      <c r="H28" s="291">
        <f t="shared" si="2"/>
        <v>0</v>
      </c>
      <c r="I28" s="291"/>
      <c r="J28" s="124"/>
      <c r="K28" s="124"/>
      <c r="L28" s="124"/>
      <c r="M28" s="124"/>
      <c r="N28" s="124"/>
      <c r="O28" s="123"/>
      <c r="P28" s="123"/>
      <c r="Q28" s="123"/>
      <c r="R28" s="123"/>
      <c r="S28" s="123"/>
      <c r="T28" s="123"/>
    </row>
    <row r="29" spans="1:20" ht="31.9" customHeight="1" x14ac:dyDescent="0.25">
      <c r="A29" s="3"/>
      <c r="B29" s="337" t="s">
        <v>218</v>
      </c>
      <c r="C29" s="5" t="s">
        <v>219</v>
      </c>
      <c r="D29" s="296">
        <f>D35</f>
        <v>36.85</v>
      </c>
      <c r="E29" s="296">
        <f t="shared" ref="E29:G29" si="13">E35</f>
        <v>36.9</v>
      </c>
      <c r="F29" s="296">
        <f t="shared" si="13"/>
        <v>0</v>
      </c>
      <c r="G29" s="296">
        <f t="shared" si="13"/>
        <v>0</v>
      </c>
      <c r="H29" s="291">
        <f t="shared" si="2"/>
        <v>0</v>
      </c>
      <c r="I29" s="296"/>
      <c r="J29" s="124"/>
      <c r="K29" s="124"/>
      <c r="L29" s="124"/>
      <c r="M29" s="124"/>
      <c r="N29" s="124"/>
      <c r="O29" s="123"/>
      <c r="P29" s="123"/>
      <c r="Q29" s="123"/>
      <c r="R29" s="123"/>
      <c r="S29" s="123"/>
      <c r="T29" s="123"/>
    </row>
    <row r="30" spans="1:20" ht="31.9" customHeight="1" x14ac:dyDescent="0.25">
      <c r="A30" s="3"/>
      <c r="B30" s="337" t="s">
        <v>220</v>
      </c>
      <c r="C30" s="5" t="s">
        <v>17</v>
      </c>
      <c r="D30" s="296">
        <f>D28*D29/10</f>
        <v>3.6850000000000001</v>
      </c>
      <c r="E30" s="296">
        <f t="shared" ref="E30:G30" si="14">E28*E29/10</f>
        <v>3.69</v>
      </c>
      <c r="F30" s="296">
        <f t="shared" si="14"/>
        <v>0</v>
      </c>
      <c r="G30" s="296">
        <f t="shared" si="14"/>
        <v>0</v>
      </c>
      <c r="H30" s="291">
        <f t="shared" si="2"/>
        <v>0</v>
      </c>
      <c r="I30" s="296"/>
      <c r="J30" s="124"/>
      <c r="K30" s="124"/>
      <c r="L30" s="124"/>
      <c r="M30" s="124"/>
      <c r="N30" s="124"/>
      <c r="O30" s="123"/>
      <c r="P30" s="123"/>
      <c r="Q30" s="123"/>
      <c r="R30" s="123"/>
      <c r="S30" s="123"/>
      <c r="T30" s="123"/>
    </row>
    <row r="31" spans="1:20" ht="31.9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/>
      <c r="G31" s="291"/>
      <c r="H31" s="291"/>
      <c r="I31" s="291"/>
      <c r="J31" s="124"/>
      <c r="K31" s="114"/>
      <c r="L31" s="169"/>
      <c r="M31" s="169"/>
      <c r="N31" s="169"/>
      <c r="O31" s="169"/>
      <c r="P31" s="115"/>
      <c r="Q31" s="123"/>
      <c r="R31" s="123"/>
      <c r="S31" s="123"/>
      <c r="T31" s="123"/>
    </row>
    <row r="32" spans="1:20" ht="31.9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1"/>
      <c r="H32" s="291"/>
      <c r="I32" s="291"/>
      <c r="J32" s="124"/>
      <c r="K32" s="114"/>
      <c r="L32" s="169"/>
      <c r="M32" s="169"/>
      <c r="N32" s="169"/>
      <c r="O32" s="169"/>
      <c r="P32" s="115"/>
      <c r="Q32" s="123"/>
      <c r="R32" s="123"/>
      <c r="S32" s="123"/>
      <c r="T32" s="123"/>
    </row>
    <row r="33" spans="1:23" ht="31.9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1"/>
      <c r="H33" s="291"/>
      <c r="I33" s="291"/>
      <c r="J33" s="124"/>
      <c r="K33" s="114"/>
      <c r="L33" s="169"/>
      <c r="M33" s="169"/>
      <c r="N33" s="169"/>
      <c r="O33" s="169"/>
      <c r="P33" s="115"/>
      <c r="Q33" s="123"/>
      <c r="R33" s="123"/>
      <c r="S33" s="123"/>
      <c r="T33" s="123"/>
    </row>
    <row r="34" spans="1:23" ht="31.9" customHeight="1" x14ac:dyDescent="0.25">
      <c r="A34" s="379" t="s">
        <v>22</v>
      </c>
      <c r="B34" s="380" t="s">
        <v>29</v>
      </c>
      <c r="C34" s="379" t="s">
        <v>6</v>
      </c>
      <c r="D34" s="313">
        <v>1</v>
      </c>
      <c r="E34" s="313">
        <v>1</v>
      </c>
      <c r="F34" s="313">
        <v>0</v>
      </c>
      <c r="G34" s="313">
        <v>0</v>
      </c>
      <c r="H34" s="291">
        <f t="shared" si="2"/>
        <v>0</v>
      </c>
      <c r="I34" s="296"/>
      <c r="J34" s="124"/>
      <c r="K34" s="137"/>
      <c r="L34" s="137"/>
      <c r="M34" s="137"/>
      <c r="N34" s="137"/>
      <c r="O34" s="137"/>
      <c r="P34" s="115"/>
      <c r="Q34" s="123"/>
      <c r="R34" s="123"/>
      <c r="S34" s="123"/>
      <c r="T34" s="123"/>
    </row>
    <row r="35" spans="1:23" ht="31.9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/>
      <c r="G35" s="296"/>
      <c r="H35" s="291">
        <f t="shared" si="2"/>
        <v>0</v>
      </c>
      <c r="I35" s="296"/>
      <c r="J35" s="124"/>
      <c r="K35" s="137"/>
      <c r="L35" s="137"/>
      <c r="M35" s="137"/>
      <c r="N35" s="137"/>
      <c r="O35" s="137"/>
      <c r="P35" s="115"/>
      <c r="Q35" s="123"/>
      <c r="R35" s="123"/>
      <c r="S35" s="123"/>
      <c r="T35" s="123"/>
    </row>
    <row r="36" spans="1:23" ht="31.9" customHeight="1" x14ac:dyDescent="0.25">
      <c r="A36" s="379"/>
      <c r="B36" s="337" t="s">
        <v>220</v>
      </c>
      <c r="C36" s="5" t="s">
        <v>17</v>
      </c>
      <c r="D36" s="296">
        <f>D34*D35/10</f>
        <v>3.6850000000000001</v>
      </c>
      <c r="E36" s="296">
        <f t="shared" ref="E36:G36" si="15">E34*E35/10</f>
        <v>3.69</v>
      </c>
      <c r="F36" s="296">
        <f t="shared" si="15"/>
        <v>0</v>
      </c>
      <c r="G36" s="296">
        <f t="shared" si="15"/>
        <v>0</v>
      </c>
      <c r="H36" s="291">
        <f t="shared" si="2"/>
        <v>0</v>
      </c>
      <c r="I36" s="296"/>
      <c r="J36" s="124"/>
      <c r="K36" s="137"/>
      <c r="L36" s="137"/>
      <c r="M36" s="137"/>
      <c r="N36" s="137"/>
      <c r="O36" s="137"/>
      <c r="P36" s="115"/>
      <c r="Q36" s="123"/>
      <c r="R36" s="123"/>
      <c r="S36" s="123"/>
      <c r="T36" s="123"/>
    </row>
    <row r="37" spans="1:23" ht="31.9" customHeight="1" x14ac:dyDescent="0.25">
      <c r="A37" s="3">
        <v>2</v>
      </c>
      <c r="B37" s="335" t="s">
        <v>30</v>
      </c>
      <c r="C37" s="3" t="s">
        <v>6</v>
      </c>
      <c r="D37" s="291">
        <v>30</v>
      </c>
      <c r="E37" s="291">
        <v>26.03</v>
      </c>
      <c r="F37" s="291">
        <v>0</v>
      </c>
      <c r="G37" s="291">
        <v>0</v>
      </c>
      <c r="H37" s="291">
        <f t="shared" si="2"/>
        <v>0</v>
      </c>
      <c r="I37" s="291"/>
      <c r="J37" s="121"/>
      <c r="K37" s="116"/>
      <c r="L37" s="116"/>
      <c r="M37" s="116"/>
      <c r="N37" s="116"/>
      <c r="O37" s="116"/>
      <c r="P37" s="116"/>
      <c r="Q37" s="121"/>
      <c r="R37" s="121"/>
      <c r="S37" s="121"/>
      <c r="T37" s="121"/>
      <c r="U37" s="126"/>
      <c r="V37" s="126"/>
      <c r="W37" s="126"/>
    </row>
    <row r="38" spans="1:23" ht="31.9" customHeight="1" x14ac:dyDescent="0.25">
      <c r="A38" s="3"/>
      <c r="B38" s="337" t="s">
        <v>218</v>
      </c>
      <c r="C38" s="5" t="s">
        <v>219</v>
      </c>
      <c r="D38" s="296">
        <v>137.5</v>
      </c>
      <c r="E38" s="296">
        <v>140</v>
      </c>
      <c r="F38" s="296"/>
      <c r="G38" s="296"/>
      <c r="H38" s="291">
        <f t="shared" si="2"/>
        <v>0</v>
      </c>
      <c r="I38" s="296"/>
      <c r="J38" s="121"/>
      <c r="K38" s="116"/>
      <c r="L38" s="116"/>
      <c r="M38" s="116"/>
      <c r="N38" s="116"/>
      <c r="O38" s="116"/>
      <c r="P38" s="116"/>
      <c r="Q38" s="121"/>
      <c r="R38" s="121"/>
      <c r="S38" s="121"/>
      <c r="T38" s="121"/>
      <c r="U38" s="126"/>
      <c r="V38" s="126"/>
      <c r="W38" s="126"/>
    </row>
    <row r="39" spans="1:23" ht="31.9" customHeight="1" x14ac:dyDescent="0.25">
      <c r="A39" s="3"/>
      <c r="B39" s="337" t="s">
        <v>220</v>
      </c>
      <c r="C39" s="5" t="s">
        <v>17</v>
      </c>
      <c r="D39" s="296">
        <f>D37*D38/10</f>
        <v>412.5</v>
      </c>
      <c r="E39" s="296">
        <f t="shared" ref="E39:G39" si="16">E37*E38/10</f>
        <v>364.42</v>
      </c>
      <c r="F39" s="296">
        <f t="shared" si="16"/>
        <v>0</v>
      </c>
      <c r="G39" s="296">
        <f t="shared" si="16"/>
        <v>0</v>
      </c>
      <c r="H39" s="291">
        <f t="shared" si="2"/>
        <v>0</v>
      </c>
      <c r="I39" s="296"/>
      <c r="J39" s="121"/>
      <c r="K39" s="116"/>
      <c r="L39" s="116"/>
      <c r="M39" s="116"/>
      <c r="N39" s="116"/>
      <c r="O39" s="116"/>
      <c r="P39" s="116"/>
      <c r="Q39" s="121"/>
      <c r="R39" s="121"/>
      <c r="S39" s="121"/>
      <c r="T39" s="121"/>
      <c r="U39" s="126"/>
      <c r="V39" s="126"/>
      <c r="W39" s="126"/>
    </row>
    <row r="40" spans="1:23" ht="31.9" customHeight="1" x14ac:dyDescent="0.25">
      <c r="A40" s="3">
        <v>3</v>
      </c>
      <c r="B40" s="333" t="s">
        <v>241</v>
      </c>
      <c r="C40" s="332" t="s">
        <v>6</v>
      </c>
      <c r="D40" s="294">
        <v>0.5</v>
      </c>
      <c r="E40" s="294">
        <v>0.5</v>
      </c>
      <c r="F40" s="291">
        <v>0</v>
      </c>
      <c r="G40" s="291">
        <v>0</v>
      </c>
      <c r="H40" s="291">
        <f t="shared" si="2"/>
        <v>0</v>
      </c>
      <c r="I40" s="296"/>
      <c r="J40" s="121"/>
      <c r="K40" s="116"/>
      <c r="L40" s="116"/>
      <c r="M40" s="116"/>
      <c r="N40" s="116"/>
      <c r="O40" s="116"/>
      <c r="P40" s="116"/>
      <c r="Q40" s="121"/>
      <c r="R40" s="121"/>
      <c r="S40" s="121"/>
      <c r="T40" s="121"/>
      <c r="U40" s="126"/>
      <c r="V40" s="126"/>
      <c r="W40" s="126"/>
    </row>
    <row r="41" spans="1:23" ht="31.9" customHeight="1" x14ac:dyDescent="0.25">
      <c r="A41" s="3"/>
      <c r="B41" s="336" t="s">
        <v>218</v>
      </c>
      <c r="C41" s="343" t="s">
        <v>219</v>
      </c>
      <c r="D41" s="298">
        <v>25</v>
      </c>
      <c r="E41" s="298">
        <v>24.1</v>
      </c>
      <c r="F41" s="296"/>
      <c r="G41" s="296"/>
      <c r="H41" s="291">
        <f t="shared" si="2"/>
        <v>0</v>
      </c>
      <c r="I41" s="296"/>
      <c r="J41" s="121"/>
      <c r="K41" s="116"/>
      <c r="L41" s="116"/>
      <c r="M41" s="116"/>
      <c r="N41" s="116"/>
      <c r="O41" s="116"/>
      <c r="P41" s="116"/>
      <c r="Q41" s="121"/>
      <c r="R41" s="121"/>
      <c r="S41" s="121"/>
      <c r="T41" s="121"/>
      <c r="U41" s="126"/>
      <c r="V41" s="126"/>
      <c r="W41" s="126"/>
    </row>
    <row r="42" spans="1:23" ht="31.9" customHeight="1" x14ac:dyDescent="0.25">
      <c r="A42" s="3"/>
      <c r="B42" s="336" t="s">
        <v>220</v>
      </c>
      <c r="C42" s="343" t="s">
        <v>17</v>
      </c>
      <c r="D42" s="298">
        <f>D40*D41/10</f>
        <v>1.25</v>
      </c>
      <c r="E42" s="298">
        <f>E40*E41/10</f>
        <v>1.2050000000000001</v>
      </c>
      <c r="F42" s="298">
        <f t="shared" ref="F42:G42" si="17">F40*F41/10</f>
        <v>0</v>
      </c>
      <c r="G42" s="298">
        <f t="shared" si="17"/>
        <v>0</v>
      </c>
      <c r="H42" s="291">
        <f t="shared" si="2"/>
        <v>0</v>
      </c>
      <c r="I42" s="296"/>
      <c r="J42" s="121"/>
      <c r="K42" s="116"/>
      <c r="L42" s="116"/>
      <c r="M42" s="116"/>
      <c r="N42" s="116"/>
      <c r="O42" s="116"/>
      <c r="P42" s="116"/>
      <c r="Q42" s="121"/>
      <c r="R42" s="121"/>
      <c r="S42" s="121"/>
      <c r="T42" s="121"/>
      <c r="U42" s="126"/>
      <c r="V42" s="126"/>
      <c r="W42" s="126"/>
    </row>
    <row r="43" spans="1:23" ht="31.9" customHeight="1" x14ac:dyDescent="0.25">
      <c r="A43" s="3">
        <v>4</v>
      </c>
      <c r="B43" s="335" t="s">
        <v>242</v>
      </c>
      <c r="C43" s="3" t="s">
        <v>6</v>
      </c>
      <c r="D43" s="291">
        <v>0.5</v>
      </c>
      <c r="E43" s="291">
        <v>0.5</v>
      </c>
      <c r="F43" s="291">
        <v>0.27</v>
      </c>
      <c r="G43" s="291">
        <f>F43</f>
        <v>0.27</v>
      </c>
      <c r="H43" s="291">
        <f t="shared" si="2"/>
        <v>54</v>
      </c>
      <c r="I43" s="291"/>
      <c r="J43" s="124"/>
      <c r="K43" s="116"/>
      <c r="L43" s="171"/>
      <c r="M43" s="171"/>
      <c r="N43" s="171"/>
      <c r="O43" s="171"/>
      <c r="P43" s="115"/>
      <c r="Q43" s="123"/>
      <c r="R43" s="123"/>
      <c r="S43" s="123"/>
      <c r="T43" s="123"/>
    </row>
    <row r="44" spans="1:23" ht="31.9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1">
        <f t="shared" si="2"/>
        <v>0</v>
      </c>
      <c r="I44" s="296"/>
      <c r="J44" s="124"/>
      <c r="K44" s="124"/>
      <c r="L44" s="124"/>
      <c r="M44" s="124"/>
      <c r="N44" s="124"/>
      <c r="O44" s="123"/>
      <c r="P44" s="123"/>
      <c r="Q44" s="123"/>
      <c r="R44" s="123"/>
      <c r="S44" s="123"/>
      <c r="T44" s="123"/>
    </row>
    <row r="45" spans="1:23" ht="31.9" customHeight="1" x14ac:dyDescent="0.25">
      <c r="A45" s="5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18">F43*F44/10</f>
        <v>0</v>
      </c>
      <c r="G45" s="296">
        <f t="shared" si="18"/>
        <v>0</v>
      </c>
      <c r="H45" s="291">
        <f t="shared" si="2"/>
        <v>0</v>
      </c>
      <c r="I45" s="296"/>
      <c r="J45" s="124"/>
      <c r="K45" s="124"/>
      <c r="L45" s="124"/>
      <c r="M45" s="124"/>
      <c r="N45" s="124"/>
      <c r="O45" s="123"/>
      <c r="P45" s="123"/>
      <c r="Q45" s="123"/>
      <c r="R45" s="123"/>
      <c r="S45" s="123"/>
      <c r="T45" s="123"/>
    </row>
    <row r="46" spans="1:23" ht="31.9" customHeight="1" x14ac:dyDescent="0.25">
      <c r="A46" s="3">
        <v>5</v>
      </c>
      <c r="B46" s="335" t="s">
        <v>32</v>
      </c>
      <c r="C46" s="3" t="s">
        <v>6</v>
      </c>
      <c r="D46" s="291">
        <f>D47+D55+D64</f>
        <v>22.11</v>
      </c>
      <c r="E46" s="291">
        <f t="shared" ref="E46:G46" si="19">E47+E55+E64</f>
        <v>31.41</v>
      </c>
      <c r="F46" s="291">
        <f t="shared" si="19"/>
        <v>22.61</v>
      </c>
      <c r="G46" s="291">
        <f t="shared" si="19"/>
        <v>22.61</v>
      </c>
      <c r="H46" s="291">
        <f t="shared" si="2"/>
        <v>71.983444762814386</v>
      </c>
      <c r="I46" s="291"/>
      <c r="J46" s="124"/>
      <c r="K46" s="124"/>
      <c r="L46" s="124"/>
      <c r="M46" s="124"/>
      <c r="N46" s="124"/>
      <c r="O46" s="123"/>
      <c r="P46" s="123"/>
      <c r="Q46" s="123"/>
      <c r="R46" s="123"/>
      <c r="S46" s="123"/>
      <c r="T46" s="123"/>
    </row>
    <row r="47" spans="1:23" ht="31.9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13.61</v>
      </c>
      <c r="E47" s="291">
        <f t="shared" ref="E47:G47" si="20">E48+E49</f>
        <v>21.61</v>
      </c>
      <c r="F47" s="291">
        <f t="shared" si="20"/>
        <v>13.61</v>
      </c>
      <c r="G47" s="291">
        <f t="shared" si="20"/>
        <v>13.61</v>
      </c>
      <c r="H47" s="291">
        <f t="shared" si="2"/>
        <v>62.980101804720036</v>
      </c>
      <c r="I47" s="291"/>
      <c r="J47" s="127"/>
      <c r="K47" s="127"/>
      <c r="L47" s="127"/>
      <c r="M47" s="127"/>
      <c r="N47" s="127"/>
    </row>
    <row r="48" spans="1:23" ht="31.9" customHeight="1" x14ac:dyDescent="0.25">
      <c r="A48" s="7" t="s">
        <v>24</v>
      </c>
      <c r="B48" s="383" t="s">
        <v>196</v>
      </c>
      <c r="C48" s="384" t="s">
        <v>6</v>
      </c>
      <c r="D48" s="296">
        <v>12.75</v>
      </c>
      <c r="E48" s="296">
        <f>D48+D49</f>
        <v>13.61</v>
      </c>
      <c r="F48" s="296">
        <v>13.61</v>
      </c>
      <c r="G48" s="296">
        <v>13.61</v>
      </c>
      <c r="H48" s="296">
        <f t="shared" si="2"/>
        <v>100</v>
      </c>
      <c r="I48" s="296"/>
      <c r="J48" s="121"/>
      <c r="K48" s="121"/>
      <c r="L48" s="121"/>
      <c r="M48" s="121"/>
      <c r="N48" s="121"/>
      <c r="O48" s="122"/>
      <c r="P48" s="122"/>
    </row>
    <row r="49" spans="1:17" s="131" customFormat="1" ht="31.9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0.86</v>
      </c>
      <c r="E49" s="291">
        <f t="shared" ref="E49:G49" si="21">E50+E51</f>
        <v>8</v>
      </c>
      <c r="F49" s="291">
        <f t="shared" si="21"/>
        <v>0</v>
      </c>
      <c r="G49" s="291">
        <f t="shared" si="21"/>
        <v>0</v>
      </c>
      <c r="H49" s="291">
        <f t="shared" si="2"/>
        <v>0</v>
      </c>
      <c r="I49" s="291"/>
      <c r="J49" s="213"/>
      <c r="K49" s="213"/>
      <c r="L49" s="213"/>
      <c r="M49" s="213"/>
      <c r="N49" s="213"/>
    </row>
    <row r="50" spans="1:17" ht="31.9" customHeight="1" x14ac:dyDescent="0.25">
      <c r="A50" s="384" t="s">
        <v>18</v>
      </c>
      <c r="B50" s="386" t="s">
        <v>194</v>
      </c>
      <c r="C50" s="384" t="s">
        <v>6</v>
      </c>
      <c r="D50" s="296"/>
      <c r="E50" s="296">
        <v>8</v>
      </c>
      <c r="F50" s="296">
        <v>0</v>
      </c>
      <c r="G50" s="296">
        <v>0</v>
      </c>
      <c r="H50" s="291">
        <f t="shared" si="2"/>
        <v>0</v>
      </c>
      <c r="I50" s="296"/>
      <c r="J50" s="127"/>
      <c r="K50" s="127"/>
      <c r="L50" s="127"/>
      <c r="M50" s="127"/>
      <c r="N50" s="127"/>
    </row>
    <row r="51" spans="1:17" ht="31.9" customHeight="1" x14ac:dyDescent="0.25">
      <c r="A51" s="384" t="s">
        <v>18</v>
      </c>
      <c r="B51" s="386" t="s">
        <v>35</v>
      </c>
      <c r="C51" s="5" t="s">
        <v>6</v>
      </c>
      <c r="D51" s="296">
        <v>0.86</v>
      </c>
      <c r="E51" s="296"/>
      <c r="F51" s="296"/>
      <c r="G51" s="296"/>
      <c r="H51" s="291"/>
      <c r="I51" s="296"/>
      <c r="J51" s="127"/>
      <c r="K51" s="127"/>
      <c r="L51" s="127"/>
      <c r="M51" s="127"/>
      <c r="N51" s="127"/>
    </row>
    <row r="52" spans="1:17" s="131" customFormat="1" ht="31.9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11.59</v>
      </c>
      <c r="E52" s="291">
        <f t="shared" ref="E52:G52" si="22">E53+E54</f>
        <v>10.8375</v>
      </c>
      <c r="F52" s="291">
        <f t="shared" si="22"/>
        <v>10.84</v>
      </c>
      <c r="G52" s="291">
        <f t="shared" si="22"/>
        <v>10.84</v>
      </c>
      <c r="H52" s="291">
        <f t="shared" si="2"/>
        <v>100.0230680507497</v>
      </c>
      <c r="I52" s="291"/>
      <c r="J52" s="213"/>
      <c r="K52" s="213"/>
      <c r="L52" s="213"/>
      <c r="M52" s="213"/>
      <c r="N52" s="213"/>
    </row>
    <row r="53" spans="1:17" ht="31.9" customHeight="1" x14ac:dyDescent="0.25">
      <c r="A53" s="387" t="s">
        <v>18</v>
      </c>
      <c r="B53" s="386" t="s">
        <v>198</v>
      </c>
      <c r="C53" s="5" t="s">
        <v>6</v>
      </c>
      <c r="D53" s="296">
        <v>8.2899999999999991</v>
      </c>
      <c r="E53" s="296">
        <f>D48*85%</f>
        <v>10.8375</v>
      </c>
      <c r="F53" s="296">
        <v>10.84</v>
      </c>
      <c r="G53" s="296">
        <v>10.84</v>
      </c>
      <c r="H53" s="296">
        <f t="shared" si="2"/>
        <v>100.0230680507497</v>
      </c>
      <c r="I53" s="296"/>
      <c r="J53" s="127"/>
      <c r="K53" s="127"/>
      <c r="L53" s="224"/>
      <c r="M53" s="127"/>
      <c r="N53" s="127"/>
    </row>
    <row r="54" spans="1:17" ht="31.9" customHeight="1" x14ac:dyDescent="0.25">
      <c r="A54" s="5"/>
      <c r="B54" s="386" t="s">
        <v>199</v>
      </c>
      <c r="C54" s="5" t="s">
        <v>6</v>
      </c>
      <c r="D54" s="296">
        <f>3.5-0.2</f>
        <v>3.3</v>
      </c>
      <c r="E54" s="296"/>
      <c r="F54" s="296"/>
      <c r="G54" s="296"/>
      <c r="H54" s="291"/>
      <c r="I54" s="296"/>
      <c r="J54" s="127"/>
      <c r="K54" s="127"/>
      <c r="L54" s="127"/>
      <c r="M54" s="127"/>
      <c r="N54" s="127"/>
    </row>
    <row r="55" spans="1:17" ht="31.9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8.5</v>
      </c>
      <c r="E55" s="291">
        <f t="shared" ref="E55:G55" si="23">E56+E57</f>
        <v>9.8000000000000007</v>
      </c>
      <c r="F55" s="291">
        <f t="shared" si="23"/>
        <v>9</v>
      </c>
      <c r="G55" s="291">
        <f t="shared" si="23"/>
        <v>9</v>
      </c>
      <c r="H55" s="291">
        <f t="shared" si="2"/>
        <v>91.836734693877546</v>
      </c>
      <c r="I55" s="291"/>
      <c r="J55" s="127"/>
      <c r="K55" s="127"/>
      <c r="L55" s="127"/>
      <c r="M55" s="127"/>
      <c r="N55" s="127"/>
    </row>
    <row r="56" spans="1:17" ht="31.9" customHeight="1" x14ac:dyDescent="0.25">
      <c r="A56" s="5" t="s">
        <v>24</v>
      </c>
      <c r="B56" s="383" t="s">
        <v>197</v>
      </c>
      <c r="C56" s="5" t="s">
        <v>6</v>
      </c>
      <c r="D56" s="296">
        <v>8.5</v>
      </c>
      <c r="E56" s="296">
        <f>D56+E58</f>
        <v>9</v>
      </c>
      <c r="F56" s="296">
        <v>9</v>
      </c>
      <c r="G56" s="296">
        <v>9</v>
      </c>
      <c r="H56" s="296">
        <f t="shared" si="2"/>
        <v>100</v>
      </c>
      <c r="I56" s="296"/>
      <c r="J56" s="127"/>
      <c r="K56" s="127"/>
      <c r="L56" s="127"/>
      <c r="M56" s="127"/>
      <c r="N56" s="127"/>
    </row>
    <row r="57" spans="1:17" ht="31.9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0</v>
      </c>
      <c r="E57" s="296">
        <f t="shared" ref="E57:G57" si="24">E58+E61</f>
        <v>0.8</v>
      </c>
      <c r="F57" s="296">
        <f t="shared" si="24"/>
        <v>0</v>
      </c>
      <c r="G57" s="296">
        <f t="shared" si="24"/>
        <v>0</v>
      </c>
      <c r="H57" s="291">
        <f t="shared" si="2"/>
        <v>0</v>
      </c>
      <c r="I57" s="296"/>
      <c r="J57" s="127"/>
      <c r="K57" s="127"/>
      <c r="L57" s="127"/>
      <c r="M57" s="127"/>
      <c r="N57" s="127"/>
    </row>
    <row r="58" spans="1:17" s="149" customFormat="1" ht="31.9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</v>
      </c>
      <c r="E58" s="299">
        <f t="shared" ref="E58:G58" si="25">E59+E60</f>
        <v>0.5</v>
      </c>
      <c r="F58" s="299">
        <f t="shared" si="25"/>
        <v>0</v>
      </c>
      <c r="G58" s="299">
        <f t="shared" si="25"/>
        <v>0</v>
      </c>
      <c r="H58" s="291">
        <f t="shared" si="2"/>
        <v>0</v>
      </c>
      <c r="I58" s="299"/>
      <c r="J58" s="217"/>
      <c r="K58" s="142"/>
      <c r="L58" s="142"/>
      <c r="M58" s="142"/>
      <c r="N58" s="142"/>
      <c r="O58" s="142"/>
      <c r="P58" s="156"/>
      <c r="Q58" s="156"/>
    </row>
    <row r="59" spans="1:17" ht="31.9" customHeight="1" x14ac:dyDescent="0.25">
      <c r="A59" s="5" t="s">
        <v>18</v>
      </c>
      <c r="B59" s="383" t="s">
        <v>202</v>
      </c>
      <c r="C59" s="5" t="s">
        <v>6</v>
      </c>
      <c r="D59" s="296"/>
      <c r="E59" s="296">
        <v>0.3</v>
      </c>
      <c r="F59" s="296">
        <v>0</v>
      </c>
      <c r="G59" s="296">
        <v>0</v>
      </c>
      <c r="H59" s="291">
        <f t="shared" si="2"/>
        <v>0</v>
      </c>
      <c r="I59" s="296"/>
      <c r="J59" s="214"/>
      <c r="K59" s="132"/>
      <c r="L59" s="114"/>
      <c r="M59" s="114"/>
      <c r="N59" s="114"/>
      <c r="O59" s="114"/>
      <c r="P59" s="138"/>
      <c r="Q59" s="138"/>
    </row>
    <row r="60" spans="1:17" ht="31.9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0.2</v>
      </c>
      <c r="F60" s="296">
        <v>0</v>
      </c>
      <c r="G60" s="296">
        <v>0</v>
      </c>
      <c r="H60" s="291">
        <f t="shared" si="2"/>
        <v>0</v>
      </c>
      <c r="I60" s="296"/>
      <c r="J60" s="214"/>
      <c r="K60" s="132"/>
      <c r="L60" s="114"/>
      <c r="M60" s="114"/>
      <c r="N60" s="114"/>
      <c r="O60" s="114"/>
      <c r="P60" s="138"/>
      <c r="Q60" s="138"/>
    </row>
    <row r="61" spans="1:17" s="149" customFormat="1" ht="31.9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0</v>
      </c>
      <c r="E61" s="299">
        <f t="shared" ref="E61:G61" si="26">E62+E63</f>
        <v>0.30000000000000004</v>
      </c>
      <c r="F61" s="299">
        <f t="shared" si="26"/>
        <v>0</v>
      </c>
      <c r="G61" s="299">
        <f t="shared" si="26"/>
        <v>0</v>
      </c>
      <c r="H61" s="291">
        <f t="shared" si="2"/>
        <v>0</v>
      </c>
      <c r="I61" s="299"/>
      <c r="J61" s="214"/>
      <c r="K61" s="142"/>
      <c r="L61" s="142"/>
      <c r="M61" s="142"/>
      <c r="N61" s="142"/>
      <c r="O61" s="159"/>
      <c r="P61" s="156"/>
      <c r="Q61" s="156"/>
    </row>
    <row r="62" spans="1:17" ht="31.9" customHeight="1" x14ac:dyDescent="0.25">
      <c r="A62" s="5" t="s">
        <v>18</v>
      </c>
      <c r="B62" s="383" t="s">
        <v>203</v>
      </c>
      <c r="C62" s="5" t="s">
        <v>6</v>
      </c>
      <c r="D62" s="296"/>
      <c r="E62" s="296">
        <v>0.2</v>
      </c>
      <c r="F62" s="296">
        <v>0</v>
      </c>
      <c r="G62" s="296">
        <v>0</v>
      </c>
      <c r="H62" s="291">
        <f t="shared" si="2"/>
        <v>0</v>
      </c>
      <c r="I62" s="296"/>
      <c r="J62" s="214"/>
      <c r="K62" s="132"/>
      <c r="L62" s="114"/>
      <c r="M62" s="114"/>
      <c r="N62" s="114"/>
      <c r="O62" s="114"/>
      <c r="P62" s="138"/>
      <c r="Q62" s="138"/>
    </row>
    <row r="63" spans="1:17" ht="31.9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0.1</v>
      </c>
      <c r="F63" s="296">
        <v>0</v>
      </c>
      <c r="G63" s="296">
        <v>0</v>
      </c>
      <c r="H63" s="291">
        <f t="shared" si="2"/>
        <v>0</v>
      </c>
      <c r="I63" s="296"/>
      <c r="J63" s="214"/>
      <c r="K63" s="132"/>
      <c r="L63" s="114"/>
      <c r="M63" s="114"/>
      <c r="N63" s="114"/>
      <c r="O63" s="114"/>
      <c r="P63" s="138"/>
      <c r="Q63" s="138"/>
    </row>
    <row r="64" spans="1:17" ht="31.9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0</v>
      </c>
      <c r="E64" s="291">
        <f t="shared" ref="E64:G64" si="27">E65+E66</f>
        <v>0</v>
      </c>
      <c r="F64" s="291">
        <f t="shared" si="27"/>
        <v>0</v>
      </c>
      <c r="G64" s="291">
        <f t="shared" si="27"/>
        <v>0</v>
      </c>
      <c r="H64" s="291"/>
      <c r="I64" s="291"/>
      <c r="J64" s="127"/>
      <c r="K64" s="155"/>
      <c r="L64" s="155"/>
      <c r="M64" s="155"/>
      <c r="N64" s="155"/>
      <c r="O64" s="138"/>
      <c r="P64" s="138"/>
      <c r="Q64" s="138"/>
    </row>
    <row r="65" spans="1:17" ht="31.9" customHeight="1" x14ac:dyDescent="0.25">
      <c r="A65" s="5" t="s">
        <v>18</v>
      </c>
      <c r="B65" s="383" t="s">
        <v>196</v>
      </c>
      <c r="C65" s="5" t="s">
        <v>6</v>
      </c>
      <c r="D65" s="296"/>
      <c r="E65" s="296"/>
      <c r="F65" s="296"/>
      <c r="G65" s="296"/>
      <c r="H65" s="291"/>
      <c r="I65" s="296"/>
      <c r="J65" s="127"/>
      <c r="K65" s="127"/>
      <c r="L65" s="127"/>
      <c r="M65" s="127"/>
      <c r="N65" s="127"/>
    </row>
    <row r="66" spans="1:17" ht="31.9" customHeight="1" x14ac:dyDescent="0.25">
      <c r="A66" s="5" t="s">
        <v>18</v>
      </c>
      <c r="B66" s="337" t="s">
        <v>31</v>
      </c>
      <c r="C66" s="5" t="s">
        <v>6</v>
      </c>
      <c r="D66" s="296"/>
      <c r="E66" s="296"/>
      <c r="F66" s="296"/>
      <c r="G66" s="296"/>
      <c r="H66" s="291"/>
      <c r="I66" s="296"/>
      <c r="J66" s="127"/>
      <c r="K66" s="127"/>
      <c r="L66" s="127"/>
      <c r="M66" s="127"/>
      <c r="N66" s="127"/>
    </row>
    <row r="67" spans="1:17" ht="31.9" customHeight="1" x14ac:dyDescent="0.25">
      <c r="A67" s="3">
        <v>6</v>
      </c>
      <c r="B67" s="335" t="s">
        <v>38</v>
      </c>
      <c r="C67" s="3" t="s">
        <v>6</v>
      </c>
      <c r="D67" s="291">
        <f>D68+D71</f>
        <v>13.98</v>
      </c>
      <c r="E67" s="291">
        <f t="shared" ref="E67:G67" si="28">E68+E71</f>
        <v>13.65</v>
      </c>
      <c r="F67" s="291">
        <f t="shared" si="28"/>
        <v>13.48</v>
      </c>
      <c r="G67" s="291">
        <f t="shared" si="28"/>
        <v>13.48</v>
      </c>
      <c r="H67" s="291">
        <f t="shared" si="2"/>
        <v>98.754578754578759</v>
      </c>
      <c r="I67" s="291"/>
      <c r="J67" s="127"/>
      <c r="K67" s="127"/>
      <c r="L67" s="127"/>
      <c r="M67" s="127"/>
      <c r="N67" s="127"/>
    </row>
    <row r="68" spans="1:17" ht="31.9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0</v>
      </c>
      <c r="E68" s="291">
        <f t="shared" ref="E68:G68" si="29">E69+E70</f>
        <v>0</v>
      </c>
      <c r="F68" s="291">
        <f t="shared" si="29"/>
        <v>0</v>
      </c>
      <c r="G68" s="291">
        <f t="shared" si="29"/>
        <v>0</v>
      </c>
      <c r="H68" s="291"/>
      <c r="I68" s="291"/>
      <c r="J68" s="127"/>
      <c r="K68" s="127"/>
      <c r="L68" s="127"/>
      <c r="M68" s="127"/>
      <c r="N68" s="127"/>
    </row>
    <row r="69" spans="1:17" ht="31.9" customHeight="1" x14ac:dyDescent="0.25">
      <c r="A69" s="5" t="s">
        <v>18</v>
      </c>
      <c r="B69" s="383" t="s">
        <v>205</v>
      </c>
      <c r="C69" s="5" t="s">
        <v>6</v>
      </c>
      <c r="D69" s="296"/>
      <c r="E69" s="296"/>
      <c r="F69" s="296"/>
      <c r="G69" s="296"/>
      <c r="H69" s="291"/>
      <c r="I69" s="296"/>
      <c r="J69" s="127"/>
      <c r="K69" s="127"/>
      <c r="L69" s="127"/>
      <c r="M69" s="127"/>
      <c r="N69" s="127"/>
    </row>
    <row r="70" spans="1:17" ht="31.9" customHeight="1" x14ac:dyDescent="0.25">
      <c r="A70" s="5" t="s">
        <v>18</v>
      </c>
      <c r="B70" s="383" t="s">
        <v>206</v>
      </c>
      <c r="C70" s="5" t="s">
        <v>6</v>
      </c>
      <c r="D70" s="296"/>
      <c r="E70" s="296"/>
      <c r="F70" s="296"/>
      <c r="G70" s="296"/>
      <c r="H70" s="291"/>
      <c r="I70" s="296"/>
      <c r="J70" s="127"/>
      <c r="K70" s="127"/>
      <c r="L70" s="127"/>
      <c r="M70" s="127"/>
      <c r="N70" s="127"/>
    </row>
    <row r="71" spans="1:17" ht="31.9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13.98</v>
      </c>
      <c r="E71" s="291">
        <f t="shared" ref="E71:G71" si="30">E72+E73</f>
        <v>13.65</v>
      </c>
      <c r="F71" s="291">
        <f t="shared" si="30"/>
        <v>13.48</v>
      </c>
      <c r="G71" s="291">
        <f t="shared" si="30"/>
        <v>13.48</v>
      </c>
      <c r="H71" s="291">
        <f t="shared" si="2"/>
        <v>98.754578754578759</v>
      </c>
      <c r="I71" s="291"/>
      <c r="J71" s="127"/>
      <c r="K71" s="127"/>
      <c r="L71" s="127"/>
      <c r="M71" s="127"/>
      <c r="N71" s="127"/>
    </row>
    <row r="72" spans="1:17" ht="31.9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13.48</v>
      </c>
      <c r="E72" s="302">
        <f t="shared" ref="E72:G73" si="31">E75+E82</f>
        <v>13.48</v>
      </c>
      <c r="F72" s="302">
        <f t="shared" si="31"/>
        <v>13.48</v>
      </c>
      <c r="G72" s="302">
        <f t="shared" si="31"/>
        <v>13.48</v>
      </c>
      <c r="H72" s="291">
        <f t="shared" si="2"/>
        <v>100</v>
      </c>
      <c r="I72" s="302"/>
      <c r="J72" s="127"/>
      <c r="K72" s="127"/>
      <c r="L72" s="127"/>
      <c r="M72" s="127"/>
      <c r="N72" s="127"/>
    </row>
    <row r="73" spans="1:17" ht="31.9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0.5</v>
      </c>
      <c r="E73" s="291">
        <f t="shared" si="31"/>
        <v>0.17</v>
      </c>
      <c r="F73" s="291">
        <f t="shared" si="31"/>
        <v>0</v>
      </c>
      <c r="G73" s="291">
        <f>G76+G83</f>
        <v>0</v>
      </c>
      <c r="H73" s="291">
        <f t="shared" si="2"/>
        <v>0</v>
      </c>
      <c r="I73" s="291"/>
      <c r="J73" s="213"/>
      <c r="K73" s="213"/>
      <c r="L73" s="213"/>
      <c r="M73" s="213"/>
      <c r="N73" s="213"/>
    </row>
    <row r="74" spans="1:17" ht="31.9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9.9</v>
      </c>
      <c r="E74" s="304">
        <f t="shared" ref="E74:G74" si="32">E75+E76</f>
        <v>9.9</v>
      </c>
      <c r="F74" s="304">
        <f t="shared" si="32"/>
        <v>9.9</v>
      </c>
      <c r="G74" s="304">
        <f t="shared" si="32"/>
        <v>9.9</v>
      </c>
      <c r="H74" s="313">
        <f t="shared" ref="H74:H93" si="33">F74/E74*100</f>
        <v>100</v>
      </c>
      <c r="I74" s="304"/>
      <c r="J74" s="144"/>
      <c r="K74" s="144"/>
      <c r="L74" s="151"/>
      <c r="M74" s="151"/>
      <c r="N74" s="151"/>
      <c r="O74" s="151"/>
      <c r="P74" s="151"/>
      <c r="Q74" s="151"/>
    </row>
    <row r="75" spans="1:17" ht="31.9" customHeight="1" x14ac:dyDescent="0.25">
      <c r="A75" s="7" t="s">
        <v>24</v>
      </c>
      <c r="B75" s="391" t="s">
        <v>196</v>
      </c>
      <c r="C75" s="5" t="s">
        <v>6</v>
      </c>
      <c r="D75" s="306">
        <v>9.9</v>
      </c>
      <c r="E75" s="306">
        <f>D75+D76</f>
        <v>9.9</v>
      </c>
      <c r="F75" s="306">
        <v>9.9</v>
      </c>
      <c r="G75" s="306">
        <v>9.9</v>
      </c>
      <c r="H75" s="296">
        <f t="shared" si="33"/>
        <v>100</v>
      </c>
      <c r="I75" s="296"/>
      <c r="J75" s="127"/>
      <c r="K75" s="127"/>
      <c r="L75" s="226"/>
      <c r="M75" s="128"/>
      <c r="N75" s="128"/>
      <c r="O75" s="126"/>
      <c r="P75" s="126"/>
      <c r="Q75" s="126"/>
    </row>
    <row r="76" spans="1:17" ht="31.9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0</v>
      </c>
      <c r="E76" s="307">
        <f>SUM(E77:E80)</f>
        <v>0</v>
      </c>
      <c r="F76" s="307">
        <f t="shared" ref="F76:G76" si="34">SUM(F77:F80)</f>
        <v>0</v>
      </c>
      <c r="G76" s="307">
        <f t="shared" si="34"/>
        <v>0</v>
      </c>
      <c r="H76" s="291"/>
      <c r="I76" s="307"/>
      <c r="J76" s="217"/>
      <c r="K76" s="217"/>
      <c r="L76" s="219"/>
      <c r="M76" s="219"/>
      <c r="N76" s="219"/>
      <c r="O76" s="126"/>
      <c r="P76" s="126"/>
      <c r="Q76" s="126"/>
    </row>
    <row r="77" spans="1:17" ht="31.9" customHeight="1" x14ac:dyDescent="0.25">
      <c r="A77" s="4" t="s">
        <v>18</v>
      </c>
      <c r="B77" s="393" t="s">
        <v>212</v>
      </c>
      <c r="C77" s="4" t="s">
        <v>6</v>
      </c>
      <c r="D77" s="296"/>
      <c r="E77" s="296"/>
      <c r="F77" s="296"/>
      <c r="G77" s="296"/>
      <c r="H77" s="291"/>
      <c r="I77" s="296"/>
      <c r="J77" s="217"/>
      <c r="K77" s="217"/>
      <c r="L77" s="219"/>
      <c r="M77" s="219"/>
      <c r="N77" s="220"/>
      <c r="O77" s="126"/>
      <c r="P77" s="164"/>
      <c r="Q77" s="126"/>
    </row>
    <row r="78" spans="1:17" ht="31.9" customHeight="1" x14ac:dyDescent="0.25">
      <c r="A78" s="4" t="s">
        <v>18</v>
      </c>
      <c r="B78" s="393" t="s">
        <v>189</v>
      </c>
      <c r="C78" s="4" t="s">
        <v>6</v>
      </c>
      <c r="D78" s="296"/>
      <c r="E78" s="296">
        <v>0</v>
      </c>
      <c r="F78" s="296"/>
      <c r="G78" s="296"/>
      <c r="H78" s="291"/>
      <c r="I78" s="296"/>
      <c r="J78" s="217"/>
      <c r="K78" s="217"/>
      <c r="L78" s="219"/>
      <c r="M78" s="219"/>
      <c r="N78" s="219"/>
      <c r="O78" s="126"/>
      <c r="P78" s="126"/>
      <c r="Q78" s="126"/>
    </row>
    <row r="79" spans="1:17" ht="31.9" customHeight="1" x14ac:dyDescent="0.25">
      <c r="A79" s="4" t="s">
        <v>18</v>
      </c>
      <c r="B79" s="393" t="s">
        <v>190</v>
      </c>
      <c r="C79" s="4" t="s">
        <v>6</v>
      </c>
      <c r="D79" s="296"/>
      <c r="E79" s="296"/>
      <c r="F79" s="296"/>
      <c r="G79" s="296"/>
      <c r="H79" s="291"/>
      <c r="I79" s="296"/>
      <c r="J79" s="217"/>
      <c r="K79" s="217"/>
      <c r="L79" s="219"/>
      <c r="M79" s="219"/>
      <c r="N79" s="219"/>
      <c r="O79" s="126"/>
      <c r="P79" s="126"/>
      <c r="Q79" s="126"/>
    </row>
    <row r="80" spans="1:17" ht="31.9" customHeight="1" x14ac:dyDescent="0.25">
      <c r="A80" s="4" t="s">
        <v>18</v>
      </c>
      <c r="B80" s="394" t="s">
        <v>208</v>
      </c>
      <c r="C80" s="4" t="s">
        <v>6</v>
      </c>
      <c r="D80" s="296"/>
      <c r="E80" s="296"/>
      <c r="F80" s="296"/>
      <c r="G80" s="296"/>
      <c r="H80" s="291"/>
      <c r="I80" s="296"/>
      <c r="J80" s="217"/>
      <c r="K80" s="217"/>
      <c r="L80" s="219"/>
      <c r="M80" s="219"/>
      <c r="N80" s="219"/>
      <c r="O80" s="126"/>
      <c r="P80" s="126"/>
      <c r="Q80" s="126"/>
    </row>
    <row r="81" spans="1:20" s="152" customFormat="1" ht="31.9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4.08</v>
      </c>
      <c r="E81" s="304">
        <f t="shared" ref="E81:G81" si="35">E82+E83</f>
        <v>3.75</v>
      </c>
      <c r="F81" s="304">
        <f t="shared" si="35"/>
        <v>3.58</v>
      </c>
      <c r="G81" s="304">
        <f t="shared" si="35"/>
        <v>3.58</v>
      </c>
      <c r="H81" s="313">
        <f t="shared" si="33"/>
        <v>95.466666666666669</v>
      </c>
      <c r="I81" s="304"/>
      <c r="J81" s="144"/>
      <c r="K81" s="144"/>
      <c r="L81" s="151"/>
      <c r="M81" s="151"/>
      <c r="N81" s="151"/>
      <c r="O81" s="151"/>
      <c r="P81" s="151"/>
      <c r="Q81" s="151"/>
    </row>
    <row r="82" spans="1:20" s="149" customFormat="1" ht="31.9" customHeight="1" x14ac:dyDescent="0.25">
      <c r="A82" s="392" t="s">
        <v>18</v>
      </c>
      <c r="B82" s="393" t="s">
        <v>188</v>
      </c>
      <c r="C82" s="4" t="s">
        <v>6</v>
      </c>
      <c r="D82" s="299">
        <v>3.58</v>
      </c>
      <c r="E82" s="299">
        <v>3.58</v>
      </c>
      <c r="F82" s="299">
        <v>3.58</v>
      </c>
      <c r="G82" s="299">
        <v>3.58</v>
      </c>
      <c r="H82" s="299">
        <f t="shared" si="33"/>
        <v>100</v>
      </c>
      <c r="I82" s="299"/>
      <c r="J82" s="217"/>
      <c r="K82" s="217"/>
      <c r="L82" s="220"/>
      <c r="M82" s="219"/>
      <c r="N82" s="219"/>
      <c r="O82" s="148"/>
      <c r="P82" s="148"/>
      <c r="Q82" s="148"/>
    </row>
    <row r="83" spans="1:20" ht="31.9" customHeight="1" x14ac:dyDescent="0.25">
      <c r="A83" s="392" t="s">
        <v>15</v>
      </c>
      <c r="B83" s="389" t="s">
        <v>210</v>
      </c>
      <c r="C83" s="5" t="s">
        <v>6</v>
      </c>
      <c r="D83" s="306">
        <f t="shared" ref="D83:G83" si="36">SUM(D84:D87)</f>
        <v>0.5</v>
      </c>
      <c r="E83" s="306">
        <f t="shared" si="36"/>
        <v>0.17</v>
      </c>
      <c r="F83" s="306">
        <f t="shared" si="36"/>
        <v>0</v>
      </c>
      <c r="G83" s="306">
        <f t="shared" si="36"/>
        <v>0</v>
      </c>
      <c r="H83" s="291">
        <f t="shared" si="33"/>
        <v>0</v>
      </c>
      <c r="I83" s="306"/>
      <c r="J83" s="217"/>
      <c r="K83" s="217"/>
      <c r="L83" s="219"/>
      <c r="M83" s="219"/>
      <c r="N83" s="219"/>
      <c r="O83" s="126"/>
      <c r="P83" s="126"/>
      <c r="Q83" s="126"/>
    </row>
    <row r="84" spans="1:20" ht="31.9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291"/>
      <c r="I84" s="296"/>
      <c r="J84" s="219"/>
      <c r="K84" s="219"/>
      <c r="L84" s="219"/>
      <c r="M84" s="219"/>
      <c r="N84" s="219"/>
      <c r="O84" s="126"/>
      <c r="P84" s="126"/>
      <c r="Q84" s="126"/>
    </row>
    <row r="85" spans="1:20" ht="31.9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291"/>
      <c r="I85" s="296"/>
      <c r="J85" s="219"/>
      <c r="K85" s="219"/>
      <c r="L85" s="219"/>
      <c r="M85" s="219"/>
      <c r="N85" s="219"/>
      <c r="O85" s="126"/>
      <c r="P85" s="126"/>
      <c r="Q85" s="126"/>
    </row>
    <row r="86" spans="1:20" ht="31.9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291"/>
      <c r="I86" s="296"/>
      <c r="J86" s="219"/>
      <c r="K86" s="219"/>
      <c r="L86" s="219"/>
      <c r="M86" s="219"/>
      <c r="N86" s="126"/>
      <c r="O86" s="126"/>
      <c r="P86" s="126"/>
      <c r="Q86" s="126"/>
    </row>
    <row r="87" spans="1:20" ht="31.9" customHeight="1" x14ac:dyDescent="0.25">
      <c r="A87" s="392" t="s">
        <v>18</v>
      </c>
      <c r="B87" s="393" t="s">
        <v>193</v>
      </c>
      <c r="C87" s="4" t="s">
        <v>6</v>
      </c>
      <c r="D87" s="296">
        <v>0.5</v>
      </c>
      <c r="E87" s="296">
        <v>0.17</v>
      </c>
      <c r="F87" s="296">
        <v>0</v>
      </c>
      <c r="G87" s="296">
        <v>0</v>
      </c>
      <c r="H87" s="291">
        <f t="shared" si="33"/>
        <v>0</v>
      </c>
      <c r="I87" s="296"/>
      <c r="J87" s="219"/>
      <c r="K87" s="219"/>
      <c r="L87" s="219"/>
      <c r="M87" s="220"/>
      <c r="N87" s="220"/>
      <c r="O87" s="164"/>
      <c r="P87" s="164"/>
      <c r="Q87" s="164"/>
      <c r="R87" s="164"/>
      <c r="S87" s="164"/>
      <c r="T87" s="126"/>
    </row>
    <row r="88" spans="1:20" ht="31.9" customHeight="1" x14ac:dyDescent="0.25">
      <c r="A88" s="3" t="s">
        <v>44</v>
      </c>
      <c r="B88" s="334" t="s">
        <v>45</v>
      </c>
      <c r="C88" s="3"/>
      <c r="D88" s="291">
        <f>SUM(D89:D93)</f>
        <v>406</v>
      </c>
      <c r="E88" s="291">
        <f t="shared" ref="E88:G88" si="37">SUM(E89:E93)</f>
        <v>397</v>
      </c>
      <c r="F88" s="291">
        <f t="shared" si="37"/>
        <v>350</v>
      </c>
      <c r="G88" s="291">
        <f t="shared" si="37"/>
        <v>350</v>
      </c>
      <c r="H88" s="291">
        <f t="shared" si="33"/>
        <v>88.161209068010066</v>
      </c>
      <c r="I88" s="291"/>
      <c r="J88" s="128"/>
      <c r="K88" s="128"/>
      <c r="L88" s="136"/>
      <c r="M88" s="136"/>
      <c r="N88" s="128"/>
    </row>
    <row r="89" spans="1:20" s="194" customFormat="1" ht="31.9" customHeight="1" x14ac:dyDescent="0.25">
      <c r="A89" s="5">
        <v>1</v>
      </c>
      <c r="B89" s="337" t="s">
        <v>46</v>
      </c>
      <c r="C89" s="5" t="s">
        <v>8</v>
      </c>
      <c r="D89" s="296">
        <v>37</v>
      </c>
      <c r="E89" s="296">
        <f>3+2</f>
        <v>5</v>
      </c>
      <c r="F89" s="296">
        <v>5</v>
      </c>
      <c r="G89" s="296">
        <f>F89</f>
        <v>5</v>
      </c>
      <c r="H89" s="296">
        <f t="shared" si="33"/>
        <v>100</v>
      </c>
      <c r="I89" s="296"/>
      <c r="J89" s="222"/>
      <c r="K89" s="227"/>
      <c r="L89" s="318"/>
      <c r="M89" s="319"/>
      <c r="N89" s="222"/>
    </row>
    <row r="90" spans="1:20" s="194" customFormat="1" ht="31.9" customHeight="1" x14ac:dyDescent="0.25">
      <c r="A90" s="5">
        <v>2</v>
      </c>
      <c r="B90" s="337" t="s">
        <v>47</v>
      </c>
      <c r="C90" s="5" t="s">
        <v>8</v>
      </c>
      <c r="D90" s="296">
        <v>62</v>
      </c>
      <c r="E90" s="296">
        <f>63+10</f>
        <v>73</v>
      </c>
      <c r="F90" s="296">
        <v>72</v>
      </c>
      <c r="G90" s="296">
        <f>F90</f>
        <v>72</v>
      </c>
      <c r="H90" s="296">
        <f t="shared" si="33"/>
        <v>98.630136986301366</v>
      </c>
      <c r="I90" s="296"/>
      <c r="J90" s="222"/>
      <c r="K90" s="227"/>
      <c r="L90" s="318"/>
      <c r="M90" s="319"/>
      <c r="N90" s="222"/>
    </row>
    <row r="91" spans="1:20" s="194" customFormat="1" ht="31.9" customHeight="1" x14ac:dyDescent="0.25">
      <c r="A91" s="5">
        <v>3</v>
      </c>
      <c r="B91" s="337" t="s">
        <v>48</v>
      </c>
      <c r="C91" s="5" t="s">
        <v>8</v>
      </c>
      <c r="D91" s="296">
        <v>35</v>
      </c>
      <c r="E91" s="296">
        <f>37+11</f>
        <v>48</v>
      </c>
      <c r="F91" s="296">
        <v>43</v>
      </c>
      <c r="G91" s="296">
        <f>F91</f>
        <v>43</v>
      </c>
      <c r="H91" s="296">
        <f t="shared" si="33"/>
        <v>89.583333333333343</v>
      </c>
      <c r="I91" s="296"/>
      <c r="J91" s="222"/>
      <c r="K91" s="267"/>
      <c r="L91" s="318"/>
      <c r="M91" s="319"/>
      <c r="N91" s="222"/>
    </row>
    <row r="92" spans="1:20" ht="31.9" customHeight="1" x14ac:dyDescent="0.25">
      <c r="A92" s="5">
        <v>4</v>
      </c>
      <c r="B92" s="337" t="s">
        <v>49</v>
      </c>
      <c r="C92" s="5" t="s">
        <v>8</v>
      </c>
      <c r="D92" s="296"/>
      <c r="E92" s="296"/>
      <c r="F92" s="296"/>
      <c r="G92" s="296"/>
      <c r="H92" s="291"/>
      <c r="I92" s="296"/>
      <c r="J92" s="128"/>
      <c r="K92" s="128"/>
      <c r="L92" s="320"/>
      <c r="M92" s="319"/>
      <c r="N92" s="128"/>
    </row>
    <row r="93" spans="1:20" s="194" customFormat="1" ht="31.9" customHeight="1" x14ac:dyDescent="0.25">
      <c r="A93" s="5">
        <v>5</v>
      </c>
      <c r="B93" s="337" t="s">
        <v>50</v>
      </c>
      <c r="C93" s="5" t="s">
        <v>8</v>
      </c>
      <c r="D93" s="296">
        <v>272</v>
      </c>
      <c r="E93" s="296">
        <f>300-29</f>
        <v>271</v>
      </c>
      <c r="F93" s="296">
        <v>230</v>
      </c>
      <c r="G93" s="296">
        <f>F93</f>
        <v>230</v>
      </c>
      <c r="H93" s="296">
        <f t="shared" si="33"/>
        <v>84.870848708487088</v>
      </c>
      <c r="I93" s="296"/>
      <c r="J93" s="267"/>
      <c r="K93" s="267"/>
      <c r="L93" s="320"/>
      <c r="M93" s="319"/>
      <c r="N93" s="222"/>
    </row>
    <row r="94" spans="1:20" s="131" customFormat="1" ht="31.9" customHeight="1" x14ac:dyDescent="0.25">
      <c r="A94" s="3" t="s">
        <v>51</v>
      </c>
      <c r="B94" s="335" t="s">
        <v>52</v>
      </c>
      <c r="C94" s="3" t="s">
        <v>6</v>
      </c>
      <c r="D94" s="291">
        <f>D95</f>
        <v>0</v>
      </c>
      <c r="E94" s="291">
        <f t="shared" ref="E94:G94" si="38">E95</f>
        <v>0</v>
      </c>
      <c r="F94" s="291">
        <f t="shared" si="38"/>
        <v>0</v>
      </c>
      <c r="G94" s="291">
        <f t="shared" si="38"/>
        <v>0</v>
      </c>
      <c r="H94" s="291"/>
      <c r="I94" s="291"/>
      <c r="J94" s="130"/>
      <c r="K94" s="130"/>
      <c r="L94" s="130"/>
      <c r="M94" s="130"/>
      <c r="N94" s="130"/>
    </row>
    <row r="95" spans="1:20" ht="31.9" customHeight="1" x14ac:dyDescent="0.25">
      <c r="A95" s="4" t="s">
        <v>18</v>
      </c>
      <c r="B95" s="389" t="s">
        <v>53</v>
      </c>
      <c r="C95" s="4" t="s">
        <v>6</v>
      </c>
      <c r="D95" s="296"/>
      <c r="E95" s="296"/>
      <c r="F95" s="296"/>
      <c r="G95" s="296"/>
      <c r="H95" s="291"/>
      <c r="I95" s="296"/>
      <c r="J95" s="128"/>
      <c r="K95" s="128"/>
      <c r="L95" s="128"/>
      <c r="M95" s="128"/>
      <c r="N95" s="128"/>
    </row>
    <row r="96" spans="1:20" ht="31.9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0</v>
      </c>
      <c r="E96" s="291">
        <f t="shared" ref="E96:G96" si="39">E97+E98</f>
        <v>0</v>
      </c>
      <c r="F96" s="291">
        <f t="shared" si="39"/>
        <v>0</v>
      </c>
      <c r="G96" s="291">
        <f t="shared" si="39"/>
        <v>0</v>
      </c>
      <c r="H96" s="291"/>
      <c r="I96" s="291"/>
      <c r="J96" s="128"/>
      <c r="K96" s="128"/>
      <c r="L96" s="128"/>
      <c r="M96" s="128"/>
      <c r="N96" s="128"/>
    </row>
    <row r="97" spans="1:14" ht="31.9" customHeight="1" x14ac:dyDescent="0.25">
      <c r="A97" s="5" t="s">
        <v>18</v>
      </c>
      <c r="B97" s="391" t="s">
        <v>213</v>
      </c>
      <c r="C97" s="4" t="s">
        <v>6</v>
      </c>
      <c r="D97" s="296"/>
      <c r="E97" s="296"/>
      <c r="F97" s="296"/>
      <c r="G97" s="296"/>
      <c r="H97" s="291"/>
      <c r="I97" s="296"/>
      <c r="J97" s="128"/>
      <c r="K97" s="128"/>
      <c r="L97" s="128"/>
      <c r="M97" s="128"/>
      <c r="N97" s="128"/>
    </row>
    <row r="98" spans="1:14" ht="31.9" customHeight="1" x14ac:dyDescent="0.25">
      <c r="A98" s="395" t="s">
        <v>18</v>
      </c>
      <c r="B98" s="391" t="s">
        <v>56</v>
      </c>
      <c r="C98" s="4" t="s">
        <v>6</v>
      </c>
      <c r="D98" s="296"/>
      <c r="E98" s="296"/>
      <c r="F98" s="296"/>
      <c r="G98" s="296"/>
      <c r="H98" s="291"/>
      <c r="I98" s="296"/>
      <c r="J98" s="128"/>
      <c r="K98" s="128"/>
      <c r="L98" s="128"/>
      <c r="M98" s="128"/>
      <c r="N98" s="128"/>
    </row>
    <row r="99" spans="1:14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27"/>
      <c r="L99" s="127"/>
      <c r="M99" s="127"/>
      <c r="N99" s="127"/>
    </row>
    <row r="100" spans="1:14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27"/>
      <c r="L100" s="127"/>
      <c r="M100" s="127"/>
      <c r="N100" s="127"/>
    </row>
    <row r="101" spans="1:14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27"/>
      <c r="L101" s="127"/>
      <c r="M101" s="127"/>
      <c r="N101" s="127"/>
    </row>
    <row r="102" spans="1:14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27"/>
      <c r="L102" s="127"/>
      <c r="M102" s="127"/>
      <c r="N102" s="127"/>
    </row>
    <row r="103" spans="1:14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27"/>
      <c r="L103" s="127"/>
      <c r="M103" s="127"/>
      <c r="N103" s="127"/>
    </row>
    <row r="104" spans="1:14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27"/>
      <c r="L104" s="127"/>
      <c r="M104" s="127"/>
      <c r="N104" s="127"/>
    </row>
    <row r="105" spans="1:14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27"/>
      <c r="L105" s="127"/>
      <c r="M105" s="127"/>
      <c r="N105" s="127"/>
    </row>
    <row r="106" spans="1:14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27"/>
      <c r="L106" s="127"/>
      <c r="M106" s="127"/>
      <c r="N106" s="127"/>
    </row>
    <row r="107" spans="1:14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27"/>
      <c r="L107" s="127"/>
      <c r="M107" s="127"/>
      <c r="N107" s="127"/>
    </row>
    <row r="108" spans="1:14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27"/>
      <c r="L108" s="127"/>
      <c r="M108" s="127"/>
      <c r="N108" s="127"/>
    </row>
    <row r="109" spans="1:14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  <c r="N109" s="127"/>
    </row>
    <row r="110" spans="1:14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  <c r="N110" s="127"/>
    </row>
    <row r="111" spans="1:14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  <c r="N111" s="127"/>
    </row>
    <row r="112" spans="1:14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  <c r="N112" s="127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47244094488188981" bottom="0.47244094488188981" header="0" footer="0"/>
  <pageSetup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984"/>
  <sheetViews>
    <sheetView zoomScaleNormal="100" workbookViewId="0">
      <pane ySplit="8" topLeftCell="A95" activePane="bottomLeft" state="frozen"/>
      <selection pane="bottomLeft" activeCell="B7" sqref="B7:B8"/>
    </sheetView>
  </sheetViews>
  <sheetFormatPr defaultColWidth="11.21875" defaultRowHeight="15" customHeight="1" x14ac:dyDescent="0.25"/>
  <cols>
    <col min="1" max="1" width="6.77734375" style="330" customWidth="1"/>
    <col min="2" max="2" width="31.21875" style="330" customWidth="1"/>
    <col min="3" max="3" width="9.33203125" style="330" customWidth="1"/>
    <col min="4" max="5" width="16.44140625" style="330" customWidth="1"/>
    <col min="6" max="9" width="12.6640625" style="330" customWidth="1"/>
    <col min="10" max="10" width="8.88671875" style="125" customWidth="1"/>
    <col min="11" max="11" width="21.44140625" style="125" customWidth="1"/>
    <col min="12" max="14" width="8.88671875" style="125" customWidth="1"/>
    <col min="15" max="16384" width="11.21875" style="125"/>
  </cols>
  <sheetData>
    <row r="1" spans="1:18" ht="15" customHeight="1" x14ac:dyDescent="0.25">
      <c r="H1" s="409"/>
      <c r="I1" s="409"/>
    </row>
    <row r="2" spans="1:18" ht="16.5" x14ac:dyDescent="0.25">
      <c r="A2" s="410"/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  <c r="N2" s="127"/>
    </row>
    <row r="3" spans="1:18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18" ht="16.5" x14ac:dyDescent="0.25">
      <c r="A4" s="405" t="s">
        <v>238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18" ht="16.5" x14ac:dyDescent="0.25">
      <c r="A5" s="417" t="str">
        <f>'ĐĂK PƠ TRANG(15)'!A5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18" ht="16.5" x14ac:dyDescent="0.25">
      <c r="A6" s="376"/>
      <c r="B6" s="376"/>
      <c r="C6" s="376"/>
      <c r="D6" s="377"/>
      <c r="E6" s="377"/>
      <c r="F6" s="377"/>
      <c r="G6" s="377"/>
      <c r="H6" s="377"/>
      <c r="I6" s="377"/>
      <c r="J6" s="127"/>
      <c r="K6" s="127"/>
      <c r="L6" s="127"/>
      <c r="M6" s="127"/>
      <c r="N6" s="127"/>
    </row>
    <row r="7" spans="1:18" ht="33.6" customHeight="1" x14ac:dyDescent="0.25">
      <c r="A7" s="412" t="s">
        <v>10</v>
      </c>
      <c r="B7" s="412" t="s">
        <v>1</v>
      </c>
      <c r="C7" s="412" t="s">
        <v>11</v>
      </c>
      <c r="D7" s="414" t="s">
        <v>222</v>
      </c>
      <c r="E7" s="416" t="s">
        <v>256</v>
      </c>
      <c r="F7" s="418"/>
      <c r="G7" s="418"/>
      <c r="H7" s="419"/>
      <c r="I7" s="407" t="s">
        <v>259</v>
      </c>
      <c r="J7" s="127"/>
      <c r="K7" s="153" t="s">
        <v>215</v>
      </c>
      <c r="L7" s="174">
        <v>195</v>
      </c>
      <c r="M7" s="127"/>
      <c r="N7" s="127"/>
    </row>
    <row r="8" spans="1:18" ht="33.6" customHeight="1" x14ac:dyDescent="0.25">
      <c r="A8" s="413"/>
      <c r="B8" s="413"/>
      <c r="C8" s="413"/>
      <c r="D8" s="415"/>
      <c r="E8" s="331" t="s">
        <v>257</v>
      </c>
      <c r="F8" s="331" t="s">
        <v>261</v>
      </c>
      <c r="G8" s="331" t="s">
        <v>263</v>
      </c>
      <c r="H8" s="331" t="s">
        <v>258</v>
      </c>
      <c r="I8" s="423"/>
      <c r="J8" s="127"/>
      <c r="K8" s="153" t="s">
        <v>216</v>
      </c>
      <c r="L8" s="175">
        <v>1300</v>
      </c>
      <c r="M8" s="127"/>
      <c r="N8" s="127"/>
    </row>
    <row r="9" spans="1:18" s="131" customFormat="1" ht="31.9" customHeight="1" x14ac:dyDescent="0.25">
      <c r="A9" s="3" t="s">
        <v>12</v>
      </c>
      <c r="B9" s="335" t="s">
        <v>13</v>
      </c>
      <c r="C9" s="3" t="s">
        <v>6</v>
      </c>
      <c r="D9" s="291">
        <f>D13+D28+D37+D43+D46+D67</f>
        <v>185.22</v>
      </c>
      <c r="E9" s="291">
        <f t="shared" ref="E9:G9" si="0">E13+E28+E37+E43+E46+E67</f>
        <v>180.47</v>
      </c>
      <c r="F9" s="291">
        <f t="shared" si="0"/>
        <v>100.35999999999999</v>
      </c>
      <c r="G9" s="291">
        <f t="shared" si="0"/>
        <v>100.35999999999999</v>
      </c>
      <c r="H9" s="291">
        <f>F9/E9*100</f>
        <v>55.610350750817304</v>
      </c>
      <c r="I9" s="291"/>
      <c r="J9" s="213"/>
      <c r="K9" s="213"/>
      <c r="L9" s="213"/>
      <c r="M9" s="213"/>
      <c r="N9" s="213"/>
    </row>
    <row r="10" spans="1:18" s="131" customFormat="1" ht="31.9" customHeight="1" x14ac:dyDescent="0.25">
      <c r="A10" s="3">
        <v>1</v>
      </c>
      <c r="B10" s="335" t="s">
        <v>14</v>
      </c>
      <c r="C10" s="3" t="s">
        <v>6</v>
      </c>
      <c r="D10" s="291">
        <f>D13+D28</f>
        <v>1.5</v>
      </c>
      <c r="E10" s="291">
        <f t="shared" ref="E10:G10" si="1">E13+E28</f>
        <v>23.310000000000002</v>
      </c>
      <c r="F10" s="291">
        <f t="shared" si="1"/>
        <v>0.78</v>
      </c>
      <c r="G10" s="291">
        <f t="shared" si="1"/>
        <v>0.78</v>
      </c>
      <c r="H10" s="291">
        <f t="shared" ref="H10:H73" si="2">F10/E10*100</f>
        <v>3.346203346203346</v>
      </c>
      <c r="I10" s="291"/>
      <c r="J10" s="213"/>
      <c r="K10" s="213"/>
      <c r="L10" s="213"/>
      <c r="M10" s="213"/>
      <c r="N10" s="213"/>
    </row>
    <row r="11" spans="1:18" s="131" customFormat="1" ht="31.9" customHeight="1" x14ac:dyDescent="0.25">
      <c r="A11" s="3"/>
      <c r="B11" s="334" t="s">
        <v>16</v>
      </c>
      <c r="C11" s="3" t="s">
        <v>17</v>
      </c>
      <c r="D11" s="291">
        <f>D12+D30</f>
        <v>5.5275000000000007</v>
      </c>
      <c r="E11" s="291">
        <f t="shared" ref="E11:G11" si="3">E12+E30</f>
        <v>62.971635000000006</v>
      </c>
      <c r="F11" s="291">
        <f t="shared" si="3"/>
        <v>0</v>
      </c>
      <c r="G11" s="291">
        <f t="shared" si="3"/>
        <v>0</v>
      </c>
      <c r="H11" s="291">
        <f t="shared" si="2"/>
        <v>0</v>
      </c>
      <c r="I11" s="291"/>
      <c r="J11" s="213"/>
      <c r="K11" s="213"/>
      <c r="L11" s="213"/>
      <c r="M11" s="213"/>
      <c r="N11" s="213"/>
    </row>
    <row r="12" spans="1:18" s="131" customFormat="1" ht="31.9" customHeight="1" x14ac:dyDescent="0.25">
      <c r="A12" s="3"/>
      <c r="B12" s="335" t="s">
        <v>221</v>
      </c>
      <c r="C12" s="3" t="s">
        <v>17</v>
      </c>
      <c r="D12" s="291">
        <f>D15</f>
        <v>0</v>
      </c>
      <c r="E12" s="291">
        <f t="shared" ref="E12:G12" si="4">E15</f>
        <v>57.43663500000001</v>
      </c>
      <c r="F12" s="291">
        <f t="shared" si="4"/>
        <v>0</v>
      </c>
      <c r="G12" s="291">
        <f t="shared" si="4"/>
        <v>0</v>
      </c>
      <c r="H12" s="291">
        <f t="shared" si="2"/>
        <v>0</v>
      </c>
      <c r="I12" s="291"/>
      <c r="J12" s="213"/>
      <c r="K12" s="213"/>
      <c r="L12" s="213"/>
      <c r="M12" s="213"/>
      <c r="N12" s="213"/>
    </row>
    <row r="13" spans="1:18" ht="31.9" customHeight="1" x14ac:dyDescent="0.25">
      <c r="A13" s="3" t="s">
        <v>5</v>
      </c>
      <c r="B13" s="335" t="s">
        <v>19</v>
      </c>
      <c r="C13" s="3" t="s">
        <v>6</v>
      </c>
      <c r="D13" s="291">
        <f>D16+D19</f>
        <v>0</v>
      </c>
      <c r="E13" s="291">
        <f t="shared" ref="E13:G13" si="5">E16+E19</f>
        <v>21.810000000000002</v>
      </c>
      <c r="F13" s="291">
        <f t="shared" si="5"/>
        <v>0.78</v>
      </c>
      <c r="G13" s="291">
        <f t="shared" si="5"/>
        <v>0.78</v>
      </c>
      <c r="H13" s="291">
        <f t="shared" si="2"/>
        <v>3.5763411279229711</v>
      </c>
      <c r="I13" s="291"/>
      <c r="J13" s="127"/>
      <c r="K13" s="128"/>
      <c r="L13" s="214"/>
      <c r="M13" s="128"/>
      <c r="N13" s="128"/>
    </row>
    <row r="14" spans="1:18" ht="31.9" customHeight="1" x14ac:dyDescent="0.25">
      <c r="A14" s="3"/>
      <c r="B14" s="337" t="s">
        <v>218</v>
      </c>
      <c r="C14" s="5" t="s">
        <v>219</v>
      </c>
      <c r="D14" s="296">
        <f>(D17+D20)/2</f>
        <v>30.125</v>
      </c>
      <c r="E14" s="296">
        <f t="shared" ref="E14:G14" si="6">(E17+E20)/2</f>
        <v>26.335000000000001</v>
      </c>
      <c r="F14" s="296">
        <f t="shared" si="6"/>
        <v>0</v>
      </c>
      <c r="G14" s="296">
        <f t="shared" si="6"/>
        <v>0</v>
      </c>
      <c r="H14" s="291">
        <f t="shared" si="2"/>
        <v>0</v>
      </c>
      <c r="I14" s="296"/>
      <c r="J14" s="127"/>
      <c r="K14" s="127"/>
      <c r="L14" s="127"/>
      <c r="M14" s="127"/>
      <c r="N14" s="127"/>
    </row>
    <row r="15" spans="1:18" ht="31.9" customHeight="1" x14ac:dyDescent="0.25">
      <c r="A15" s="3"/>
      <c r="B15" s="337" t="s">
        <v>220</v>
      </c>
      <c r="C15" s="5" t="s">
        <v>17</v>
      </c>
      <c r="D15" s="296">
        <f>D13*D14/10</f>
        <v>0</v>
      </c>
      <c r="E15" s="296">
        <f t="shared" ref="E15:G15" si="7">E13*E14/10</f>
        <v>57.43663500000001</v>
      </c>
      <c r="F15" s="296">
        <f t="shared" si="7"/>
        <v>0</v>
      </c>
      <c r="G15" s="296">
        <f t="shared" si="7"/>
        <v>0</v>
      </c>
      <c r="H15" s="291">
        <f t="shared" si="2"/>
        <v>0</v>
      </c>
      <c r="I15" s="296"/>
      <c r="J15" s="127"/>
      <c r="K15" s="127"/>
      <c r="L15" s="127"/>
      <c r="M15" s="127"/>
      <c r="N15" s="127"/>
    </row>
    <row r="16" spans="1:18" ht="31.9" customHeight="1" x14ac:dyDescent="0.25">
      <c r="A16" s="3" t="s">
        <v>20</v>
      </c>
      <c r="B16" s="335" t="s">
        <v>21</v>
      </c>
      <c r="C16" s="3" t="s">
        <v>6</v>
      </c>
      <c r="D16" s="291"/>
      <c r="E16" s="291">
        <v>0.78</v>
      </c>
      <c r="F16" s="291">
        <v>0.78</v>
      </c>
      <c r="G16" s="291">
        <v>0.78</v>
      </c>
      <c r="H16" s="291">
        <f t="shared" si="2"/>
        <v>100</v>
      </c>
      <c r="I16" s="291"/>
      <c r="J16" s="214"/>
      <c r="K16" s="214"/>
      <c r="L16" s="214"/>
      <c r="M16" s="214"/>
      <c r="N16" s="214"/>
      <c r="O16" s="135"/>
      <c r="P16" s="135"/>
      <c r="Q16" s="135"/>
      <c r="R16" s="135"/>
    </row>
    <row r="17" spans="1:21" ht="31.9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>
        <v>0</v>
      </c>
      <c r="G17" s="296">
        <v>0</v>
      </c>
      <c r="H17" s="291">
        <f t="shared" si="2"/>
        <v>0</v>
      </c>
      <c r="I17" s="296"/>
      <c r="J17" s="214"/>
      <c r="K17" s="214"/>
      <c r="L17" s="214"/>
      <c r="M17" s="214"/>
      <c r="N17" s="214"/>
      <c r="O17" s="135"/>
      <c r="P17" s="135"/>
      <c r="Q17" s="135"/>
      <c r="R17" s="135"/>
    </row>
    <row r="18" spans="1:21" ht="31.9" customHeight="1" x14ac:dyDescent="0.25">
      <c r="A18" s="3"/>
      <c r="B18" s="337" t="s">
        <v>220</v>
      </c>
      <c r="C18" s="5" t="s">
        <v>17</v>
      </c>
      <c r="D18" s="296">
        <f>D16*D17/10</f>
        <v>0</v>
      </c>
      <c r="E18" s="296">
        <f t="shared" ref="E18:G18" si="8">E16*E17/10</f>
        <v>2.6130000000000004</v>
      </c>
      <c r="F18" s="296">
        <f t="shared" si="8"/>
        <v>0</v>
      </c>
      <c r="G18" s="296">
        <f t="shared" si="8"/>
        <v>0</v>
      </c>
      <c r="H18" s="291">
        <f t="shared" si="2"/>
        <v>0</v>
      </c>
      <c r="I18" s="296"/>
      <c r="J18" s="214"/>
      <c r="K18" s="214"/>
      <c r="L18" s="214"/>
      <c r="M18" s="214"/>
      <c r="N18" s="214"/>
      <c r="O18" s="135"/>
      <c r="P18" s="135"/>
      <c r="Q18" s="135"/>
      <c r="R18" s="135"/>
    </row>
    <row r="19" spans="1:21" ht="31.9" customHeight="1" x14ac:dyDescent="0.25">
      <c r="A19" s="379" t="s">
        <v>22</v>
      </c>
      <c r="B19" s="380" t="s">
        <v>23</v>
      </c>
      <c r="C19" s="379" t="s">
        <v>6</v>
      </c>
      <c r="D19" s="291">
        <f t="shared" ref="D19:G19" si="9">D22+D25</f>
        <v>0</v>
      </c>
      <c r="E19" s="291">
        <f t="shared" si="9"/>
        <v>21.03</v>
      </c>
      <c r="F19" s="291">
        <f t="shared" si="9"/>
        <v>0</v>
      </c>
      <c r="G19" s="291">
        <f t="shared" si="9"/>
        <v>0</v>
      </c>
      <c r="H19" s="291">
        <f t="shared" si="2"/>
        <v>0</v>
      </c>
      <c r="I19" s="291"/>
      <c r="J19" s="128"/>
      <c r="K19" s="128"/>
      <c r="L19" s="128"/>
      <c r="M19" s="128"/>
      <c r="N19" s="223"/>
      <c r="O19" s="133"/>
      <c r="P19" s="133"/>
      <c r="Q19" s="133"/>
      <c r="R19" s="133"/>
      <c r="S19" s="133"/>
      <c r="T19" s="133"/>
      <c r="U19" s="133"/>
    </row>
    <row r="20" spans="1:21" ht="31.9" customHeight="1" x14ac:dyDescent="0.25">
      <c r="A20" s="379"/>
      <c r="B20" s="337" t="s">
        <v>218</v>
      </c>
      <c r="C20" s="5" t="s">
        <v>219</v>
      </c>
      <c r="D20" s="296">
        <f>(D23+D26)/2</f>
        <v>26.75</v>
      </c>
      <c r="E20" s="296">
        <f t="shared" ref="E20:G20" si="10">(E23+E26)/2</f>
        <v>19.170000000000002</v>
      </c>
      <c r="F20" s="296">
        <f t="shared" si="10"/>
        <v>0</v>
      </c>
      <c r="G20" s="296">
        <f t="shared" si="10"/>
        <v>0</v>
      </c>
      <c r="H20" s="291">
        <f t="shared" si="2"/>
        <v>0</v>
      </c>
      <c r="I20" s="296"/>
      <c r="J20" s="128"/>
      <c r="K20" s="128"/>
      <c r="L20" s="128"/>
      <c r="M20" s="128"/>
      <c r="N20" s="223"/>
      <c r="O20" s="133"/>
      <c r="P20" s="133"/>
      <c r="Q20" s="133"/>
      <c r="R20" s="133"/>
      <c r="S20" s="133"/>
      <c r="T20" s="133"/>
      <c r="U20" s="133"/>
    </row>
    <row r="21" spans="1:21" ht="31.9" customHeight="1" x14ac:dyDescent="0.25">
      <c r="A21" s="379"/>
      <c r="B21" s="337" t="s">
        <v>220</v>
      </c>
      <c r="C21" s="5" t="s">
        <v>17</v>
      </c>
      <c r="D21" s="296">
        <f>D19*D20/10</f>
        <v>0</v>
      </c>
      <c r="E21" s="296">
        <f t="shared" ref="E21:G21" si="11">E19*E20/10</f>
        <v>40.314510000000006</v>
      </c>
      <c r="F21" s="296">
        <f t="shared" si="11"/>
        <v>0</v>
      </c>
      <c r="G21" s="296">
        <f t="shared" si="11"/>
        <v>0</v>
      </c>
      <c r="H21" s="291">
        <f t="shared" si="2"/>
        <v>0</v>
      </c>
      <c r="I21" s="296"/>
      <c r="J21" s="128"/>
      <c r="K21" s="128"/>
      <c r="L21" s="128"/>
      <c r="M21" s="128"/>
      <c r="N21" s="223"/>
      <c r="O21" s="133"/>
      <c r="P21" s="133"/>
      <c r="Q21" s="133"/>
      <c r="R21" s="133"/>
      <c r="S21" s="133"/>
      <c r="T21" s="133"/>
      <c r="U21" s="133"/>
    </row>
    <row r="22" spans="1:21" ht="31.9" customHeight="1" x14ac:dyDescent="0.25">
      <c r="A22" s="379" t="s">
        <v>24</v>
      </c>
      <c r="B22" s="380" t="s">
        <v>25</v>
      </c>
      <c r="C22" s="379" t="s">
        <v>6</v>
      </c>
      <c r="D22" s="291"/>
      <c r="E22" s="313">
        <v>21.03</v>
      </c>
      <c r="F22" s="291">
        <v>0</v>
      </c>
      <c r="G22" s="313">
        <v>0</v>
      </c>
      <c r="H22" s="291">
        <f t="shared" si="2"/>
        <v>0</v>
      </c>
      <c r="I22" s="291"/>
      <c r="J22" s="121"/>
      <c r="K22" s="121"/>
      <c r="L22" s="121"/>
      <c r="M22" s="121"/>
      <c r="N22" s="145"/>
      <c r="O22" s="146"/>
      <c r="P22" s="146"/>
      <c r="Q22" s="146"/>
      <c r="R22" s="146"/>
      <c r="S22" s="146"/>
      <c r="T22" s="136"/>
      <c r="U22" s="133"/>
    </row>
    <row r="23" spans="1:21" ht="31.9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/>
      <c r="G23" s="296"/>
      <c r="H23" s="291">
        <f t="shared" si="2"/>
        <v>0</v>
      </c>
      <c r="I23" s="296"/>
      <c r="J23" s="121"/>
      <c r="K23" s="121"/>
      <c r="L23" s="121"/>
      <c r="M23" s="121"/>
      <c r="N23" s="145"/>
      <c r="O23" s="146"/>
      <c r="P23" s="146"/>
      <c r="Q23" s="146"/>
      <c r="R23" s="146"/>
      <c r="S23" s="146"/>
      <c r="T23" s="136"/>
      <c r="U23" s="133"/>
    </row>
    <row r="24" spans="1:21" ht="31.9" customHeight="1" x14ac:dyDescent="0.25">
      <c r="A24" s="379"/>
      <c r="B24" s="337" t="s">
        <v>220</v>
      </c>
      <c r="C24" s="5" t="s">
        <v>17</v>
      </c>
      <c r="D24" s="296"/>
      <c r="E24" s="296"/>
      <c r="F24" s="296"/>
      <c r="G24" s="296"/>
      <c r="H24" s="291"/>
      <c r="I24" s="296"/>
      <c r="J24" s="121"/>
      <c r="K24" s="121"/>
      <c r="L24" s="121"/>
      <c r="M24" s="121"/>
      <c r="N24" s="145"/>
      <c r="O24" s="146"/>
      <c r="P24" s="146"/>
      <c r="Q24" s="146"/>
      <c r="R24" s="146"/>
      <c r="S24" s="146"/>
      <c r="T24" s="136"/>
      <c r="U24" s="133"/>
    </row>
    <row r="25" spans="1:21" ht="31.9" customHeight="1" x14ac:dyDescent="0.25">
      <c r="A25" s="379" t="s">
        <v>24</v>
      </c>
      <c r="B25" s="380" t="s">
        <v>26</v>
      </c>
      <c r="C25" s="379" t="s">
        <v>6</v>
      </c>
      <c r="D25" s="296"/>
      <c r="E25" s="299">
        <v>0</v>
      </c>
      <c r="F25" s="299">
        <v>0</v>
      </c>
      <c r="G25" s="299">
        <v>0</v>
      </c>
      <c r="H25" s="291"/>
      <c r="I25" s="296"/>
      <c r="J25" s="121"/>
      <c r="K25" s="121"/>
      <c r="L25" s="121"/>
      <c r="M25" s="121"/>
      <c r="N25" s="145"/>
      <c r="O25" s="146"/>
      <c r="P25" s="146"/>
      <c r="Q25" s="146"/>
      <c r="R25" s="146"/>
      <c r="S25" s="146"/>
      <c r="T25" s="133"/>
      <c r="U25" s="133"/>
    </row>
    <row r="26" spans="1:21" ht="31.9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0</v>
      </c>
      <c r="F26" s="296"/>
      <c r="G26" s="296"/>
      <c r="H26" s="291"/>
      <c r="I26" s="296"/>
      <c r="J26" s="121"/>
      <c r="K26" s="121"/>
      <c r="L26" s="121"/>
      <c r="M26" s="121"/>
      <c r="N26" s="145"/>
      <c r="O26" s="146"/>
      <c r="P26" s="146"/>
      <c r="Q26" s="146"/>
      <c r="R26" s="146"/>
      <c r="S26" s="146"/>
      <c r="T26" s="133"/>
      <c r="U26" s="133"/>
    </row>
    <row r="27" spans="1:21" ht="31.9" customHeight="1" x14ac:dyDescent="0.25">
      <c r="A27" s="379"/>
      <c r="B27" s="337" t="s">
        <v>220</v>
      </c>
      <c r="C27" s="5" t="s">
        <v>17</v>
      </c>
      <c r="D27" s="296"/>
      <c r="E27" s="296"/>
      <c r="F27" s="296"/>
      <c r="G27" s="296"/>
      <c r="H27" s="291"/>
      <c r="I27" s="296"/>
      <c r="J27" s="121"/>
      <c r="K27" s="121"/>
      <c r="L27" s="121"/>
      <c r="M27" s="121"/>
      <c r="N27" s="145"/>
      <c r="O27" s="146"/>
      <c r="P27" s="146"/>
      <c r="Q27" s="146"/>
      <c r="R27" s="146"/>
      <c r="S27" s="146"/>
      <c r="T27" s="133"/>
      <c r="U27" s="133"/>
    </row>
    <row r="28" spans="1:21" ht="31.9" customHeight="1" x14ac:dyDescent="0.25">
      <c r="A28" s="3" t="s">
        <v>7</v>
      </c>
      <c r="B28" s="335" t="s">
        <v>27</v>
      </c>
      <c r="C28" s="3" t="s">
        <v>6</v>
      </c>
      <c r="D28" s="291">
        <f t="shared" ref="D28:G28" si="12">D31+D34</f>
        <v>1.5</v>
      </c>
      <c r="E28" s="291">
        <f t="shared" si="12"/>
        <v>1.5</v>
      </c>
      <c r="F28" s="291">
        <f t="shared" si="12"/>
        <v>0</v>
      </c>
      <c r="G28" s="291">
        <f t="shared" si="12"/>
        <v>0</v>
      </c>
      <c r="H28" s="291">
        <f t="shared" si="2"/>
        <v>0</v>
      </c>
      <c r="I28" s="291"/>
      <c r="J28" s="124"/>
      <c r="K28" s="124"/>
      <c r="L28" s="124"/>
      <c r="M28" s="124"/>
      <c r="N28" s="124"/>
      <c r="O28" s="123"/>
      <c r="P28" s="123"/>
      <c r="Q28" s="123"/>
      <c r="R28" s="123"/>
      <c r="S28" s="123"/>
    </row>
    <row r="29" spans="1:21" ht="31.9" customHeight="1" x14ac:dyDescent="0.25">
      <c r="A29" s="3"/>
      <c r="B29" s="337" t="s">
        <v>218</v>
      </c>
      <c r="C29" s="5" t="s">
        <v>219</v>
      </c>
      <c r="D29" s="296">
        <f>D35</f>
        <v>36.85</v>
      </c>
      <c r="E29" s="296">
        <f t="shared" ref="E29:G29" si="13">E35</f>
        <v>36.9</v>
      </c>
      <c r="F29" s="296">
        <f t="shared" si="13"/>
        <v>0</v>
      </c>
      <c r="G29" s="296">
        <f t="shared" si="13"/>
        <v>0</v>
      </c>
      <c r="H29" s="291">
        <f t="shared" si="2"/>
        <v>0</v>
      </c>
      <c r="I29" s="296"/>
      <c r="J29" s="124"/>
      <c r="K29" s="124"/>
      <c r="L29" s="124"/>
      <c r="M29" s="124"/>
      <c r="N29" s="124"/>
      <c r="O29" s="123"/>
      <c r="P29" s="123"/>
      <c r="Q29" s="123"/>
      <c r="R29" s="123"/>
      <c r="S29" s="123"/>
    </row>
    <row r="30" spans="1:21" ht="31.9" customHeight="1" x14ac:dyDescent="0.25">
      <c r="A30" s="3"/>
      <c r="B30" s="337" t="s">
        <v>220</v>
      </c>
      <c r="C30" s="5" t="s">
        <v>17</v>
      </c>
      <c r="D30" s="296">
        <f>D28*D29/10</f>
        <v>5.5275000000000007</v>
      </c>
      <c r="E30" s="296">
        <f t="shared" ref="E30:G30" si="14">E28*E29/10</f>
        <v>5.5349999999999993</v>
      </c>
      <c r="F30" s="296">
        <f t="shared" si="14"/>
        <v>0</v>
      </c>
      <c r="G30" s="296">
        <f t="shared" si="14"/>
        <v>0</v>
      </c>
      <c r="H30" s="291">
        <f t="shared" si="2"/>
        <v>0</v>
      </c>
      <c r="I30" s="296"/>
      <c r="J30" s="124"/>
      <c r="K30" s="124"/>
      <c r="L30" s="124"/>
      <c r="M30" s="124"/>
      <c r="N30" s="124"/>
      <c r="O30" s="123"/>
      <c r="P30" s="123"/>
      <c r="Q30" s="123"/>
      <c r="R30" s="123"/>
      <c r="S30" s="123"/>
    </row>
    <row r="31" spans="1:21" ht="31.9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/>
      <c r="G31" s="291"/>
      <c r="H31" s="291"/>
      <c r="I31" s="291"/>
      <c r="J31" s="124"/>
      <c r="K31" s="114"/>
      <c r="L31" s="169"/>
      <c r="M31" s="169"/>
      <c r="N31" s="169"/>
      <c r="O31" s="169"/>
      <c r="P31" s="123"/>
      <c r="Q31" s="123"/>
      <c r="R31" s="123"/>
      <c r="S31" s="123"/>
    </row>
    <row r="32" spans="1:21" ht="31.9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1"/>
      <c r="H32" s="291"/>
      <c r="I32" s="291"/>
      <c r="J32" s="124"/>
      <c r="K32" s="114"/>
      <c r="L32" s="169"/>
      <c r="M32" s="169"/>
      <c r="N32" s="169"/>
      <c r="O32" s="169"/>
      <c r="P32" s="123"/>
      <c r="Q32" s="123"/>
      <c r="R32" s="123"/>
      <c r="S32" s="123"/>
    </row>
    <row r="33" spans="1:23" ht="31.9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1"/>
      <c r="H33" s="291"/>
      <c r="I33" s="291"/>
      <c r="J33" s="124"/>
      <c r="K33" s="114"/>
      <c r="L33" s="169"/>
      <c r="M33" s="169"/>
      <c r="N33" s="169"/>
      <c r="O33" s="169"/>
      <c r="P33" s="123"/>
      <c r="Q33" s="123"/>
      <c r="R33" s="123"/>
      <c r="S33" s="123"/>
    </row>
    <row r="34" spans="1:23" ht="31.9" customHeight="1" x14ac:dyDescent="0.25">
      <c r="A34" s="379" t="s">
        <v>22</v>
      </c>
      <c r="B34" s="380" t="s">
        <v>29</v>
      </c>
      <c r="C34" s="379" t="s">
        <v>6</v>
      </c>
      <c r="D34" s="313">
        <v>1.5</v>
      </c>
      <c r="E34" s="313">
        <v>1.5</v>
      </c>
      <c r="F34" s="313">
        <v>0</v>
      </c>
      <c r="G34" s="313">
        <v>0</v>
      </c>
      <c r="H34" s="291">
        <f t="shared" si="2"/>
        <v>0</v>
      </c>
      <c r="I34" s="291"/>
      <c r="J34" s="124"/>
      <c r="K34" s="137"/>
      <c r="L34" s="137"/>
      <c r="M34" s="137"/>
      <c r="N34" s="137"/>
      <c r="O34" s="137"/>
      <c r="P34" s="123"/>
      <c r="Q34" s="123"/>
      <c r="R34" s="123"/>
      <c r="S34" s="123"/>
    </row>
    <row r="35" spans="1:23" ht="31.9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/>
      <c r="G35" s="296"/>
      <c r="H35" s="291">
        <f t="shared" si="2"/>
        <v>0</v>
      </c>
      <c r="I35" s="296"/>
      <c r="J35" s="124"/>
      <c r="K35" s="137"/>
      <c r="L35" s="137"/>
      <c r="M35" s="137"/>
      <c r="N35" s="137"/>
      <c r="O35" s="137"/>
      <c r="P35" s="123"/>
      <c r="Q35" s="123"/>
      <c r="R35" s="123"/>
      <c r="S35" s="123"/>
    </row>
    <row r="36" spans="1:23" ht="31.9" customHeight="1" x14ac:dyDescent="0.25">
      <c r="A36" s="379"/>
      <c r="B36" s="337" t="s">
        <v>220</v>
      </c>
      <c r="C36" s="5" t="s">
        <v>17</v>
      </c>
      <c r="D36" s="296">
        <f>D34*D35/10</f>
        <v>5.5275000000000007</v>
      </c>
      <c r="E36" s="296">
        <f t="shared" ref="E36:G36" si="15">E34*E35/10</f>
        <v>5.5349999999999993</v>
      </c>
      <c r="F36" s="296">
        <f t="shared" si="15"/>
        <v>0</v>
      </c>
      <c r="G36" s="296">
        <f t="shared" si="15"/>
        <v>0</v>
      </c>
      <c r="H36" s="291">
        <f t="shared" si="2"/>
        <v>0</v>
      </c>
      <c r="I36" s="296"/>
      <c r="J36" s="124"/>
      <c r="K36" s="137"/>
      <c r="L36" s="137"/>
      <c r="M36" s="137"/>
      <c r="N36" s="137"/>
      <c r="O36" s="137"/>
      <c r="P36" s="123"/>
      <c r="Q36" s="123"/>
      <c r="R36" s="123"/>
      <c r="S36" s="123"/>
    </row>
    <row r="37" spans="1:23" ht="31.9" customHeight="1" x14ac:dyDescent="0.25">
      <c r="A37" s="3">
        <v>2</v>
      </c>
      <c r="B37" s="335" t="s">
        <v>30</v>
      </c>
      <c r="C37" s="3" t="s">
        <v>6</v>
      </c>
      <c r="D37" s="291">
        <v>72</v>
      </c>
      <c r="E37" s="291">
        <v>42.28</v>
      </c>
      <c r="F37" s="291">
        <v>0</v>
      </c>
      <c r="G37" s="291">
        <v>0</v>
      </c>
      <c r="H37" s="291">
        <f t="shared" si="2"/>
        <v>0</v>
      </c>
      <c r="I37" s="291"/>
      <c r="J37" s="121"/>
      <c r="K37" s="116"/>
      <c r="L37" s="116"/>
      <c r="M37" s="116"/>
      <c r="N37" s="116"/>
      <c r="O37" s="116"/>
      <c r="P37" s="121"/>
      <c r="Q37" s="121"/>
      <c r="R37" s="121"/>
      <c r="S37" s="121"/>
      <c r="T37" s="122"/>
      <c r="U37" s="122"/>
      <c r="V37" s="122"/>
      <c r="W37" s="122"/>
    </row>
    <row r="38" spans="1:23" ht="31.9" customHeight="1" x14ac:dyDescent="0.25">
      <c r="A38" s="3"/>
      <c r="B38" s="337" t="s">
        <v>218</v>
      </c>
      <c r="C38" s="5" t="s">
        <v>219</v>
      </c>
      <c r="D38" s="296">
        <v>137.5</v>
      </c>
      <c r="E38" s="296">
        <v>140</v>
      </c>
      <c r="F38" s="296"/>
      <c r="G38" s="296"/>
      <c r="H38" s="291">
        <f t="shared" si="2"/>
        <v>0</v>
      </c>
      <c r="I38" s="296"/>
      <c r="J38" s="121"/>
      <c r="K38" s="116"/>
      <c r="L38" s="116"/>
      <c r="M38" s="116"/>
      <c r="N38" s="116"/>
      <c r="O38" s="116"/>
      <c r="P38" s="121"/>
      <c r="Q38" s="121"/>
      <c r="R38" s="121"/>
      <c r="S38" s="121"/>
      <c r="T38" s="122"/>
      <c r="U38" s="122"/>
      <c r="V38" s="122"/>
      <c r="W38" s="122"/>
    </row>
    <row r="39" spans="1:23" ht="31.9" customHeight="1" x14ac:dyDescent="0.25">
      <c r="A39" s="3"/>
      <c r="B39" s="337" t="s">
        <v>220</v>
      </c>
      <c r="C39" s="5" t="s">
        <v>17</v>
      </c>
      <c r="D39" s="296">
        <f>D37*D38/10</f>
        <v>990</v>
      </c>
      <c r="E39" s="296">
        <f t="shared" ref="E39:G39" si="16">E37*E38/10</f>
        <v>591.91999999999996</v>
      </c>
      <c r="F39" s="296">
        <f t="shared" si="16"/>
        <v>0</v>
      </c>
      <c r="G39" s="296">
        <f t="shared" si="16"/>
        <v>0</v>
      </c>
      <c r="H39" s="291">
        <f t="shared" si="2"/>
        <v>0</v>
      </c>
      <c r="I39" s="296"/>
      <c r="J39" s="121"/>
      <c r="K39" s="116"/>
      <c r="L39" s="116"/>
      <c r="M39" s="116"/>
      <c r="N39" s="116"/>
      <c r="O39" s="116"/>
      <c r="P39" s="121"/>
      <c r="Q39" s="121"/>
      <c r="R39" s="121"/>
      <c r="S39" s="121"/>
      <c r="T39" s="122"/>
      <c r="U39" s="122"/>
      <c r="V39" s="122"/>
      <c r="W39" s="122"/>
    </row>
    <row r="40" spans="1:23" ht="31.9" customHeight="1" x14ac:dyDescent="0.25">
      <c r="A40" s="3">
        <v>3</v>
      </c>
      <c r="B40" s="333" t="s">
        <v>241</v>
      </c>
      <c r="C40" s="332" t="s">
        <v>6</v>
      </c>
      <c r="D40" s="294">
        <v>0.5</v>
      </c>
      <c r="E40" s="294">
        <v>0.5</v>
      </c>
      <c r="F40" s="291">
        <v>0</v>
      </c>
      <c r="G40" s="291">
        <v>0</v>
      </c>
      <c r="H40" s="291">
        <f t="shared" si="2"/>
        <v>0</v>
      </c>
      <c r="I40" s="296"/>
      <c r="J40" s="121"/>
      <c r="K40" s="116"/>
      <c r="L40" s="116"/>
      <c r="M40" s="116"/>
      <c r="N40" s="116"/>
      <c r="O40" s="116"/>
      <c r="P40" s="121"/>
      <c r="Q40" s="121"/>
      <c r="R40" s="121"/>
      <c r="S40" s="121"/>
      <c r="T40" s="122"/>
      <c r="U40" s="122"/>
      <c r="V40" s="122"/>
      <c r="W40" s="122"/>
    </row>
    <row r="41" spans="1:23" ht="31.9" customHeight="1" x14ac:dyDescent="0.25">
      <c r="A41" s="3"/>
      <c r="B41" s="336" t="s">
        <v>218</v>
      </c>
      <c r="C41" s="343" t="s">
        <v>219</v>
      </c>
      <c r="D41" s="298">
        <v>25</v>
      </c>
      <c r="E41" s="298">
        <v>24.1</v>
      </c>
      <c r="F41" s="296"/>
      <c r="G41" s="296"/>
      <c r="H41" s="291">
        <f t="shared" si="2"/>
        <v>0</v>
      </c>
      <c r="I41" s="296"/>
      <c r="J41" s="121"/>
      <c r="K41" s="116"/>
      <c r="L41" s="116"/>
      <c r="M41" s="116"/>
      <c r="N41" s="116"/>
      <c r="O41" s="116"/>
      <c r="P41" s="121"/>
      <c r="Q41" s="121"/>
      <c r="R41" s="121"/>
      <c r="S41" s="121"/>
      <c r="T41" s="122"/>
      <c r="U41" s="122"/>
      <c r="V41" s="122"/>
      <c r="W41" s="122"/>
    </row>
    <row r="42" spans="1:23" ht="31.9" customHeight="1" x14ac:dyDescent="0.25">
      <c r="A42" s="3"/>
      <c r="B42" s="336" t="s">
        <v>220</v>
      </c>
      <c r="C42" s="343" t="s">
        <v>17</v>
      </c>
      <c r="D42" s="298">
        <f>D40*D41/10</f>
        <v>1.25</v>
      </c>
      <c r="E42" s="298">
        <f>E40*E41/10</f>
        <v>1.2050000000000001</v>
      </c>
      <c r="F42" s="298">
        <f t="shared" ref="F42:G42" si="17">F40*F41/10</f>
        <v>0</v>
      </c>
      <c r="G42" s="298">
        <f t="shared" si="17"/>
        <v>0</v>
      </c>
      <c r="H42" s="291">
        <f t="shared" si="2"/>
        <v>0</v>
      </c>
      <c r="I42" s="296"/>
      <c r="J42" s="121"/>
      <c r="K42" s="116"/>
      <c r="L42" s="116"/>
      <c r="M42" s="116"/>
      <c r="N42" s="116"/>
      <c r="O42" s="116"/>
      <c r="P42" s="121"/>
      <c r="Q42" s="121"/>
      <c r="R42" s="121"/>
      <c r="S42" s="121"/>
      <c r="T42" s="122"/>
      <c r="U42" s="122"/>
      <c r="V42" s="122"/>
      <c r="W42" s="122"/>
    </row>
    <row r="43" spans="1:23" ht="31.9" customHeight="1" x14ac:dyDescent="0.25">
      <c r="A43" s="3">
        <v>4</v>
      </c>
      <c r="B43" s="335" t="s">
        <v>242</v>
      </c>
      <c r="C43" s="3" t="s">
        <v>6</v>
      </c>
      <c r="D43" s="291">
        <v>0.5</v>
      </c>
      <c r="E43" s="291">
        <v>0.5</v>
      </c>
      <c r="F43" s="291">
        <v>0.27</v>
      </c>
      <c r="G43" s="291">
        <f>F43</f>
        <v>0.27</v>
      </c>
      <c r="H43" s="291">
        <f t="shared" si="2"/>
        <v>54</v>
      </c>
      <c r="I43" s="291"/>
      <c r="J43" s="124"/>
      <c r="K43" s="116"/>
      <c r="L43" s="171"/>
      <c r="M43" s="171"/>
      <c r="N43" s="171"/>
      <c r="O43" s="171"/>
      <c r="P43" s="123"/>
      <c r="Q43" s="123"/>
      <c r="R43" s="123"/>
      <c r="S43" s="123"/>
    </row>
    <row r="44" spans="1:23" ht="31.9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1">
        <f t="shared" si="2"/>
        <v>0</v>
      </c>
      <c r="I44" s="296"/>
      <c r="J44" s="127"/>
      <c r="K44" s="224"/>
      <c r="L44" s="127"/>
      <c r="M44" s="127"/>
      <c r="N44" s="127"/>
    </row>
    <row r="45" spans="1:23" ht="31.9" customHeight="1" x14ac:dyDescent="0.25">
      <c r="A45" s="5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18">F43*F44/10</f>
        <v>0</v>
      </c>
      <c r="G45" s="296">
        <f t="shared" si="18"/>
        <v>0</v>
      </c>
      <c r="H45" s="291">
        <f t="shared" si="2"/>
        <v>0</v>
      </c>
      <c r="I45" s="296"/>
      <c r="J45" s="127"/>
      <c r="K45" s="127"/>
      <c r="L45" s="127"/>
      <c r="M45" s="127"/>
      <c r="N45" s="127"/>
    </row>
    <row r="46" spans="1:23" ht="31.9" customHeight="1" x14ac:dyDescent="0.25">
      <c r="A46" s="3">
        <v>5</v>
      </c>
      <c r="B46" s="335" t="s">
        <v>32</v>
      </c>
      <c r="C46" s="3" t="s">
        <v>6</v>
      </c>
      <c r="D46" s="291">
        <f>D47+D55+D64</f>
        <v>57.97</v>
      </c>
      <c r="E46" s="291">
        <f t="shared" ref="E46:G46" si="19">E47+E55+E64</f>
        <v>67.37</v>
      </c>
      <c r="F46" s="291">
        <f t="shared" si="19"/>
        <v>52.87</v>
      </c>
      <c r="G46" s="291">
        <f t="shared" si="19"/>
        <v>52.87</v>
      </c>
      <c r="H46" s="291">
        <f t="shared" si="2"/>
        <v>78.477066943743495</v>
      </c>
      <c r="I46" s="291"/>
      <c r="J46" s="127"/>
      <c r="K46" s="224"/>
      <c r="L46" s="127"/>
      <c r="M46" s="127"/>
      <c r="N46" s="127"/>
    </row>
    <row r="47" spans="1:23" ht="31.9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32.97</v>
      </c>
      <c r="E47" s="291">
        <f t="shared" ref="E47:G47" si="20">E48+E49</f>
        <v>44.87</v>
      </c>
      <c r="F47" s="291">
        <f t="shared" si="20"/>
        <v>32.97</v>
      </c>
      <c r="G47" s="291">
        <f t="shared" si="20"/>
        <v>32.97</v>
      </c>
      <c r="H47" s="291">
        <f t="shared" si="2"/>
        <v>73.478939157566302</v>
      </c>
      <c r="I47" s="291"/>
      <c r="J47" s="127"/>
      <c r="K47" s="127"/>
      <c r="L47" s="127"/>
      <c r="M47" s="127"/>
      <c r="N47" s="127"/>
    </row>
    <row r="48" spans="1:23" ht="31.9" customHeight="1" x14ac:dyDescent="0.25">
      <c r="A48" s="7" t="s">
        <v>24</v>
      </c>
      <c r="B48" s="383" t="s">
        <v>196</v>
      </c>
      <c r="C48" s="384" t="s">
        <v>6</v>
      </c>
      <c r="D48" s="296">
        <v>32.31</v>
      </c>
      <c r="E48" s="296">
        <f>D48+D49</f>
        <v>32.97</v>
      </c>
      <c r="F48" s="296">
        <v>32.97</v>
      </c>
      <c r="G48" s="296">
        <v>32.97</v>
      </c>
      <c r="H48" s="296">
        <f t="shared" si="2"/>
        <v>100</v>
      </c>
      <c r="I48" s="296"/>
      <c r="J48" s="121"/>
      <c r="K48" s="121"/>
      <c r="L48" s="121"/>
      <c r="M48" s="121"/>
      <c r="N48" s="121"/>
      <c r="O48" s="122"/>
      <c r="P48" s="122"/>
    </row>
    <row r="49" spans="1:19" s="131" customFormat="1" ht="31.9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0.65999999999999992</v>
      </c>
      <c r="E49" s="291">
        <f t="shared" ref="E49:G49" si="21">E50+E51</f>
        <v>11.9</v>
      </c>
      <c r="F49" s="291">
        <f t="shared" si="21"/>
        <v>0</v>
      </c>
      <c r="G49" s="291">
        <f t="shared" si="21"/>
        <v>0</v>
      </c>
      <c r="H49" s="291">
        <f t="shared" si="2"/>
        <v>0</v>
      </c>
      <c r="I49" s="291"/>
      <c r="J49" s="213"/>
      <c r="K49" s="213"/>
      <c r="L49" s="213"/>
      <c r="M49" s="213"/>
      <c r="N49" s="213"/>
    </row>
    <row r="50" spans="1:19" ht="31.9" customHeight="1" x14ac:dyDescent="0.25">
      <c r="A50" s="384" t="s">
        <v>18</v>
      </c>
      <c r="B50" s="386" t="s">
        <v>194</v>
      </c>
      <c r="C50" s="384" t="s">
        <v>6</v>
      </c>
      <c r="D50" s="296"/>
      <c r="E50" s="296">
        <v>9.4</v>
      </c>
      <c r="F50" s="296">
        <v>0</v>
      </c>
      <c r="G50" s="296">
        <v>0</v>
      </c>
      <c r="H50" s="291">
        <f t="shared" si="2"/>
        <v>0</v>
      </c>
      <c r="I50" s="296"/>
      <c r="J50" s="127"/>
      <c r="K50" s="127"/>
      <c r="L50" s="127"/>
      <c r="M50" s="127"/>
      <c r="N50" s="127"/>
    </row>
    <row r="51" spans="1:19" ht="31.9" customHeight="1" x14ac:dyDescent="0.25">
      <c r="A51" s="384" t="s">
        <v>18</v>
      </c>
      <c r="B51" s="386" t="s">
        <v>35</v>
      </c>
      <c r="C51" s="5" t="s">
        <v>6</v>
      </c>
      <c r="D51" s="296">
        <f>0.86-0.2</f>
        <v>0.65999999999999992</v>
      </c>
      <c r="E51" s="296">
        <v>2.5</v>
      </c>
      <c r="F51" s="296">
        <v>0</v>
      </c>
      <c r="G51" s="296">
        <v>0</v>
      </c>
      <c r="H51" s="291">
        <f t="shared" si="2"/>
        <v>0</v>
      </c>
      <c r="I51" s="296"/>
      <c r="J51" s="127"/>
      <c r="K51" s="127"/>
      <c r="L51" s="127"/>
      <c r="M51" s="127"/>
      <c r="N51" s="127"/>
    </row>
    <row r="52" spans="1:19" s="131" customFormat="1" ht="31.9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21</v>
      </c>
      <c r="E52" s="291">
        <f t="shared" ref="E52:G52" si="22">E53+E54</f>
        <v>27.4635</v>
      </c>
      <c r="F52" s="291">
        <f t="shared" si="22"/>
        <v>27.46</v>
      </c>
      <c r="G52" s="291">
        <f t="shared" si="22"/>
        <v>27.46</v>
      </c>
      <c r="H52" s="291">
        <f t="shared" si="2"/>
        <v>99.987255812259917</v>
      </c>
      <c r="I52" s="291"/>
      <c r="J52" s="213"/>
      <c r="K52" s="213"/>
      <c r="L52" s="213"/>
      <c r="M52" s="213"/>
      <c r="N52" s="213"/>
    </row>
    <row r="53" spans="1:19" ht="31.9" customHeight="1" x14ac:dyDescent="0.25">
      <c r="A53" s="387" t="s">
        <v>18</v>
      </c>
      <c r="B53" s="386" t="s">
        <v>198</v>
      </c>
      <c r="C53" s="5" t="s">
        <v>6</v>
      </c>
      <c r="D53" s="296">
        <v>21</v>
      </c>
      <c r="E53" s="296">
        <f>D48*85%</f>
        <v>27.4635</v>
      </c>
      <c r="F53" s="296">
        <v>27.46</v>
      </c>
      <c r="G53" s="296">
        <v>27.46</v>
      </c>
      <c r="H53" s="296">
        <f t="shared" si="2"/>
        <v>99.987255812259917</v>
      </c>
      <c r="I53" s="296"/>
      <c r="J53" s="127"/>
      <c r="K53" s="127"/>
      <c r="L53" s="224"/>
      <c r="M53" s="127"/>
      <c r="N53" s="127"/>
    </row>
    <row r="54" spans="1:19" ht="31.9" customHeight="1" x14ac:dyDescent="0.25">
      <c r="A54" s="5"/>
      <c r="B54" s="386" t="s">
        <v>199</v>
      </c>
      <c r="C54" s="5" t="s">
        <v>6</v>
      </c>
      <c r="D54" s="296"/>
      <c r="E54" s="296"/>
      <c r="F54" s="296"/>
      <c r="G54" s="296"/>
      <c r="H54" s="291"/>
      <c r="I54" s="296"/>
      <c r="J54" s="127"/>
      <c r="K54" s="127"/>
      <c r="L54" s="127"/>
      <c r="M54" s="127"/>
      <c r="N54" s="127"/>
    </row>
    <row r="55" spans="1:19" ht="31.9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16.5</v>
      </c>
      <c r="E55" s="291">
        <f t="shared" ref="E55:G55" si="23">E56+E57</f>
        <v>20.5</v>
      </c>
      <c r="F55" s="291">
        <f t="shared" si="23"/>
        <v>17.899999999999999</v>
      </c>
      <c r="G55" s="291">
        <f t="shared" si="23"/>
        <v>17.899999999999999</v>
      </c>
      <c r="H55" s="291">
        <f t="shared" si="2"/>
        <v>87.317073170731703</v>
      </c>
      <c r="I55" s="291"/>
      <c r="J55" s="127"/>
      <c r="K55" s="127"/>
      <c r="L55" s="127"/>
      <c r="M55" s="127"/>
      <c r="N55" s="127"/>
    </row>
    <row r="56" spans="1:19" ht="31.9" customHeight="1" x14ac:dyDescent="0.25">
      <c r="A56" s="5" t="s">
        <v>24</v>
      </c>
      <c r="B56" s="383" t="s">
        <v>197</v>
      </c>
      <c r="C56" s="5" t="s">
        <v>6</v>
      </c>
      <c r="D56" s="296">
        <v>16.5</v>
      </c>
      <c r="E56" s="296">
        <f>D56+E58</f>
        <v>17.899999999999999</v>
      </c>
      <c r="F56" s="296">
        <v>17.899999999999999</v>
      </c>
      <c r="G56" s="296">
        <v>17.899999999999999</v>
      </c>
      <c r="H56" s="296">
        <f t="shared" si="2"/>
        <v>100</v>
      </c>
      <c r="I56" s="296"/>
      <c r="J56" s="127"/>
      <c r="K56" s="127"/>
      <c r="L56" s="127"/>
      <c r="M56" s="127"/>
      <c r="N56" s="127"/>
    </row>
    <row r="57" spans="1:19" ht="31.9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0</v>
      </c>
      <c r="E57" s="296">
        <f t="shared" ref="E57:G57" si="24">E58+E61</f>
        <v>2.5999999999999996</v>
      </c>
      <c r="F57" s="296">
        <f t="shared" si="24"/>
        <v>0</v>
      </c>
      <c r="G57" s="296">
        <f t="shared" si="24"/>
        <v>0</v>
      </c>
      <c r="H57" s="291">
        <f t="shared" si="2"/>
        <v>0</v>
      </c>
      <c r="I57" s="296"/>
      <c r="J57" s="127"/>
      <c r="K57" s="127"/>
      <c r="L57" s="127"/>
      <c r="M57" s="127"/>
      <c r="N57" s="127"/>
    </row>
    <row r="58" spans="1:19" s="149" customFormat="1" ht="31.9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</v>
      </c>
      <c r="E58" s="299">
        <f t="shared" ref="E58:G58" si="25">E59+E60</f>
        <v>1.4</v>
      </c>
      <c r="F58" s="299">
        <f t="shared" si="25"/>
        <v>0</v>
      </c>
      <c r="G58" s="299">
        <f t="shared" si="25"/>
        <v>0</v>
      </c>
      <c r="H58" s="291">
        <f t="shared" si="2"/>
        <v>0</v>
      </c>
      <c r="I58" s="299"/>
      <c r="J58" s="217"/>
      <c r="K58" s="218"/>
      <c r="L58" s="142"/>
      <c r="M58" s="142"/>
      <c r="N58" s="142"/>
      <c r="O58" s="142"/>
      <c r="P58" s="142"/>
      <c r="Q58" s="159"/>
      <c r="R58" s="156"/>
      <c r="S58" s="156"/>
    </row>
    <row r="59" spans="1:19" ht="31.9" customHeight="1" x14ac:dyDescent="0.25">
      <c r="A59" s="5" t="s">
        <v>18</v>
      </c>
      <c r="B59" s="383" t="s">
        <v>202</v>
      </c>
      <c r="C59" s="5" t="s">
        <v>6</v>
      </c>
      <c r="D59" s="296"/>
      <c r="E59" s="296">
        <v>0.7</v>
      </c>
      <c r="F59" s="296">
        <v>0</v>
      </c>
      <c r="G59" s="296">
        <v>0</v>
      </c>
      <c r="H59" s="291">
        <f t="shared" si="2"/>
        <v>0</v>
      </c>
      <c r="I59" s="296"/>
      <c r="J59" s="224"/>
      <c r="K59" s="155"/>
      <c r="L59" s="114"/>
      <c r="M59" s="114"/>
      <c r="N59" s="114"/>
      <c r="O59" s="114"/>
      <c r="P59" s="114"/>
      <c r="Q59" s="147"/>
      <c r="R59" s="138"/>
      <c r="S59" s="138"/>
    </row>
    <row r="60" spans="1:19" ht="31.9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0.7</v>
      </c>
      <c r="F60" s="296">
        <v>0</v>
      </c>
      <c r="G60" s="296">
        <v>0</v>
      </c>
      <c r="H60" s="291">
        <f t="shared" si="2"/>
        <v>0</v>
      </c>
      <c r="I60" s="296"/>
      <c r="J60" s="224"/>
      <c r="K60" s="155"/>
      <c r="L60" s="114"/>
      <c r="M60" s="114"/>
      <c r="N60" s="114"/>
      <c r="O60" s="114"/>
      <c r="P60" s="114"/>
      <c r="Q60" s="147"/>
      <c r="R60" s="138"/>
      <c r="S60" s="138"/>
    </row>
    <row r="61" spans="1:19" s="149" customFormat="1" ht="31.9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0</v>
      </c>
      <c r="E61" s="299">
        <f t="shared" ref="E61:G61" si="26">E62+E63</f>
        <v>1.2</v>
      </c>
      <c r="F61" s="299">
        <f t="shared" si="26"/>
        <v>0</v>
      </c>
      <c r="G61" s="299">
        <f t="shared" si="26"/>
        <v>0</v>
      </c>
      <c r="H61" s="291">
        <f t="shared" si="2"/>
        <v>0</v>
      </c>
      <c r="I61" s="299"/>
      <c r="J61" s="224"/>
      <c r="K61" s="218"/>
      <c r="L61" s="142"/>
      <c r="M61" s="142"/>
      <c r="N61" s="142"/>
      <c r="O61" s="159"/>
      <c r="P61" s="159"/>
      <c r="Q61" s="159"/>
      <c r="R61" s="156"/>
      <c r="S61" s="156"/>
    </row>
    <row r="62" spans="1:19" ht="31.9" customHeight="1" x14ac:dyDescent="0.25">
      <c r="A62" s="5" t="s">
        <v>18</v>
      </c>
      <c r="B62" s="383" t="s">
        <v>203</v>
      </c>
      <c r="C62" s="5" t="s">
        <v>6</v>
      </c>
      <c r="D62" s="296"/>
      <c r="E62" s="296">
        <v>0.7</v>
      </c>
      <c r="F62" s="296">
        <v>0</v>
      </c>
      <c r="G62" s="296">
        <v>0</v>
      </c>
      <c r="H62" s="291">
        <f t="shared" si="2"/>
        <v>0</v>
      </c>
      <c r="I62" s="296"/>
      <c r="J62" s="224"/>
      <c r="K62" s="155"/>
      <c r="L62" s="114"/>
      <c r="M62" s="114"/>
      <c r="N62" s="114"/>
      <c r="O62" s="114"/>
      <c r="P62" s="114"/>
      <c r="Q62" s="147"/>
      <c r="R62" s="138"/>
      <c r="S62" s="138"/>
    </row>
    <row r="63" spans="1:19" ht="31.9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0.5</v>
      </c>
      <c r="F63" s="296">
        <v>0</v>
      </c>
      <c r="G63" s="296">
        <v>0</v>
      </c>
      <c r="H63" s="291">
        <f t="shared" si="2"/>
        <v>0</v>
      </c>
      <c r="I63" s="296"/>
      <c r="J63" s="224"/>
      <c r="K63" s="155"/>
      <c r="L63" s="114"/>
      <c r="M63" s="114"/>
      <c r="N63" s="114"/>
      <c r="O63" s="114"/>
      <c r="P63" s="114"/>
      <c r="Q63" s="147"/>
      <c r="R63" s="138"/>
      <c r="S63" s="138"/>
    </row>
    <row r="64" spans="1:19" ht="31.9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8.5</v>
      </c>
      <c r="E64" s="291">
        <f t="shared" ref="E64:G64" si="27">E65+E66</f>
        <v>2</v>
      </c>
      <c r="F64" s="291">
        <f t="shared" si="27"/>
        <v>2</v>
      </c>
      <c r="G64" s="291">
        <f t="shared" si="27"/>
        <v>2</v>
      </c>
      <c r="H64" s="291">
        <f t="shared" si="2"/>
        <v>100</v>
      </c>
      <c r="I64" s="291"/>
      <c r="J64" s="224"/>
      <c r="K64" s="155"/>
      <c r="L64" s="155"/>
      <c r="M64" s="155"/>
      <c r="N64" s="155"/>
      <c r="O64" s="138"/>
      <c r="P64" s="138"/>
      <c r="Q64" s="138"/>
      <c r="R64" s="138"/>
      <c r="S64" s="138"/>
    </row>
    <row r="65" spans="1:17" ht="31.9" customHeight="1" x14ac:dyDescent="0.25">
      <c r="A65" s="5" t="s">
        <v>18</v>
      </c>
      <c r="B65" s="383" t="s">
        <v>196</v>
      </c>
      <c r="C65" s="5" t="s">
        <v>6</v>
      </c>
      <c r="D65" s="296">
        <v>8.5</v>
      </c>
      <c r="E65" s="296">
        <v>2</v>
      </c>
      <c r="F65" s="296">
        <v>2</v>
      </c>
      <c r="G65" s="296">
        <v>2</v>
      </c>
      <c r="H65" s="296">
        <f t="shared" si="2"/>
        <v>100</v>
      </c>
      <c r="I65" s="296"/>
      <c r="J65" s="127"/>
      <c r="K65" s="121"/>
      <c r="L65" s="121"/>
      <c r="M65" s="121"/>
      <c r="N65" s="121"/>
    </row>
    <row r="66" spans="1:17" ht="31.9" customHeight="1" x14ac:dyDescent="0.25">
      <c r="A66" s="5" t="s">
        <v>18</v>
      </c>
      <c r="B66" s="337" t="s">
        <v>31</v>
      </c>
      <c r="C66" s="5" t="s">
        <v>6</v>
      </c>
      <c r="D66" s="296"/>
      <c r="E66" s="296"/>
      <c r="F66" s="296"/>
      <c r="G66" s="296"/>
      <c r="H66" s="291"/>
      <c r="I66" s="296"/>
      <c r="J66" s="127"/>
      <c r="K66" s="127"/>
      <c r="L66" s="127"/>
      <c r="M66" s="127"/>
      <c r="N66" s="127"/>
    </row>
    <row r="67" spans="1:17" ht="31.9" customHeight="1" x14ac:dyDescent="0.25">
      <c r="A67" s="3">
        <v>6</v>
      </c>
      <c r="B67" s="335" t="s">
        <v>38</v>
      </c>
      <c r="C67" s="3" t="s">
        <v>6</v>
      </c>
      <c r="D67" s="291">
        <f>D68+D71</f>
        <v>53.25</v>
      </c>
      <c r="E67" s="291">
        <f t="shared" ref="E67:G67" si="28">E68+E71</f>
        <v>47.01</v>
      </c>
      <c r="F67" s="291">
        <f t="shared" si="28"/>
        <v>46.44</v>
      </c>
      <c r="G67" s="291">
        <f t="shared" si="28"/>
        <v>46.44</v>
      </c>
      <c r="H67" s="291">
        <f t="shared" si="2"/>
        <v>98.787492022973836</v>
      </c>
      <c r="I67" s="291"/>
      <c r="J67" s="127"/>
      <c r="K67" s="127"/>
      <c r="L67" s="127"/>
      <c r="M67" s="127"/>
      <c r="N67" s="127"/>
    </row>
    <row r="68" spans="1:17" ht="31.9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0</v>
      </c>
      <c r="E68" s="291">
        <f t="shared" ref="E68:G68" si="29">E69+E70</f>
        <v>0</v>
      </c>
      <c r="F68" s="291">
        <f t="shared" si="29"/>
        <v>0</v>
      </c>
      <c r="G68" s="291">
        <f t="shared" si="29"/>
        <v>0</v>
      </c>
      <c r="H68" s="291"/>
      <c r="I68" s="291"/>
      <c r="J68" s="127"/>
      <c r="K68" s="127"/>
      <c r="L68" s="127"/>
      <c r="M68" s="127"/>
      <c r="N68" s="127"/>
    </row>
    <row r="69" spans="1:17" ht="31.9" customHeight="1" x14ac:dyDescent="0.25">
      <c r="A69" s="5" t="s">
        <v>18</v>
      </c>
      <c r="B69" s="383" t="s">
        <v>205</v>
      </c>
      <c r="C69" s="5" t="s">
        <v>6</v>
      </c>
      <c r="D69" s="296"/>
      <c r="E69" s="296"/>
      <c r="F69" s="296"/>
      <c r="G69" s="296"/>
      <c r="H69" s="291"/>
      <c r="I69" s="296"/>
      <c r="J69" s="127"/>
      <c r="K69" s="127"/>
      <c r="L69" s="127"/>
      <c r="M69" s="127"/>
      <c r="N69" s="127"/>
    </row>
    <row r="70" spans="1:17" ht="31.9" customHeight="1" x14ac:dyDescent="0.25">
      <c r="A70" s="5" t="s">
        <v>18</v>
      </c>
      <c r="B70" s="383" t="s">
        <v>206</v>
      </c>
      <c r="C70" s="5" t="s">
        <v>6</v>
      </c>
      <c r="D70" s="296"/>
      <c r="E70" s="296"/>
      <c r="F70" s="296"/>
      <c r="G70" s="296"/>
      <c r="H70" s="291"/>
      <c r="I70" s="296"/>
      <c r="J70" s="127"/>
      <c r="K70" s="127"/>
      <c r="L70" s="127"/>
      <c r="M70" s="127"/>
      <c r="N70" s="127"/>
    </row>
    <row r="71" spans="1:17" ht="31.9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53.25</v>
      </c>
      <c r="E71" s="291">
        <f t="shared" ref="E71:G71" si="30">E72+E73</f>
        <v>47.01</v>
      </c>
      <c r="F71" s="291">
        <f t="shared" si="30"/>
        <v>46.44</v>
      </c>
      <c r="G71" s="291">
        <f t="shared" si="30"/>
        <v>46.44</v>
      </c>
      <c r="H71" s="291">
        <f t="shared" si="2"/>
        <v>98.787492022973836</v>
      </c>
      <c r="I71" s="291"/>
      <c r="J71" s="127"/>
      <c r="K71" s="127"/>
      <c r="L71" s="127"/>
      <c r="M71" s="127"/>
      <c r="N71" s="127"/>
    </row>
    <row r="72" spans="1:17" ht="31.9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52.75</v>
      </c>
      <c r="E72" s="302">
        <f>E75+E82</f>
        <v>46.44</v>
      </c>
      <c r="F72" s="302">
        <f t="shared" ref="F72:G72" si="31">F75+F82</f>
        <v>46.44</v>
      </c>
      <c r="G72" s="302">
        <f t="shared" si="31"/>
        <v>46.44</v>
      </c>
      <c r="H72" s="291">
        <f t="shared" si="2"/>
        <v>100</v>
      </c>
      <c r="I72" s="302"/>
      <c r="J72" s="127"/>
      <c r="K72" s="127"/>
      <c r="L72" s="127"/>
      <c r="M72" s="127"/>
      <c r="N72" s="127"/>
    </row>
    <row r="73" spans="1:17" ht="31.9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0.5</v>
      </c>
      <c r="E73" s="291">
        <f t="shared" ref="E73:G73" si="32">E76+E83</f>
        <v>0.56999999999999995</v>
      </c>
      <c r="F73" s="291">
        <f t="shared" si="32"/>
        <v>0</v>
      </c>
      <c r="G73" s="291">
        <f t="shared" si="32"/>
        <v>0</v>
      </c>
      <c r="H73" s="291">
        <f t="shared" si="2"/>
        <v>0</v>
      </c>
      <c r="I73" s="291"/>
      <c r="J73" s="213"/>
      <c r="K73" s="213"/>
      <c r="L73" s="213"/>
      <c r="M73" s="213"/>
      <c r="N73" s="213"/>
    </row>
    <row r="74" spans="1:17" ht="31.9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37.44</v>
      </c>
      <c r="E74" s="304">
        <f t="shared" ref="E74:G74" si="33">E75+E76</f>
        <v>34.44</v>
      </c>
      <c r="F74" s="304">
        <f t="shared" si="33"/>
        <v>34.44</v>
      </c>
      <c r="G74" s="304">
        <f t="shared" si="33"/>
        <v>34.44</v>
      </c>
      <c r="H74" s="313">
        <f t="shared" ref="H74:H98" si="34">F74/E74*100</f>
        <v>100</v>
      </c>
      <c r="I74" s="304"/>
      <c r="J74" s="144"/>
      <c r="K74" s="144"/>
      <c r="L74" s="151"/>
      <c r="M74" s="151"/>
      <c r="N74" s="151"/>
      <c r="O74" s="151"/>
      <c r="P74" s="151"/>
      <c r="Q74" s="151"/>
    </row>
    <row r="75" spans="1:17" ht="31.9" customHeight="1" x14ac:dyDescent="0.25">
      <c r="A75" s="7" t="s">
        <v>24</v>
      </c>
      <c r="B75" s="391" t="s">
        <v>196</v>
      </c>
      <c r="C75" s="5" t="s">
        <v>6</v>
      </c>
      <c r="D75" s="306">
        <f>32.94+4</f>
        <v>36.94</v>
      </c>
      <c r="E75" s="306">
        <f>37.44-3</f>
        <v>34.44</v>
      </c>
      <c r="F75" s="296">
        <v>34.44</v>
      </c>
      <c r="G75" s="296">
        <v>34.44</v>
      </c>
      <c r="H75" s="296">
        <f t="shared" si="34"/>
        <v>100</v>
      </c>
      <c r="I75" s="296"/>
      <c r="J75" s="127"/>
      <c r="K75" s="127"/>
      <c r="L75" s="128"/>
      <c r="M75" s="128"/>
      <c r="N75" s="128"/>
      <c r="O75" s="126"/>
      <c r="P75" s="126"/>
      <c r="Q75" s="126"/>
    </row>
    <row r="76" spans="1:17" ht="31.9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0.5</v>
      </c>
      <c r="E76" s="307">
        <f>SUM(E77:E80)</f>
        <v>0</v>
      </c>
      <c r="F76" s="307">
        <f t="shared" ref="F76:G76" si="35">SUM(F77:F80)</f>
        <v>0</v>
      </c>
      <c r="G76" s="307">
        <f t="shared" si="35"/>
        <v>0</v>
      </c>
      <c r="H76" s="291"/>
      <c r="I76" s="307"/>
      <c r="J76" s="217"/>
      <c r="K76" s="217"/>
      <c r="L76" s="219"/>
      <c r="M76" s="219"/>
      <c r="N76" s="219"/>
      <c r="O76" s="126"/>
      <c r="P76" s="126"/>
      <c r="Q76" s="126"/>
    </row>
    <row r="77" spans="1:17" ht="31.9" customHeight="1" x14ac:dyDescent="0.25">
      <c r="A77" s="4" t="s">
        <v>18</v>
      </c>
      <c r="B77" s="393" t="s">
        <v>212</v>
      </c>
      <c r="C77" s="4" t="s">
        <v>6</v>
      </c>
      <c r="D77" s="296"/>
      <c r="E77" s="296"/>
      <c r="F77" s="296"/>
      <c r="G77" s="296"/>
      <c r="H77" s="291"/>
      <c r="I77" s="296"/>
      <c r="J77" s="217"/>
      <c r="K77" s="217"/>
      <c r="L77" s="219"/>
      <c r="M77" s="220"/>
      <c r="N77" s="220"/>
      <c r="O77" s="126"/>
      <c r="P77" s="164"/>
      <c r="Q77" s="164"/>
    </row>
    <row r="78" spans="1:17" ht="31.9" customHeight="1" x14ac:dyDescent="0.25">
      <c r="A78" s="4" t="s">
        <v>18</v>
      </c>
      <c r="B78" s="393" t="s">
        <v>189</v>
      </c>
      <c r="C78" s="4" t="s">
        <v>6</v>
      </c>
      <c r="D78" s="296"/>
      <c r="E78" s="296">
        <v>0</v>
      </c>
      <c r="F78" s="296"/>
      <c r="G78" s="296"/>
      <c r="H78" s="291"/>
      <c r="I78" s="296"/>
      <c r="J78" s="217"/>
      <c r="K78" s="217"/>
      <c r="L78" s="219"/>
      <c r="M78" s="219"/>
      <c r="N78" s="219"/>
      <c r="O78" s="126"/>
      <c r="P78" s="126"/>
      <c r="Q78" s="126"/>
    </row>
    <row r="79" spans="1:17" ht="31.9" customHeight="1" x14ac:dyDescent="0.25">
      <c r="A79" s="4" t="s">
        <v>18</v>
      </c>
      <c r="B79" s="393" t="s">
        <v>190</v>
      </c>
      <c r="C79" s="4" t="s">
        <v>6</v>
      </c>
      <c r="D79" s="296"/>
      <c r="E79" s="296"/>
      <c r="F79" s="296"/>
      <c r="G79" s="296"/>
      <c r="H79" s="291"/>
      <c r="I79" s="296"/>
      <c r="J79" s="217"/>
      <c r="K79" s="217"/>
      <c r="L79" s="219"/>
      <c r="M79" s="219"/>
      <c r="N79" s="219"/>
      <c r="O79" s="126"/>
      <c r="P79" s="126"/>
      <c r="Q79" s="126"/>
    </row>
    <row r="80" spans="1:17" ht="31.9" customHeight="1" x14ac:dyDescent="0.25">
      <c r="A80" s="4" t="s">
        <v>18</v>
      </c>
      <c r="B80" s="394" t="s">
        <v>208</v>
      </c>
      <c r="C80" s="4" t="s">
        <v>6</v>
      </c>
      <c r="D80" s="296">
        <v>0.5</v>
      </c>
      <c r="E80" s="296"/>
      <c r="F80" s="296"/>
      <c r="G80" s="296"/>
      <c r="H80" s="291"/>
      <c r="I80" s="296"/>
      <c r="J80" s="217"/>
      <c r="K80" s="217"/>
      <c r="L80" s="219"/>
      <c r="M80" s="219"/>
      <c r="N80" s="219"/>
      <c r="O80" s="126"/>
      <c r="P80" s="126"/>
      <c r="Q80" s="126"/>
    </row>
    <row r="81" spans="1:20" s="152" customFormat="1" ht="31.9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15.81</v>
      </c>
      <c r="E81" s="304">
        <f t="shared" ref="E81:G81" si="36">E82+E83</f>
        <v>12.57</v>
      </c>
      <c r="F81" s="304">
        <f t="shared" si="36"/>
        <v>12</v>
      </c>
      <c r="G81" s="304">
        <f t="shared" si="36"/>
        <v>12</v>
      </c>
      <c r="H81" s="313">
        <f t="shared" si="34"/>
        <v>95.465393794749403</v>
      </c>
      <c r="I81" s="304"/>
      <c r="J81" s="144"/>
      <c r="K81" s="144"/>
      <c r="L81" s="151"/>
      <c r="M81" s="151"/>
      <c r="N81" s="151"/>
      <c r="O81" s="151"/>
      <c r="P81" s="151"/>
      <c r="Q81" s="151"/>
    </row>
    <row r="82" spans="1:20" s="149" customFormat="1" ht="31.9" customHeight="1" x14ac:dyDescent="0.25">
      <c r="A82" s="392" t="s">
        <v>18</v>
      </c>
      <c r="B82" s="393" t="s">
        <v>188</v>
      </c>
      <c r="C82" s="4" t="s">
        <v>6</v>
      </c>
      <c r="D82" s="299">
        <f>11.9+3.91</f>
        <v>15.81</v>
      </c>
      <c r="E82" s="299">
        <v>12</v>
      </c>
      <c r="F82" s="299">
        <v>12</v>
      </c>
      <c r="G82" s="299">
        <v>12</v>
      </c>
      <c r="H82" s="299">
        <f t="shared" si="34"/>
        <v>100</v>
      </c>
      <c r="I82" s="299"/>
      <c r="J82" s="217"/>
      <c r="K82" s="217"/>
      <c r="L82" s="220"/>
      <c r="M82" s="219"/>
      <c r="N82" s="219"/>
      <c r="O82" s="148"/>
      <c r="P82" s="148"/>
      <c r="Q82" s="148"/>
    </row>
    <row r="83" spans="1:20" ht="31.9" customHeight="1" x14ac:dyDescent="0.25">
      <c r="A83" s="392" t="s">
        <v>15</v>
      </c>
      <c r="B83" s="389" t="s">
        <v>210</v>
      </c>
      <c r="C83" s="5" t="s">
        <v>6</v>
      </c>
      <c r="D83" s="306">
        <f t="shared" ref="D83" si="37">SUM(D84:D87)</f>
        <v>0</v>
      </c>
      <c r="E83" s="306">
        <f>SUM(E84:E87)</f>
        <v>0.56999999999999995</v>
      </c>
      <c r="F83" s="306">
        <f t="shared" ref="F83:G83" si="38">SUM(F84:F87)</f>
        <v>0</v>
      </c>
      <c r="G83" s="306">
        <f t="shared" si="38"/>
        <v>0</v>
      </c>
      <c r="H83" s="291">
        <f t="shared" si="34"/>
        <v>0</v>
      </c>
      <c r="I83" s="306"/>
      <c r="J83" s="217"/>
      <c r="K83" s="217"/>
      <c r="L83" s="219"/>
      <c r="M83" s="219"/>
      <c r="N83" s="219"/>
      <c r="O83" s="126"/>
      <c r="P83" s="126"/>
      <c r="Q83" s="126"/>
    </row>
    <row r="84" spans="1:20" ht="31.9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291"/>
      <c r="I84" s="296"/>
      <c r="J84" s="219"/>
      <c r="K84" s="219"/>
      <c r="L84" s="219"/>
      <c r="M84" s="219"/>
      <c r="N84" s="219"/>
    </row>
    <row r="85" spans="1:20" ht="31.9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291"/>
      <c r="I85" s="296"/>
      <c r="J85" s="219"/>
      <c r="K85" s="219"/>
      <c r="L85" s="219"/>
      <c r="M85" s="219"/>
      <c r="N85" s="219"/>
    </row>
    <row r="86" spans="1:20" ht="31.9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291"/>
      <c r="I86" s="296"/>
      <c r="J86" s="219"/>
      <c r="K86" s="219"/>
      <c r="L86" s="219"/>
      <c r="M86" s="219"/>
      <c r="N86" s="126"/>
      <c r="O86" s="126"/>
      <c r="P86" s="126"/>
      <c r="Q86" s="126"/>
    </row>
    <row r="87" spans="1:20" ht="31.9" customHeight="1" x14ac:dyDescent="0.25">
      <c r="A87" s="392" t="s">
        <v>18</v>
      </c>
      <c r="B87" s="393" t="s">
        <v>193</v>
      </c>
      <c r="C87" s="4" t="s">
        <v>6</v>
      </c>
      <c r="D87" s="296"/>
      <c r="E87" s="296">
        <v>0.56999999999999995</v>
      </c>
      <c r="F87" s="296">
        <v>0</v>
      </c>
      <c r="G87" s="296">
        <v>0</v>
      </c>
      <c r="H87" s="291">
        <f t="shared" si="34"/>
        <v>0</v>
      </c>
      <c r="I87" s="296"/>
      <c r="J87" s="219"/>
      <c r="K87" s="219"/>
      <c r="L87" s="219"/>
      <c r="M87" s="166"/>
      <c r="N87" s="166"/>
      <c r="O87" s="122"/>
      <c r="P87" s="122"/>
      <c r="Q87" s="122"/>
      <c r="R87" s="122"/>
      <c r="S87" s="122"/>
      <c r="T87" s="126"/>
    </row>
    <row r="88" spans="1:20" ht="31.9" customHeight="1" x14ac:dyDescent="0.25">
      <c r="A88" s="3" t="s">
        <v>44</v>
      </c>
      <c r="B88" s="334" t="s">
        <v>45</v>
      </c>
      <c r="C88" s="3"/>
      <c r="D88" s="291">
        <f>SUM(D89:D93)</f>
        <v>1376</v>
      </c>
      <c r="E88" s="291">
        <f t="shared" ref="E88:G88" si="39">SUM(E89:E93)</f>
        <v>1142</v>
      </c>
      <c r="F88" s="291">
        <f t="shared" si="39"/>
        <v>1061</v>
      </c>
      <c r="G88" s="291">
        <f t="shared" si="39"/>
        <v>1061</v>
      </c>
      <c r="H88" s="291">
        <f t="shared" si="34"/>
        <v>92.907180385288967</v>
      </c>
      <c r="I88" s="291"/>
      <c r="J88" s="128"/>
      <c r="K88" s="128"/>
      <c r="L88" s="128"/>
      <c r="M88" s="128"/>
      <c r="N88" s="128"/>
    </row>
    <row r="89" spans="1:20" s="194" customFormat="1" ht="31.9" customHeight="1" x14ac:dyDescent="0.25">
      <c r="A89" s="5">
        <v>1</v>
      </c>
      <c r="B89" s="337" t="s">
        <v>46</v>
      </c>
      <c r="C89" s="5" t="s">
        <v>8</v>
      </c>
      <c r="D89" s="296">
        <v>124</v>
      </c>
      <c r="E89" s="296">
        <f>8+4</f>
        <v>12</v>
      </c>
      <c r="F89" s="296">
        <v>11</v>
      </c>
      <c r="G89" s="296">
        <f>F89</f>
        <v>11</v>
      </c>
      <c r="H89" s="296">
        <f t="shared" si="34"/>
        <v>91.666666666666657</v>
      </c>
      <c r="I89" s="296"/>
      <c r="J89" s="222"/>
      <c r="K89" s="267"/>
      <c r="L89" s="225"/>
      <c r="M89" s="222"/>
      <c r="N89" s="222"/>
    </row>
    <row r="90" spans="1:20" s="194" customFormat="1" ht="31.9" customHeight="1" x14ac:dyDescent="0.25">
      <c r="A90" s="5">
        <v>2</v>
      </c>
      <c r="B90" s="337" t="s">
        <v>47</v>
      </c>
      <c r="C90" s="5" t="s">
        <v>8</v>
      </c>
      <c r="D90" s="296">
        <v>207</v>
      </c>
      <c r="E90" s="296">
        <f>216+35</f>
        <v>251</v>
      </c>
      <c r="F90" s="296">
        <v>249</v>
      </c>
      <c r="G90" s="296">
        <f>F90</f>
        <v>249</v>
      </c>
      <c r="H90" s="296">
        <f t="shared" si="34"/>
        <v>99.203187250996024</v>
      </c>
      <c r="I90" s="296"/>
      <c r="J90" s="222"/>
      <c r="K90" s="267"/>
      <c r="L90" s="225"/>
      <c r="M90" s="222"/>
      <c r="N90" s="222"/>
    </row>
    <row r="91" spans="1:20" s="194" customFormat="1" ht="31.9" customHeight="1" x14ac:dyDescent="0.25">
      <c r="A91" s="5">
        <v>3</v>
      </c>
      <c r="B91" s="337" t="s">
        <v>48</v>
      </c>
      <c r="C91" s="5" t="s">
        <v>8</v>
      </c>
      <c r="D91" s="296">
        <v>118</v>
      </c>
      <c r="E91" s="296">
        <f>20+6</f>
        <v>26</v>
      </c>
      <c r="F91" s="296">
        <v>22</v>
      </c>
      <c r="G91" s="296">
        <f>F91</f>
        <v>22</v>
      </c>
      <c r="H91" s="296">
        <f t="shared" si="34"/>
        <v>84.615384615384613</v>
      </c>
      <c r="I91" s="296"/>
      <c r="J91" s="222"/>
      <c r="K91" s="267"/>
      <c r="L91" s="225"/>
      <c r="M91" s="222"/>
      <c r="N91" s="222"/>
    </row>
    <row r="92" spans="1:20" s="194" customFormat="1" ht="31.9" customHeight="1" x14ac:dyDescent="0.25">
      <c r="A92" s="5">
        <v>4</v>
      </c>
      <c r="B92" s="337" t="s">
        <v>49</v>
      </c>
      <c r="C92" s="5" t="s">
        <v>8</v>
      </c>
      <c r="D92" s="296">
        <v>20</v>
      </c>
      <c r="E92" s="296">
        <f>22+6</f>
        <v>28</v>
      </c>
      <c r="F92" s="296">
        <v>26</v>
      </c>
      <c r="G92" s="296">
        <f>F92</f>
        <v>26</v>
      </c>
      <c r="H92" s="296">
        <f t="shared" si="34"/>
        <v>92.857142857142861</v>
      </c>
      <c r="I92" s="296"/>
      <c r="J92" s="222"/>
      <c r="K92" s="267"/>
      <c r="L92" s="222"/>
      <c r="M92" s="222"/>
      <c r="N92" s="222"/>
    </row>
    <row r="93" spans="1:20" s="194" customFormat="1" ht="31.9" customHeight="1" x14ac:dyDescent="0.25">
      <c r="A93" s="5">
        <v>5</v>
      </c>
      <c r="B93" s="337" t="s">
        <v>50</v>
      </c>
      <c r="C93" s="5" t="s">
        <v>8</v>
      </c>
      <c r="D93" s="296">
        <v>907</v>
      </c>
      <c r="E93" s="296">
        <f>913-88</f>
        <v>825</v>
      </c>
      <c r="F93" s="296">
        <v>753</v>
      </c>
      <c r="G93" s="296">
        <f>F93</f>
        <v>753</v>
      </c>
      <c r="H93" s="296">
        <f t="shared" si="34"/>
        <v>91.272727272727266</v>
      </c>
      <c r="I93" s="296"/>
      <c r="J93" s="267"/>
      <c r="K93" s="267"/>
      <c r="L93" s="225"/>
      <c r="M93" s="222"/>
      <c r="N93" s="222"/>
    </row>
    <row r="94" spans="1:20" s="131" customFormat="1" ht="31.9" customHeight="1" x14ac:dyDescent="0.25">
      <c r="A94" s="3" t="s">
        <v>51</v>
      </c>
      <c r="B94" s="335" t="s">
        <v>52</v>
      </c>
      <c r="C94" s="3" t="s">
        <v>6</v>
      </c>
      <c r="D94" s="291">
        <f>D95</f>
        <v>1.1000000000000001</v>
      </c>
      <c r="E94" s="291">
        <f t="shared" ref="E94:G94" si="40">E95</f>
        <v>1.1000000000000001</v>
      </c>
      <c r="F94" s="291">
        <f t="shared" si="40"/>
        <v>1.1000000000000001</v>
      </c>
      <c r="G94" s="291">
        <f t="shared" si="40"/>
        <v>1.1000000000000001</v>
      </c>
      <c r="H94" s="291">
        <f t="shared" si="34"/>
        <v>100</v>
      </c>
      <c r="I94" s="291"/>
      <c r="J94" s="321"/>
      <c r="K94" s="321"/>
      <c r="L94" s="130"/>
      <c r="M94" s="130"/>
      <c r="N94" s="130"/>
    </row>
    <row r="95" spans="1:20" ht="31.9" customHeight="1" x14ac:dyDescent="0.25">
      <c r="A95" s="4" t="s">
        <v>18</v>
      </c>
      <c r="B95" s="389" t="s">
        <v>53</v>
      </c>
      <c r="C95" s="4" t="s">
        <v>6</v>
      </c>
      <c r="D95" s="296">
        <v>1.1000000000000001</v>
      </c>
      <c r="E95" s="296">
        <v>1.1000000000000001</v>
      </c>
      <c r="F95" s="296">
        <v>1.1000000000000001</v>
      </c>
      <c r="G95" s="296">
        <v>1.1000000000000001</v>
      </c>
      <c r="H95" s="296">
        <f t="shared" si="34"/>
        <v>100</v>
      </c>
      <c r="I95" s="296"/>
      <c r="J95" s="128"/>
      <c r="K95" s="128"/>
      <c r="L95" s="128"/>
      <c r="M95" s="128"/>
      <c r="N95" s="128"/>
    </row>
    <row r="96" spans="1:20" ht="31.9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2.8</v>
      </c>
      <c r="E96" s="291">
        <f t="shared" ref="E96:G96" si="41">E97+E98</f>
        <v>0.84999999999999987</v>
      </c>
      <c r="F96" s="291">
        <f t="shared" si="41"/>
        <v>0</v>
      </c>
      <c r="G96" s="291">
        <f t="shared" si="41"/>
        <v>0</v>
      </c>
      <c r="H96" s="291">
        <f t="shared" si="34"/>
        <v>0</v>
      </c>
      <c r="I96" s="291"/>
      <c r="J96" s="128"/>
      <c r="K96" s="128"/>
      <c r="L96" s="128"/>
      <c r="M96" s="128"/>
      <c r="N96" s="128"/>
    </row>
    <row r="97" spans="1:14" ht="31.9" customHeight="1" x14ac:dyDescent="0.25">
      <c r="A97" s="5" t="s">
        <v>18</v>
      </c>
      <c r="B97" s="391" t="s">
        <v>213</v>
      </c>
      <c r="C97" s="4" t="s">
        <v>6</v>
      </c>
      <c r="D97" s="296"/>
      <c r="E97" s="296">
        <v>0.2</v>
      </c>
      <c r="F97" s="296"/>
      <c r="G97" s="296"/>
      <c r="H97" s="291">
        <f t="shared" si="34"/>
        <v>0</v>
      </c>
      <c r="I97" s="296"/>
      <c r="J97" s="128"/>
      <c r="K97" s="128"/>
      <c r="L97" s="128"/>
      <c r="M97" s="128"/>
      <c r="N97" s="128"/>
    </row>
    <row r="98" spans="1:14" ht="31.9" customHeight="1" x14ac:dyDescent="0.25">
      <c r="A98" s="395" t="s">
        <v>18</v>
      </c>
      <c r="B98" s="391" t="s">
        <v>56</v>
      </c>
      <c r="C98" s="4" t="s">
        <v>6</v>
      </c>
      <c r="D98" s="296">
        <v>2.8</v>
      </c>
      <c r="E98" s="296">
        <f>1.9-1.25</f>
        <v>0.64999999999999991</v>
      </c>
      <c r="F98" s="296"/>
      <c r="G98" s="296"/>
      <c r="H98" s="291">
        <f t="shared" si="34"/>
        <v>0</v>
      </c>
      <c r="I98" s="296"/>
      <c r="J98" s="128"/>
      <c r="K98" s="128"/>
      <c r="L98" s="128"/>
      <c r="M98" s="128"/>
      <c r="N98" s="128"/>
    </row>
    <row r="99" spans="1:14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27"/>
      <c r="L99" s="127"/>
      <c r="M99" s="127"/>
      <c r="N99" s="127"/>
    </row>
    <row r="100" spans="1:14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27"/>
      <c r="L100" s="127"/>
      <c r="M100" s="127"/>
      <c r="N100" s="127"/>
    </row>
    <row r="101" spans="1:14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27"/>
      <c r="L101" s="127"/>
      <c r="M101" s="127"/>
      <c r="N101" s="127"/>
    </row>
    <row r="102" spans="1:14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27"/>
      <c r="L102" s="127"/>
      <c r="M102" s="127"/>
      <c r="N102" s="127"/>
    </row>
    <row r="103" spans="1:14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27"/>
      <c r="L103" s="127"/>
      <c r="M103" s="127"/>
      <c r="N103" s="127"/>
    </row>
    <row r="104" spans="1:14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27"/>
      <c r="L104" s="127"/>
      <c r="M104" s="127"/>
      <c r="N104" s="127"/>
    </row>
    <row r="105" spans="1:14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27"/>
      <c r="L105" s="127"/>
      <c r="M105" s="127"/>
      <c r="N105" s="127"/>
    </row>
    <row r="106" spans="1:14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27"/>
      <c r="L106" s="127"/>
      <c r="M106" s="127"/>
      <c r="N106" s="127"/>
    </row>
    <row r="107" spans="1:14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27"/>
      <c r="L107" s="127"/>
      <c r="M107" s="127"/>
      <c r="N107" s="127"/>
    </row>
    <row r="108" spans="1:14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27"/>
      <c r="L108" s="127"/>
      <c r="M108" s="127"/>
      <c r="N108" s="127"/>
    </row>
    <row r="109" spans="1:14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  <c r="N109" s="127"/>
    </row>
    <row r="110" spans="1:14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  <c r="N110" s="127"/>
    </row>
    <row r="111" spans="1:14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  <c r="N111" s="127"/>
    </row>
    <row r="112" spans="1:14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  <c r="N112" s="127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51181102362204722" bottom="0.43307086614173229" header="0" footer="0"/>
  <pageSetup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984"/>
  <sheetViews>
    <sheetView zoomScaleNormal="100" workbookViewId="0">
      <pane ySplit="8" topLeftCell="A9" activePane="bottomLeft" state="frozen"/>
      <selection pane="bottomLeft" activeCell="B7" sqref="B7:B8"/>
    </sheetView>
  </sheetViews>
  <sheetFormatPr defaultColWidth="11.21875" defaultRowHeight="15" customHeight="1" x14ac:dyDescent="0.25"/>
  <cols>
    <col min="1" max="1" width="7.21875" style="330" customWidth="1"/>
    <col min="2" max="2" width="29.109375" style="330" customWidth="1"/>
    <col min="3" max="3" width="8.5546875" style="330" customWidth="1"/>
    <col min="4" max="4" width="17.44140625" style="330" customWidth="1"/>
    <col min="5" max="5" width="17.6640625" style="330" customWidth="1"/>
    <col min="6" max="9" width="12.6640625" style="330" customWidth="1"/>
    <col min="10" max="10" width="8.88671875" style="125" customWidth="1"/>
    <col min="11" max="11" width="18.88671875" style="125" customWidth="1"/>
    <col min="12" max="14" width="8.88671875" style="125" customWidth="1"/>
    <col min="15" max="16384" width="11.21875" style="125"/>
  </cols>
  <sheetData>
    <row r="1" spans="1:18" ht="15" customHeight="1" x14ac:dyDescent="0.25">
      <c r="H1" s="409"/>
      <c r="I1" s="409"/>
    </row>
    <row r="2" spans="1:18" ht="16.5" x14ac:dyDescent="0.25">
      <c r="A2" s="410" t="s">
        <v>255</v>
      </c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  <c r="N2" s="127"/>
    </row>
    <row r="3" spans="1:18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18" ht="16.5" x14ac:dyDescent="0.25">
      <c r="A4" s="405" t="s">
        <v>239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18" ht="16.5" x14ac:dyDescent="0.25">
      <c r="A5" s="417" t="str">
        <f>'KON PIA(16)'!A5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18" ht="16.5" x14ac:dyDescent="0.25">
      <c r="A6" s="376"/>
      <c r="B6" s="376"/>
      <c r="C6" s="376"/>
      <c r="D6" s="377"/>
      <c r="E6" s="377"/>
      <c r="F6" s="377"/>
      <c r="G6" s="377"/>
      <c r="H6" s="377"/>
      <c r="I6" s="377"/>
      <c r="J6" s="127"/>
      <c r="K6" s="127"/>
      <c r="L6" s="127"/>
      <c r="M6" s="127"/>
      <c r="N6" s="127"/>
    </row>
    <row r="7" spans="1:18" ht="33.6" customHeight="1" x14ac:dyDescent="0.25">
      <c r="A7" s="412" t="s">
        <v>10</v>
      </c>
      <c r="B7" s="412" t="s">
        <v>1</v>
      </c>
      <c r="C7" s="412" t="s">
        <v>11</v>
      </c>
      <c r="D7" s="414" t="s">
        <v>222</v>
      </c>
      <c r="E7" s="416" t="s">
        <v>256</v>
      </c>
      <c r="F7" s="418"/>
      <c r="G7" s="418"/>
      <c r="H7" s="419"/>
      <c r="I7" s="407" t="s">
        <v>259</v>
      </c>
      <c r="J7" s="127"/>
      <c r="K7" s="153" t="s">
        <v>215</v>
      </c>
      <c r="L7" s="174">
        <v>68</v>
      </c>
      <c r="M7" s="127"/>
      <c r="N7" s="127"/>
    </row>
    <row r="8" spans="1:18" ht="33.6" customHeight="1" x14ac:dyDescent="0.25">
      <c r="A8" s="413"/>
      <c r="B8" s="413"/>
      <c r="C8" s="413"/>
      <c r="D8" s="415"/>
      <c r="E8" s="331" t="s">
        <v>257</v>
      </c>
      <c r="F8" s="331" t="s">
        <v>261</v>
      </c>
      <c r="G8" s="331" t="s">
        <v>263</v>
      </c>
      <c r="H8" s="331" t="s">
        <v>258</v>
      </c>
      <c r="I8" s="423"/>
      <c r="J8" s="127"/>
      <c r="K8" s="153" t="s">
        <v>216</v>
      </c>
      <c r="L8" s="176">
        <v>352</v>
      </c>
      <c r="M8" s="127"/>
      <c r="N8" s="127"/>
    </row>
    <row r="9" spans="1:18" s="131" customFormat="1" ht="31.9" customHeight="1" x14ac:dyDescent="0.25">
      <c r="A9" s="3" t="s">
        <v>12</v>
      </c>
      <c r="B9" s="335" t="s">
        <v>13</v>
      </c>
      <c r="C9" s="3" t="s">
        <v>6</v>
      </c>
      <c r="D9" s="291">
        <f>D13+D28+D37+D43+D46+D67</f>
        <v>120.07</v>
      </c>
      <c r="E9" s="291">
        <f t="shared" ref="E9:G9" si="0">E13+E28+E37+E43+E46+E67</f>
        <v>126.14</v>
      </c>
      <c r="F9" s="291">
        <f>F13+F28+F37+F43+F46+F67</f>
        <v>38.86</v>
      </c>
      <c r="G9" s="291">
        <f t="shared" si="0"/>
        <v>38.86</v>
      </c>
      <c r="H9" s="291">
        <f>F9/E9*100</f>
        <v>30.807039797050894</v>
      </c>
      <c r="I9" s="291"/>
      <c r="J9" s="213"/>
      <c r="K9" s="213"/>
      <c r="L9" s="213"/>
      <c r="M9" s="213"/>
      <c r="N9" s="213"/>
    </row>
    <row r="10" spans="1:18" s="131" customFormat="1" ht="31.9" customHeight="1" x14ac:dyDescent="0.25">
      <c r="A10" s="3">
        <v>1</v>
      </c>
      <c r="B10" s="335" t="s">
        <v>14</v>
      </c>
      <c r="C10" s="3" t="s">
        <v>6</v>
      </c>
      <c r="D10" s="291">
        <f>D13+D28</f>
        <v>1</v>
      </c>
      <c r="E10" s="291">
        <f t="shared" ref="E10:G10" si="1">E13+E28</f>
        <v>10.02</v>
      </c>
      <c r="F10" s="291">
        <f t="shared" si="1"/>
        <v>0.52</v>
      </c>
      <c r="G10" s="291">
        <f t="shared" si="1"/>
        <v>0.52</v>
      </c>
      <c r="H10" s="291">
        <f t="shared" ref="H10:H73" si="2">F10/E10*100</f>
        <v>5.1896207584830343</v>
      </c>
      <c r="I10" s="291"/>
      <c r="J10" s="213"/>
      <c r="K10" s="213"/>
      <c r="L10" s="213"/>
      <c r="M10" s="213"/>
      <c r="N10" s="213"/>
    </row>
    <row r="11" spans="1:18" s="131" customFormat="1" ht="31.9" customHeight="1" x14ac:dyDescent="0.25">
      <c r="A11" s="3"/>
      <c r="B11" s="334" t="s">
        <v>16</v>
      </c>
      <c r="C11" s="3" t="s">
        <v>17</v>
      </c>
      <c r="D11" s="291">
        <f>D12+D30</f>
        <v>3.6850000000000001</v>
      </c>
      <c r="E11" s="291">
        <f t="shared" ref="E11:G11" si="3">E12+E30</f>
        <v>30.871770000000001</v>
      </c>
      <c r="F11" s="291">
        <f t="shared" si="3"/>
        <v>0</v>
      </c>
      <c r="G11" s="291">
        <f t="shared" si="3"/>
        <v>0</v>
      </c>
      <c r="H11" s="291">
        <f t="shared" si="2"/>
        <v>0</v>
      </c>
      <c r="I11" s="291"/>
      <c r="J11" s="213"/>
      <c r="K11" s="213"/>
      <c r="L11" s="213"/>
      <c r="M11" s="213"/>
      <c r="N11" s="213"/>
    </row>
    <row r="12" spans="1:18" s="131" customFormat="1" ht="31.9" customHeight="1" x14ac:dyDescent="0.25">
      <c r="A12" s="3"/>
      <c r="B12" s="335" t="s">
        <v>221</v>
      </c>
      <c r="C12" s="3" t="s">
        <v>17</v>
      </c>
      <c r="D12" s="291">
        <f>D15</f>
        <v>0</v>
      </c>
      <c r="E12" s="291">
        <f t="shared" ref="E12:G12" si="4">E15</f>
        <v>27.18177</v>
      </c>
      <c r="F12" s="291">
        <f t="shared" si="4"/>
        <v>0</v>
      </c>
      <c r="G12" s="291">
        <f t="shared" si="4"/>
        <v>0</v>
      </c>
      <c r="H12" s="291">
        <f t="shared" si="2"/>
        <v>0</v>
      </c>
      <c r="I12" s="291"/>
      <c r="J12" s="213"/>
      <c r="K12" s="213"/>
      <c r="L12" s="213"/>
      <c r="M12" s="213"/>
      <c r="N12" s="213"/>
    </row>
    <row r="13" spans="1:18" ht="31.9" customHeight="1" x14ac:dyDescent="0.25">
      <c r="A13" s="3" t="s">
        <v>5</v>
      </c>
      <c r="B13" s="335" t="s">
        <v>19</v>
      </c>
      <c r="C13" s="3" t="s">
        <v>6</v>
      </c>
      <c r="D13" s="291">
        <f>D16+D19</f>
        <v>0</v>
      </c>
      <c r="E13" s="291">
        <f t="shared" ref="E13:G13" si="5">E16+E19</f>
        <v>9.02</v>
      </c>
      <c r="F13" s="291">
        <f t="shared" si="5"/>
        <v>0.52</v>
      </c>
      <c r="G13" s="291">
        <f t="shared" si="5"/>
        <v>0.52</v>
      </c>
      <c r="H13" s="291">
        <f t="shared" si="2"/>
        <v>5.7649667405764973</v>
      </c>
      <c r="I13" s="291"/>
      <c r="J13" s="127"/>
      <c r="K13" s="127"/>
      <c r="L13" s="127"/>
      <c r="M13" s="127"/>
      <c r="N13" s="127"/>
    </row>
    <row r="14" spans="1:18" ht="31.9" customHeight="1" x14ac:dyDescent="0.25">
      <c r="A14" s="3"/>
      <c r="B14" s="337" t="s">
        <v>218</v>
      </c>
      <c r="C14" s="5" t="s">
        <v>219</v>
      </c>
      <c r="D14" s="296">
        <f>(D17+D20)/2</f>
        <v>30.125</v>
      </c>
      <c r="E14" s="296">
        <f t="shared" ref="E14:G14" si="6">(E17+E20)/2</f>
        <v>30.135000000000002</v>
      </c>
      <c r="F14" s="296">
        <f t="shared" si="6"/>
        <v>0</v>
      </c>
      <c r="G14" s="296">
        <f t="shared" si="6"/>
        <v>0</v>
      </c>
      <c r="H14" s="291">
        <f t="shared" si="2"/>
        <v>0</v>
      </c>
      <c r="I14" s="296"/>
      <c r="J14" s="127"/>
      <c r="K14" s="127"/>
      <c r="L14" s="127"/>
      <c r="M14" s="127"/>
      <c r="N14" s="127"/>
    </row>
    <row r="15" spans="1:18" ht="31.9" customHeight="1" x14ac:dyDescent="0.25">
      <c r="A15" s="3"/>
      <c r="B15" s="337" t="s">
        <v>220</v>
      </c>
      <c r="C15" s="5" t="s">
        <v>17</v>
      </c>
      <c r="D15" s="296">
        <f>D13*D14/10</f>
        <v>0</v>
      </c>
      <c r="E15" s="296">
        <f t="shared" ref="E15:G15" si="7">E13*E14/10</f>
        <v>27.18177</v>
      </c>
      <c r="F15" s="296">
        <f t="shared" si="7"/>
        <v>0</v>
      </c>
      <c r="G15" s="296">
        <f t="shared" si="7"/>
        <v>0</v>
      </c>
      <c r="H15" s="291">
        <f t="shared" si="2"/>
        <v>0</v>
      </c>
      <c r="I15" s="296"/>
      <c r="J15" s="127"/>
      <c r="K15" s="127"/>
      <c r="L15" s="127"/>
      <c r="M15" s="127"/>
      <c r="N15" s="127"/>
    </row>
    <row r="16" spans="1:18" ht="31.9" customHeight="1" x14ac:dyDescent="0.25">
      <c r="A16" s="3" t="s">
        <v>20</v>
      </c>
      <c r="B16" s="335" t="s">
        <v>21</v>
      </c>
      <c r="C16" s="3" t="s">
        <v>6</v>
      </c>
      <c r="D16" s="291"/>
      <c r="E16" s="291">
        <v>0.52</v>
      </c>
      <c r="F16" s="291">
        <v>0.52</v>
      </c>
      <c r="G16" s="291">
        <v>0.52</v>
      </c>
      <c r="H16" s="291">
        <f t="shared" si="2"/>
        <v>100</v>
      </c>
      <c r="I16" s="291"/>
      <c r="J16" s="214"/>
      <c r="K16" s="214"/>
      <c r="L16" s="214"/>
      <c r="M16" s="214"/>
      <c r="N16" s="214"/>
      <c r="O16" s="135"/>
      <c r="P16" s="135"/>
      <c r="Q16" s="135"/>
      <c r="R16" s="135"/>
    </row>
    <row r="17" spans="1:20" ht="31.9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>
        <v>0</v>
      </c>
      <c r="G17" s="296">
        <v>0</v>
      </c>
      <c r="H17" s="291">
        <f t="shared" si="2"/>
        <v>0</v>
      </c>
      <c r="I17" s="296"/>
      <c r="J17" s="214"/>
      <c r="K17" s="214"/>
      <c r="L17" s="214"/>
      <c r="M17" s="214"/>
      <c r="N17" s="214"/>
      <c r="O17" s="135"/>
      <c r="P17" s="135"/>
      <c r="Q17" s="135"/>
      <c r="R17" s="135"/>
    </row>
    <row r="18" spans="1:20" ht="31.9" customHeight="1" x14ac:dyDescent="0.25">
      <c r="A18" s="3"/>
      <c r="B18" s="337" t="s">
        <v>220</v>
      </c>
      <c r="C18" s="5" t="s">
        <v>17</v>
      </c>
      <c r="D18" s="296">
        <f>D16*D17/10</f>
        <v>0</v>
      </c>
      <c r="E18" s="296">
        <f t="shared" ref="E18:G18" si="8">E16*E17/10</f>
        <v>1.7420000000000002</v>
      </c>
      <c r="F18" s="296">
        <f t="shared" si="8"/>
        <v>0</v>
      </c>
      <c r="G18" s="296">
        <f t="shared" si="8"/>
        <v>0</v>
      </c>
      <c r="H18" s="291">
        <f t="shared" si="2"/>
        <v>0</v>
      </c>
      <c r="I18" s="296"/>
      <c r="J18" s="214"/>
      <c r="K18" s="214"/>
      <c r="L18" s="214"/>
      <c r="M18" s="214"/>
      <c r="N18" s="214"/>
      <c r="O18" s="135"/>
      <c r="P18" s="135"/>
      <c r="Q18" s="135"/>
      <c r="R18" s="135"/>
    </row>
    <row r="19" spans="1:20" ht="31.9" customHeight="1" x14ac:dyDescent="0.25">
      <c r="A19" s="379" t="s">
        <v>22</v>
      </c>
      <c r="B19" s="380" t="s">
        <v>23</v>
      </c>
      <c r="C19" s="379" t="s">
        <v>6</v>
      </c>
      <c r="D19" s="291">
        <f t="shared" ref="D19:G19" si="9">D22+D25</f>
        <v>0</v>
      </c>
      <c r="E19" s="291">
        <f t="shared" si="9"/>
        <v>8.5</v>
      </c>
      <c r="F19" s="291">
        <f t="shared" si="9"/>
        <v>0</v>
      </c>
      <c r="G19" s="291">
        <f t="shared" si="9"/>
        <v>0</v>
      </c>
      <c r="H19" s="291">
        <f t="shared" si="2"/>
        <v>0</v>
      </c>
      <c r="I19" s="291"/>
      <c r="J19" s="128"/>
      <c r="K19" s="128"/>
      <c r="L19" s="128"/>
      <c r="M19" s="128"/>
      <c r="N19" s="128"/>
      <c r="O19" s="126"/>
      <c r="P19" s="126"/>
    </row>
    <row r="20" spans="1:20" ht="31.9" customHeight="1" x14ac:dyDescent="0.25">
      <c r="A20" s="379"/>
      <c r="B20" s="337" t="s">
        <v>218</v>
      </c>
      <c r="C20" s="5" t="s">
        <v>219</v>
      </c>
      <c r="D20" s="296">
        <f>(D23+D26)/2</f>
        <v>26.75</v>
      </c>
      <c r="E20" s="296">
        <f t="shared" ref="E20:G20" si="10">(E23+E26)/2</f>
        <v>26.770000000000003</v>
      </c>
      <c r="F20" s="296">
        <f t="shared" si="10"/>
        <v>0</v>
      </c>
      <c r="G20" s="296">
        <f t="shared" si="10"/>
        <v>0</v>
      </c>
      <c r="H20" s="291">
        <f t="shared" si="2"/>
        <v>0</v>
      </c>
      <c r="I20" s="296"/>
      <c r="J20" s="128"/>
      <c r="K20" s="128"/>
      <c r="L20" s="128"/>
      <c r="M20" s="128"/>
      <c r="N20" s="128"/>
      <c r="O20" s="126"/>
      <c r="P20" s="126"/>
    </row>
    <row r="21" spans="1:20" ht="31.9" customHeight="1" x14ac:dyDescent="0.25">
      <c r="A21" s="379"/>
      <c r="B21" s="337" t="s">
        <v>220</v>
      </c>
      <c r="C21" s="5" t="s">
        <v>17</v>
      </c>
      <c r="D21" s="296">
        <f>D19*D20/10</f>
        <v>0</v>
      </c>
      <c r="E21" s="296">
        <f t="shared" ref="E21:G21" si="11">E19*E20/10</f>
        <v>22.7545</v>
      </c>
      <c r="F21" s="296">
        <f t="shared" si="11"/>
        <v>0</v>
      </c>
      <c r="G21" s="296">
        <f t="shared" si="11"/>
        <v>0</v>
      </c>
      <c r="H21" s="291">
        <f t="shared" si="2"/>
        <v>0</v>
      </c>
      <c r="I21" s="296"/>
      <c r="J21" s="128"/>
      <c r="K21" s="128"/>
      <c r="L21" s="128"/>
      <c r="M21" s="128"/>
      <c r="N21" s="128"/>
      <c r="O21" s="126"/>
      <c r="P21" s="126"/>
    </row>
    <row r="22" spans="1:20" ht="31.9" customHeight="1" x14ac:dyDescent="0.25">
      <c r="A22" s="379" t="s">
        <v>24</v>
      </c>
      <c r="B22" s="380" t="s">
        <v>25</v>
      </c>
      <c r="C22" s="379" t="s">
        <v>6</v>
      </c>
      <c r="D22" s="291"/>
      <c r="E22" s="313">
        <v>6</v>
      </c>
      <c r="F22" s="313">
        <v>0</v>
      </c>
      <c r="G22" s="313">
        <v>0</v>
      </c>
      <c r="H22" s="291">
        <f t="shared" si="2"/>
        <v>0</v>
      </c>
      <c r="I22" s="291"/>
      <c r="J22" s="121"/>
      <c r="K22" s="121"/>
      <c r="L22" s="121"/>
      <c r="M22" s="121"/>
      <c r="N22" s="121"/>
      <c r="O22" s="122"/>
      <c r="P22" s="122"/>
      <c r="Q22" s="123"/>
      <c r="R22" s="123"/>
      <c r="S22" s="123"/>
      <c r="T22" s="123"/>
    </row>
    <row r="23" spans="1:20" ht="31.9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/>
      <c r="G23" s="296"/>
      <c r="H23" s="291">
        <f t="shared" si="2"/>
        <v>0</v>
      </c>
      <c r="I23" s="296"/>
      <c r="J23" s="121"/>
      <c r="K23" s="121"/>
      <c r="L23" s="121"/>
      <c r="M23" s="121"/>
      <c r="N23" s="121"/>
      <c r="O23" s="122"/>
      <c r="P23" s="122"/>
      <c r="Q23" s="123"/>
      <c r="R23" s="123"/>
      <c r="S23" s="123"/>
      <c r="T23" s="123"/>
    </row>
    <row r="24" spans="1:20" ht="31.9" customHeight="1" x14ac:dyDescent="0.25">
      <c r="A24" s="379"/>
      <c r="B24" s="337" t="s">
        <v>220</v>
      </c>
      <c r="C24" s="5" t="s">
        <v>17</v>
      </c>
      <c r="D24" s="296"/>
      <c r="E24" s="296"/>
      <c r="F24" s="296"/>
      <c r="G24" s="296"/>
      <c r="H24" s="291"/>
      <c r="I24" s="296"/>
      <c r="J24" s="121"/>
      <c r="K24" s="121"/>
      <c r="L24" s="121"/>
      <c r="M24" s="121"/>
      <c r="N24" s="121"/>
      <c r="O24" s="122"/>
      <c r="P24" s="122"/>
      <c r="Q24" s="123"/>
      <c r="R24" s="123"/>
      <c r="S24" s="123"/>
      <c r="T24" s="123"/>
    </row>
    <row r="25" spans="1:20" ht="31.9" customHeight="1" x14ac:dyDescent="0.25">
      <c r="A25" s="379" t="s">
        <v>24</v>
      </c>
      <c r="B25" s="380" t="s">
        <v>26</v>
      </c>
      <c r="C25" s="379" t="s">
        <v>6</v>
      </c>
      <c r="D25" s="291"/>
      <c r="E25" s="313">
        <v>2.5</v>
      </c>
      <c r="F25" s="313">
        <v>0</v>
      </c>
      <c r="G25" s="313">
        <v>0</v>
      </c>
      <c r="H25" s="291">
        <f t="shared" si="2"/>
        <v>0</v>
      </c>
      <c r="I25" s="291"/>
      <c r="J25" s="121"/>
      <c r="K25" s="121"/>
      <c r="L25" s="121"/>
      <c r="M25" s="121"/>
      <c r="N25" s="121"/>
      <c r="O25" s="122"/>
      <c r="P25" s="122"/>
      <c r="Q25" s="123"/>
      <c r="R25" s="123"/>
      <c r="S25" s="123"/>
      <c r="T25" s="123"/>
    </row>
    <row r="26" spans="1:20" ht="31.9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15.2</v>
      </c>
      <c r="F26" s="296"/>
      <c r="G26" s="296"/>
      <c r="H26" s="291">
        <f t="shared" si="2"/>
        <v>0</v>
      </c>
      <c r="I26" s="296"/>
      <c r="J26" s="121"/>
      <c r="K26" s="121"/>
      <c r="L26" s="121"/>
      <c r="M26" s="121"/>
      <c r="N26" s="121"/>
      <c r="O26" s="122"/>
      <c r="P26" s="122"/>
      <c r="Q26" s="123"/>
      <c r="R26" s="123"/>
      <c r="S26" s="123"/>
      <c r="T26" s="123"/>
    </row>
    <row r="27" spans="1:20" ht="31.9" customHeight="1" x14ac:dyDescent="0.25">
      <c r="A27" s="379"/>
      <c r="B27" s="337" t="s">
        <v>220</v>
      </c>
      <c r="C27" s="5" t="s">
        <v>17</v>
      </c>
      <c r="D27" s="296">
        <f>D25*D26/10</f>
        <v>0</v>
      </c>
      <c r="E27" s="296">
        <f t="shared" ref="E27:G27" si="12">E25*E26/10</f>
        <v>3.8</v>
      </c>
      <c r="F27" s="296">
        <f t="shared" si="12"/>
        <v>0</v>
      </c>
      <c r="G27" s="296">
        <f t="shared" si="12"/>
        <v>0</v>
      </c>
      <c r="H27" s="291">
        <f t="shared" si="2"/>
        <v>0</v>
      </c>
      <c r="I27" s="296"/>
      <c r="J27" s="121"/>
      <c r="K27" s="121"/>
      <c r="L27" s="121"/>
      <c r="M27" s="121"/>
      <c r="N27" s="121"/>
      <c r="O27" s="122"/>
      <c r="P27" s="122"/>
      <c r="Q27" s="123"/>
      <c r="R27" s="123"/>
      <c r="S27" s="123"/>
      <c r="T27" s="123"/>
    </row>
    <row r="28" spans="1:20" ht="31.9" customHeight="1" x14ac:dyDescent="0.25">
      <c r="A28" s="3" t="s">
        <v>7</v>
      </c>
      <c r="B28" s="335" t="s">
        <v>27</v>
      </c>
      <c r="C28" s="3" t="s">
        <v>6</v>
      </c>
      <c r="D28" s="291">
        <f t="shared" ref="D28:G28" si="13">D31+D34</f>
        <v>1</v>
      </c>
      <c r="E28" s="291">
        <f t="shared" si="13"/>
        <v>1</v>
      </c>
      <c r="F28" s="291">
        <f t="shared" si="13"/>
        <v>0</v>
      </c>
      <c r="G28" s="291">
        <f t="shared" si="13"/>
        <v>0</v>
      </c>
      <c r="H28" s="291">
        <f t="shared" si="2"/>
        <v>0</v>
      </c>
      <c r="I28" s="291"/>
      <c r="J28" s="124"/>
      <c r="K28" s="124"/>
      <c r="L28" s="124"/>
      <c r="M28" s="124"/>
      <c r="N28" s="124"/>
      <c r="O28" s="123"/>
      <c r="P28" s="123"/>
      <c r="Q28" s="123"/>
      <c r="R28" s="123"/>
      <c r="S28" s="123"/>
      <c r="T28" s="123"/>
    </row>
    <row r="29" spans="1:20" ht="31.9" customHeight="1" x14ac:dyDescent="0.25">
      <c r="A29" s="3"/>
      <c r="B29" s="337" t="s">
        <v>218</v>
      </c>
      <c r="C29" s="5" t="s">
        <v>219</v>
      </c>
      <c r="D29" s="296">
        <f>D35</f>
        <v>36.85</v>
      </c>
      <c r="E29" s="296">
        <f t="shared" ref="E29:G29" si="14">E35</f>
        <v>36.9</v>
      </c>
      <c r="F29" s="296">
        <f t="shared" si="14"/>
        <v>0</v>
      </c>
      <c r="G29" s="296">
        <f t="shared" si="14"/>
        <v>0</v>
      </c>
      <c r="H29" s="291">
        <f t="shared" si="2"/>
        <v>0</v>
      </c>
      <c r="I29" s="296"/>
      <c r="J29" s="124"/>
      <c r="K29" s="124"/>
      <c r="L29" s="124"/>
      <c r="M29" s="124"/>
      <c r="N29" s="124"/>
      <c r="O29" s="123"/>
      <c r="P29" s="123"/>
      <c r="Q29" s="123"/>
      <c r="R29" s="123"/>
      <c r="S29" s="123"/>
      <c r="T29" s="123"/>
    </row>
    <row r="30" spans="1:20" ht="31.9" customHeight="1" x14ac:dyDescent="0.25">
      <c r="A30" s="3"/>
      <c r="B30" s="337" t="s">
        <v>220</v>
      </c>
      <c r="C30" s="5" t="s">
        <v>17</v>
      </c>
      <c r="D30" s="296">
        <f>D28*D29/10</f>
        <v>3.6850000000000001</v>
      </c>
      <c r="E30" s="296">
        <f t="shared" ref="E30:G30" si="15">E28*E29/10</f>
        <v>3.69</v>
      </c>
      <c r="F30" s="296">
        <f t="shared" si="15"/>
        <v>0</v>
      </c>
      <c r="G30" s="296">
        <f t="shared" si="15"/>
        <v>0</v>
      </c>
      <c r="H30" s="291">
        <f t="shared" si="2"/>
        <v>0</v>
      </c>
      <c r="I30" s="296"/>
      <c r="J30" s="124"/>
      <c r="K30" s="124"/>
      <c r="L30" s="124"/>
      <c r="M30" s="124"/>
      <c r="N30" s="124"/>
      <c r="O30" s="123"/>
      <c r="P30" s="123"/>
      <c r="Q30" s="123"/>
      <c r="R30" s="123"/>
      <c r="S30" s="123"/>
      <c r="T30" s="123"/>
    </row>
    <row r="31" spans="1:20" ht="31.9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/>
      <c r="G31" s="291"/>
      <c r="H31" s="291"/>
      <c r="I31" s="291"/>
      <c r="J31" s="124"/>
      <c r="K31" s="114"/>
      <c r="L31" s="169"/>
      <c r="M31" s="169"/>
      <c r="N31" s="169"/>
      <c r="O31" s="169"/>
      <c r="P31" s="123"/>
      <c r="Q31" s="123"/>
      <c r="R31" s="123"/>
      <c r="S31" s="123"/>
      <c r="T31" s="123"/>
    </row>
    <row r="32" spans="1:20" ht="31.9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1"/>
      <c r="H32" s="291"/>
      <c r="I32" s="291"/>
      <c r="J32" s="124"/>
      <c r="K32" s="114"/>
      <c r="L32" s="169"/>
      <c r="M32" s="169"/>
      <c r="N32" s="169"/>
      <c r="O32" s="169"/>
      <c r="P32" s="123"/>
      <c r="Q32" s="123"/>
      <c r="R32" s="123"/>
      <c r="S32" s="123"/>
      <c r="T32" s="123"/>
    </row>
    <row r="33" spans="1:25" ht="31.9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1"/>
      <c r="H33" s="291"/>
      <c r="I33" s="291"/>
      <c r="J33" s="124"/>
      <c r="K33" s="114"/>
      <c r="L33" s="169"/>
      <c r="M33" s="169"/>
      <c r="N33" s="169"/>
      <c r="O33" s="169"/>
      <c r="P33" s="123"/>
      <c r="Q33" s="123"/>
      <c r="R33" s="123"/>
      <c r="S33" s="123"/>
      <c r="T33" s="123"/>
    </row>
    <row r="34" spans="1:25" ht="31.9" customHeight="1" x14ac:dyDescent="0.25">
      <c r="A34" s="379" t="s">
        <v>22</v>
      </c>
      <c r="B34" s="380" t="s">
        <v>29</v>
      </c>
      <c r="C34" s="379" t="s">
        <v>6</v>
      </c>
      <c r="D34" s="313">
        <v>1</v>
      </c>
      <c r="E34" s="313">
        <v>1</v>
      </c>
      <c r="F34" s="313">
        <v>0</v>
      </c>
      <c r="G34" s="313">
        <v>0</v>
      </c>
      <c r="H34" s="291">
        <f t="shared" si="2"/>
        <v>0</v>
      </c>
      <c r="I34" s="296"/>
      <c r="J34" s="124"/>
      <c r="K34" s="137"/>
      <c r="L34" s="137"/>
      <c r="M34" s="137"/>
      <c r="N34" s="137"/>
      <c r="O34" s="137"/>
      <c r="P34" s="123"/>
      <c r="Q34" s="123"/>
      <c r="R34" s="123"/>
      <c r="S34" s="123"/>
      <c r="T34" s="123"/>
    </row>
    <row r="35" spans="1:25" ht="31.9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/>
      <c r="G35" s="296"/>
      <c r="H35" s="291">
        <f t="shared" si="2"/>
        <v>0</v>
      </c>
      <c r="I35" s="296"/>
      <c r="J35" s="124"/>
      <c r="K35" s="137"/>
      <c r="L35" s="137"/>
      <c r="M35" s="137"/>
      <c r="N35" s="137"/>
      <c r="O35" s="137"/>
      <c r="P35" s="123"/>
      <c r="Q35" s="123"/>
      <c r="R35" s="123"/>
      <c r="S35" s="123"/>
      <c r="T35" s="123"/>
    </row>
    <row r="36" spans="1:25" ht="31.9" customHeight="1" x14ac:dyDescent="0.25">
      <c r="A36" s="379"/>
      <c r="B36" s="337" t="s">
        <v>220</v>
      </c>
      <c r="C36" s="5" t="s">
        <v>17</v>
      </c>
      <c r="D36" s="296">
        <f>D34*D35/10</f>
        <v>3.6850000000000001</v>
      </c>
      <c r="E36" s="296">
        <f t="shared" ref="E36:G36" si="16">E34*E35/10</f>
        <v>3.69</v>
      </c>
      <c r="F36" s="296">
        <f t="shared" si="16"/>
        <v>0</v>
      </c>
      <c r="G36" s="296">
        <f t="shared" si="16"/>
        <v>0</v>
      </c>
      <c r="H36" s="291">
        <f t="shared" si="2"/>
        <v>0</v>
      </c>
      <c r="I36" s="296"/>
      <c r="J36" s="124"/>
      <c r="K36" s="137"/>
      <c r="L36" s="137"/>
      <c r="M36" s="137"/>
      <c r="N36" s="137"/>
      <c r="O36" s="137"/>
      <c r="P36" s="123"/>
      <c r="Q36" s="123"/>
      <c r="R36" s="123"/>
      <c r="S36" s="123"/>
      <c r="T36" s="123"/>
    </row>
    <row r="37" spans="1:25" ht="31.9" customHeight="1" x14ac:dyDescent="0.25">
      <c r="A37" s="3">
        <v>2</v>
      </c>
      <c r="B37" s="335" t="s">
        <v>30</v>
      </c>
      <c r="C37" s="3" t="s">
        <v>6</v>
      </c>
      <c r="D37" s="291">
        <v>76.8</v>
      </c>
      <c r="E37" s="291">
        <v>67.650000000000006</v>
      </c>
      <c r="F37" s="291">
        <v>0</v>
      </c>
      <c r="G37" s="291">
        <v>0</v>
      </c>
      <c r="H37" s="291">
        <f t="shared" si="2"/>
        <v>0</v>
      </c>
      <c r="I37" s="291"/>
      <c r="J37" s="121"/>
      <c r="K37" s="116"/>
      <c r="L37" s="116"/>
      <c r="M37" s="116"/>
      <c r="N37" s="116"/>
      <c r="O37" s="116"/>
      <c r="P37" s="121"/>
      <c r="Q37" s="121"/>
      <c r="R37" s="121"/>
      <c r="S37" s="121"/>
      <c r="T37" s="121"/>
      <c r="U37" s="121"/>
      <c r="V37" s="121"/>
      <c r="W37" s="122"/>
      <c r="X37" s="122"/>
      <c r="Y37" s="122"/>
    </row>
    <row r="38" spans="1:25" ht="31.9" customHeight="1" x14ac:dyDescent="0.25">
      <c r="A38" s="3"/>
      <c r="B38" s="337" t="s">
        <v>218</v>
      </c>
      <c r="C38" s="5" t="s">
        <v>219</v>
      </c>
      <c r="D38" s="296">
        <v>137.5</v>
      </c>
      <c r="E38" s="296">
        <v>140</v>
      </c>
      <c r="F38" s="296"/>
      <c r="G38" s="296"/>
      <c r="H38" s="291">
        <f t="shared" si="2"/>
        <v>0</v>
      </c>
      <c r="I38" s="296"/>
      <c r="J38" s="121"/>
      <c r="K38" s="116"/>
      <c r="L38" s="116"/>
      <c r="M38" s="116"/>
      <c r="N38" s="116"/>
      <c r="O38" s="116"/>
      <c r="P38" s="121"/>
      <c r="Q38" s="121"/>
      <c r="R38" s="121"/>
      <c r="S38" s="121"/>
      <c r="T38" s="121"/>
      <c r="U38" s="121"/>
      <c r="V38" s="121"/>
      <c r="W38" s="122"/>
      <c r="X38" s="122"/>
      <c r="Y38" s="122"/>
    </row>
    <row r="39" spans="1:25" ht="31.9" customHeight="1" x14ac:dyDescent="0.25">
      <c r="A39" s="3"/>
      <c r="B39" s="337" t="s">
        <v>220</v>
      </c>
      <c r="C39" s="5" t="s">
        <v>17</v>
      </c>
      <c r="D39" s="296">
        <f>D37*D38/10</f>
        <v>1056</v>
      </c>
      <c r="E39" s="296">
        <f t="shared" ref="E39:G39" si="17">E37*E38/10</f>
        <v>947.1</v>
      </c>
      <c r="F39" s="296">
        <f t="shared" si="17"/>
        <v>0</v>
      </c>
      <c r="G39" s="296">
        <f t="shared" si="17"/>
        <v>0</v>
      </c>
      <c r="H39" s="291">
        <f t="shared" si="2"/>
        <v>0</v>
      </c>
      <c r="I39" s="296"/>
      <c r="J39" s="121"/>
      <c r="K39" s="116"/>
      <c r="L39" s="116"/>
      <c r="M39" s="116"/>
      <c r="N39" s="116"/>
      <c r="O39" s="116"/>
      <c r="P39" s="121"/>
      <c r="Q39" s="121"/>
      <c r="R39" s="121"/>
      <c r="S39" s="121"/>
      <c r="T39" s="121"/>
      <c r="U39" s="121"/>
      <c r="V39" s="121"/>
      <c r="W39" s="122"/>
      <c r="X39" s="122"/>
      <c r="Y39" s="122"/>
    </row>
    <row r="40" spans="1:25" ht="31.9" customHeight="1" x14ac:dyDescent="0.25">
      <c r="A40" s="3">
        <v>3</v>
      </c>
      <c r="B40" s="333" t="s">
        <v>241</v>
      </c>
      <c r="C40" s="332" t="s">
        <v>6</v>
      </c>
      <c r="D40" s="294">
        <v>0.5</v>
      </c>
      <c r="E40" s="294">
        <v>0.5</v>
      </c>
      <c r="F40" s="291">
        <v>0</v>
      </c>
      <c r="G40" s="291">
        <v>0</v>
      </c>
      <c r="H40" s="291">
        <f t="shared" si="2"/>
        <v>0</v>
      </c>
      <c r="I40" s="296"/>
      <c r="J40" s="121"/>
      <c r="K40" s="116"/>
      <c r="L40" s="116"/>
      <c r="M40" s="116"/>
      <c r="N40" s="116"/>
      <c r="O40" s="116"/>
      <c r="P40" s="121"/>
      <c r="Q40" s="121"/>
      <c r="R40" s="121"/>
      <c r="S40" s="121"/>
      <c r="T40" s="121"/>
      <c r="U40" s="121"/>
      <c r="V40" s="121"/>
      <c r="W40" s="122"/>
      <c r="X40" s="122"/>
      <c r="Y40" s="122"/>
    </row>
    <row r="41" spans="1:25" ht="31.9" customHeight="1" x14ac:dyDescent="0.25">
      <c r="A41" s="3"/>
      <c r="B41" s="336" t="s">
        <v>218</v>
      </c>
      <c r="C41" s="343" t="s">
        <v>219</v>
      </c>
      <c r="D41" s="298">
        <v>25</v>
      </c>
      <c r="E41" s="298">
        <v>24.1</v>
      </c>
      <c r="F41" s="296"/>
      <c r="G41" s="296"/>
      <c r="H41" s="291">
        <f t="shared" si="2"/>
        <v>0</v>
      </c>
      <c r="I41" s="296"/>
      <c r="J41" s="121"/>
      <c r="K41" s="116"/>
      <c r="L41" s="116"/>
      <c r="M41" s="116"/>
      <c r="N41" s="116"/>
      <c r="O41" s="116"/>
      <c r="P41" s="121"/>
      <c r="Q41" s="121"/>
      <c r="R41" s="121"/>
      <c r="S41" s="121"/>
      <c r="T41" s="121"/>
      <c r="U41" s="121"/>
      <c r="V41" s="121"/>
      <c r="W41" s="122"/>
      <c r="X41" s="122"/>
      <c r="Y41" s="122"/>
    </row>
    <row r="42" spans="1:25" ht="31.9" customHeight="1" x14ac:dyDescent="0.25">
      <c r="A42" s="3"/>
      <c r="B42" s="336" t="s">
        <v>220</v>
      </c>
      <c r="C42" s="343" t="s">
        <v>17</v>
      </c>
      <c r="D42" s="298">
        <f>D40*D41/10</f>
        <v>1.25</v>
      </c>
      <c r="E42" s="298">
        <f>E40*E41/10</f>
        <v>1.2050000000000001</v>
      </c>
      <c r="F42" s="298">
        <f t="shared" ref="F42:G42" si="18">F40*F41/10</f>
        <v>0</v>
      </c>
      <c r="G42" s="298">
        <f t="shared" si="18"/>
        <v>0</v>
      </c>
      <c r="H42" s="291">
        <f t="shared" si="2"/>
        <v>0</v>
      </c>
      <c r="I42" s="296"/>
      <c r="J42" s="121"/>
      <c r="K42" s="116"/>
      <c r="L42" s="116"/>
      <c r="M42" s="116"/>
      <c r="N42" s="116"/>
      <c r="O42" s="116"/>
      <c r="P42" s="121"/>
      <c r="Q42" s="121"/>
      <c r="R42" s="121"/>
      <c r="S42" s="121"/>
      <c r="T42" s="121"/>
      <c r="U42" s="121"/>
      <c r="V42" s="121"/>
      <c r="W42" s="122"/>
      <c r="X42" s="122"/>
      <c r="Y42" s="122"/>
    </row>
    <row r="43" spans="1:25" ht="31.9" customHeight="1" x14ac:dyDescent="0.25">
      <c r="A43" s="3">
        <v>4</v>
      </c>
      <c r="B43" s="335" t="s">
        <v>242</v>
      </c>
      <c r="C43" s="3" t="s">
        <v>6</v>
      </c>
      <c r="D43" s="291">
        <v>0.5</v>
      </c>
      <c r="E43" s="291">
        <v>0.5</v>
      </c>
      <c r="F43" s="291">
        <v>0.27</v>
      </c>
      <c r="G43" s="291">
        <f>F43</f>
        <v>0.27</v>
      </c>
      <c r="H43" s="291">
        <f t="shared" si="2"/>
        <v>54</v>
      </c>
      <c r="I43" s="291"/>
      <c r="J43" s="127"/>
      <c r="K43" s="134"/>
      <c r="L43" s="215"/>
      <c r="M43" s="215"/>
      <c r="N43" s="215"/>
      <c r="O43" s="215"/>
    </row>
    <row r="44" spans="1:25" ht="31.9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1">
        <f t="shared" si="2"/>
        <v>0</v>
      </c>
      <c r="I44" s="296"/>
      <c r="J44" s="127"/>
      <c r="K44" s="134"/>
      <c r="L44" s="132"/>
      <c r="M44" s="132"/>
      <c r="N44" s="132"/>
      <c r="O44" s="147"/>
    </row>
    <row r="45" spans="1:25" ht="31.9" customHeight="1" x14ac:dyDescent="0.25">
      <c r="A45" s="5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19">F43*F44/10</f>
        <v>0</v>
      </c>
      <c r="G45" s="296">
        <f t="shared" si="19"/>
        <v>0</v>
      </c>
      <c r="H45" s="291">
        <f t="shared" si="2"/>
        <v>0</v>
      </c>
      <c r="I45" s="296"/>
      <c r="J45" s="127"/>
      <c r="K45" s="127"/>
      <c r="L45" s="127"/>
      <c r="M45" s="127"/>
      <c r="N45" s="127"/>
    </row>
    <row r="46" spans="1:25" ht="31.9" customHeight="1" x14ac:dyDescent="0.25">
      <c r="A46" s="3">
        <v>5</v>
      </c>
      <c r="B46" s="335" t="s">
        <v>32</v>
      </c>
      <c r="C46" s="3" t="s">
        <v>6</v>
      </c>
      <c r="D46" s="291">
        <f>D47+D55+D64</f>
        <v>19.87</v>
      </c>
      <c r="E46" s="291">
        <f t="shared" ref="E46:G46" si="20">E47+E55+E64</f>
        <v>28.97</v>
      </c>
      <c r="F46" s="291">
        <f t="shared" si="20"/>
        <v>19.27</v>
      </c>
      <c r="G46" s="291">
        <f t="shared" si="20"/>
        <v>19.27</v>
      </c>
      <c r="H46" s="291">
        <f t="shared" si="2"/>
        <v>66.517086641353131</v>
      </c>
      <c r="I46" s="291"/>
      <c r="J46" s="127"/>
      <c r="K46" s="127"/>
      <c r="L46" s="127"/>
      <c r="M46" s="127"/>
      <c r="N46" s="127"/>
    </row>
    <row r="47" spans="1:25" ht="31.9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8.56</v>
      </c>
      <c r="E47" s="291">
        <f t="shared" ref="E47:G47" si="21">E48+E49</f>
        <v>17.66</v>
      </c>
      <c r="F47" s="291">
        <f t="shared" si="21"/>
        <v>8.56</v>
      </c>
      <c r="G47" s="291">
        <f t="shared" si="21"/>
        <v>8.56</v>
      </c>
      <c r="H47" s="291">
        <f t="shared" si="2"/>
        <v>48.471121177802942</v>
      </c>
      <c r="I47" s="291"/>
      <c r="J47" s="127"/>
      <c r="K47" s="127"/>
      <c r="L47" s="127"/>
      <c r="M47" s="127"/>
      <c r="N47" s="127"/>
    </row>
    <row r="48" spans="1:25" ht="31.9" customHeight="1" x14ac:dyDescent="0.25">
      <c r="A48" s="7" t="s">
        <v>24</v>
      </c>
      <c r="B48" s="383" t="s">
        <v>196</v>
      </c>
      <c r="C48" s="384" t="s">
        <v>6</v>
      </c>
      <c r="D48" s="296">
        <v>7.5</v>
      </c>
      <c r="E48" s="296">
        <f>D48+D49</f>
        <v>8.56</v>
      </c>
      <c r="F48" s="296">
        <v>8.56</v>
      </c>
      <c r="G48" s="296">
        <v>8.56</v>
      </c>
      <c r="H48" s="296">
        <f t="shared" si="2"/>
        <v>100</v>
      </c>
      <c r="I48" s="296"/>
      <c r="J48" s="121"/>
      <c r="K48" s="121"/>
      <c r="L48" s="121"/>
      <c r="M48" s="121"/>
      <c r="N48" s="121"/>
      <c r="O48" s="122"/>
    </row>
    <row r="49" spans="1:21" s="131" customFormat="1" ht="31.9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1.06</v>
      </c>
      <c r="E49" s="291">
        <f t="shared" ref="E49:G49" si="22">E50+E51</f>
        <v>9.1</v>
      </c>
      <c r="F49" s="291">
        <f t="shared" si="22"/>
        <v>0</v>
      </c>
      <c r="G49" s="291">
        <f t="shared" si="22"/>
        <v>0</v>
      </c>
      <c r="H49" s="291">
        <f t="shared" si="2"/>
        <v>0</v>
      </c>
      <c r="I49" s="291"/>
      <c r="J49" s="213"/>
      <c r="K49" s="213"/>
      <c r="L49" s="213"/>
      <c r="M49" s="213"/>
      <c r="N49" s="213"/>
    </row>
    <row r="50" spans="1:21" ht="31.9" customHeight="1" x14ac:dyDescent="0.25">
      <c r="A50" s="384" t="s">
        <v>18</v>
      </c>
      <c r="B50" s="386" t="s">
        <v>194</v>
      </c>
      <c r="C50" s="384" t="s">
        <v>6</v>
      </c>
      <c r="D50" s="296"/>
      <c r="E50" s="296">
        <f>6.6</f>
        <v>6.6</v>
      </c>
      <c r="F50" s="296">
        <v>0</v>
      </c>
      <c r="G50" s="296">
        <v>0</v>
      </c>
      <c r="H50" s="291">
        <f t="shared" si="2"/>
        <v>0</v>
      </c>
      <c r="I50" s="296"/>
      <c r="J50" s="127"/>
      <c r="K50" s="127"/>
      <c r="L50" s="127"/>
      <c r="M50" s="127"/>
      <c r="N50" s="127"/>
    </row>
    <row r="51" spans="1:21" ht="31.9" customHeight="1" x14ac:dyDescent="0.25">
      <c r="A51" s="384" t="s">
        <v>18</v>
      </c>
      <c r="B51" s="386" t="s">
        <v>35</v>
      </c>
      <c r="C51" s="5" t="s">
        <v>6</v>
      </c>
      <c r="D51" s="296">
        <f>0.86+0.2</f>
        <v>1.06</v>
      </c>
      <c r="E51" s="296">
        <f>2+0.5</f>
        <v>2.5</v>
      </c>
      <c r="F51" s="296">
        <v>0</v>
      </c>
      <c r="G51" s="296">
        <v>0</v>
      </c>
      <c r="H51" s="291">
        <f t="shared" si="2"/>
        <v>0</v>
      </c>
      <c r="I51" s="296"/>
      <c r="J51" s="127"/>
      <c r="K51" s="127"/>
      <c r="L51" s="127"/>
      <c r="M51" s="127"/>
      <c r="N51" s="127"/>
    </row>
    <row r="52" spans="1:21" s="131" customFormat="1" ht="31.9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4.88</v>
      </c>
      <c r="E52" s="291">
        <f t="shared" ref="E52:G52" si="23">E53+E54</f>
        <v>6.375</v>
      </c>
      <c r="F52" s="291">
        <f t="shared" si="23"/>
        <v>6.38</v>
      </c>
      <c r="G52" s="291">
        <f t="shared" si="23"/>
        <v>6.38</v>
      </c>
      <c r="H52" s="291">
        <f t="shared" si="2"/>
        <v>100.07843137254902</v>
      </c>
      <c r="I52" s="291"/>
      <c r="J52" s="213"/>
      <c r="K52" s="213"/>
      <c r="L52" s="213"/>
      <c r="M52" s="213"/>
      <c r="N52" s="213"/>
    </row>
    <row r="53" spans="1:21" ht="31.9" customHeight="1" x14ac:dyDescent="0.25">
      <c r="A53" s="387" t="s">
        <v>18</v>
      </c>
      <c r="B53" s="386" t="s">
        <v>198</v>
      </c>
      <c r="C53" s="5" t="s">
        <v>6</v>
      </c>
      <c r="D53" s="296">
        <v>4.88</v>
      </c>
      <c r="E53" s="296">
        <f>D48*85%</f>
        <v>6.375</v>
      </c>
      <c r="F53" s="296">
        <v>6.38</v>
      </c>
      <c r="G53" s="296">
        <v>6.38</v>
      </c>
      <c r="H53" s="296">
        <f t="shared" si="2"/>
        <v>100.07843137254902</v>
      </c>
      <c r="I53" s="296"/>
      <c r="J53" s="127"/>
      <c r="K53" s="155"/>
      <c r="L53" s="216"/>
      <c r="M53" s="155"/>
      <c r="N53" s="155"/>
      <c r="O53" s="138"/>
      <c r="P53" s="138"/>
      <c r="Q53" s="138"/>
      <c r="R53" s="138"/>
      <c r="S53" s="138"/>
      <c r="T53" s="138"/>
      <c r="U53" s="138"/>
    </row>
    <row r="54" spans="1:21" ht="31.9" customHeight="1" x14ac:dyDescent="0.25">
      <c r="A54" s="5"/>
      <c r="B54" s="386" t="s">
        <v>199</v>
      </c>
      <c r="C54" s="5" t="s">
        <v>6</v>
      </c>
      <c r="D54" s="296"/>
      <c r="E54" s="296"/>
      <c r="F54" s="296"/>
      <c r="G54" s="296"/>
      <c r="H54" s="291"/>
      <c r="I54" s="296"/>
      <c r="J54" s="127"/>
      <c r="K54" s="155"/>
      <c r="L54" s="155"/>
      <c r="M54" s="155"/>
      <c r="N54" s="155"/>
      <c r="O54" s="138"/>
      <c r="P54" s="138"/>
      <c r="Q54" s="138"/>
      <c r="R54" s="138"/>
      <c r="S54" s="138"/>
      <c r="T54" s="138"/>
      <c r="U54" s="138"/>
    </row>
    <row r="55" spans="1:21" ht="31.9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5.56</v>
      </c>
      <c r="E55" s="291">
        <f t="shared" ref="E55:G55" si="24">E56+E57</f>
        <v>5.5600000000000005</v>
      </c>
      <c r="F55" s="291">
        <f t="shared" si="24"/>
        <v>4.96</v>
      </c>
      <c r="G55" s="291">
        <f t="shared" si="24"/>
        <v>4.96</v>
      </c>
      <c r="H55" s="291">
        <f t="shared" si="2"/>
        <v>89.208633093525165</v>
      </c>
      <c r="I55" s="291"/>
      <c r="J55" s="127"/>
      <c r="K55" s="155"/>
      <c r="L55" s="155"/>
      <c r="M55" s="155"/>
      <c r="N55" s="155"/>
      <c r="O55" s="138"/>
      <c r="P55" s="138"/>
      <c r="Q55" s="138"/>
      <c r="R55" s="138"/>
      <c r="S55" s="138"/>
      <c r="T55" s="138"/>
      <c r="U55" s="138"/>
    </row>
    <row r="56" spans="1:21" ht="31.9" customHeight="1" x14ac:dyDescent="0.25">
      <c r="A56" s="5" t="s">
        <v>24</v>
      </c>
      <c r="B56" s="383" t="s">
        <v>197</v>
      </c>
      <c r="C56" s="5" t="s">
        <v>6</v>
      </c>
      <c r="D56" s="296">
        <v>4.5599999999999996</v>
      </c>
      <c r="E56" s="296">
        <f>D56+E58</f>
        <v>4.96</v>
      </c>
      <c r="F56" s="296">
        <v>4.96</v>
      </c>
      <c r="G56" s="296">
        <v>4.96</v>
      </c>
      <c r="H56" s="296">
        <f t="shared" si="2"/>
        <v>100</v>
      </c>
      <c r="I56" s="296"/>
      <c r="J56" s="127"/>
      <c r="K56" s="155"/>
      <c r="L56" s="155"/>
      <c r="M56" s="155"/>
      <c r="N56" s="155"/>
      <c r="O56" s="138"/>
      <c r="P56" s="138"/>
      <c r="Q56" s="138"/>
      <c r="R56" s="138"/>
      <c r="S56" s="138"/>
      <c r="T56" s="138"/>
      <c r="U56" s="138"/>
    </row>
    <row r="57" spans="1:21" ht="31.9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1</v>
      </c>
      <c r="E57" s="296">
        <f t="shared" ref="E57:G57" si="25">E58+E61</f>
        <v>0.60000000000000009</v>
      </c>
      <c r="F57" s="296">
        <f t="shared" si="25"/>
        <v>0</v>
      </c>
      <c r="G57" s="296">
        <f t="shared" si="25"/>
        <v>0</v>
      </c>
      <c r="H57" s="291">
        <f t="shared" si="2"/>
        <v>0</v>
      </c>
      <c r="I57" s="296"/>
      <c r="J57" s="127"/>
      <c r="K57" s="155"/>
      <c r="L57" s="155"/>
      <c r="M57" s="155"/>
      <c r="N57" s="155"/>
      <c r="O57" s="138"/>
      <c r="P57" s="138"/>
      <c r="Q57" s="138"/>
      <c r="R57" s="138"/>
      <c r="S57" s="138"/>
      <c r="T57" s="138"/>
      <c r="U57" s="138"/>
    </row>
    <row r="58" spans="1:21" s="149" customFormat="1" ht="31.9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</v>
      </c>
      <c r="E58" s="299">
        <f>E59+E60</f>
        <v>0.4</v>
      </c>
      <c r="F58" s="299">
        <f t="shared" ref="F58:G58" si="26">F59+F60</f>
        <v>0</v>
      </c>
      <c r="G58" s="299">
        <f t="shared" si="26"/>
        <v>0</v>
      </c>
      <c r="H58" s="291">
        <f t="shared" si="2"/>
        <v>0</v>
      </c>
      <c r="I58" s="299"/>
      <c r="J58" s="217"/>
      <c r="K58" s="142"/>
      <c r="L58" s="142"/>
      <c r="M58" s="142"/>
      <c r="N58" s="142"/>
      <c r="O58" s="142"/>
      <c r="P58" s="156"/>
      <c r="Q58" s="156"/>
      <c r="R58" s="156"/>
      <c r="S58" s="156"/>
      <c r="T58" s="156"/>
      <c r="U58" s="156"/>
    </row>
    <row r="59" spans="1:21" ht="31.9" customHeight="1" x14ac:dyDescent="0.25">
      <c r="A59" s="5" t="s">
        <v>18</v>
      </c>
      <c r="B59" s="383" t="s">
        <v>202</v>
      </c>
      <c r="C59" s="5" t="s">
        <v>6</v>
      </c>
      <c r="D59" s="296"/>
      <c r="E59" s="296">
        <v>0.2</v>
      </c>
      <c r="F59" s="296">
        <v>0</v>
      </c>
      <c r="G59" s="296">
        <v>0</v>
      </c>
      <c r="H59" s="291">
        <f t="shared" si="2"/>
        <v>0</v>
      </c>
      <c r="I59" s="296"/>
      <c r="J59" s="214"/>
      <c r="K59" s="114"/>
      <c r="L59" s="114"/>
      <c r="M59" s="114"/>
      <c r="N59" s="114"/>
      <c r="O59" s="114"/>
      <c r="P59" s="138"/>
      <c r="Q59" s="138"/>
      <c r="R59" s="138"/>
      <c r="S59" s="138"/>
      <c r="T59" s="138"/>
      <c r="U59" s="138"/>
    </row>
    <row r="60" spans="1:21" ht="31.9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0.2</v>
      </c>
      <c r="F60" s="296">
        <v>0</v>
      </c>
      <c r="G60" s="296">
        <v>0</v>
      </c>
      <c r="H60" s="291">
        <f t="shared" si="2"/>
        <v>0</v>
      </c>
      <c r="I60" s="296"/>
      <c r="J60" s="214"/>
      <c r="K60" s="114"/>
      <c r="L60" s="114"/>
      <c r="M60" s="114"/>
      <c r="N60" s="114"/>
      <c r="O60" s="114"/>
      <c r="P60" s="138"/>
      <c r="Q60" s="138"/>
      <c r="R60" s="138"/>
      <c r="S60" s="138"/>
      <c r="T60" s="138"/>
      <c r="U60" s="138"/>
    </row>
    <row r="61" spans="1:21" s="149" customFormat="1" ht="31.9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1</v>
      </c>
      <c r="E61" s="299">
        <f t="shared" ref="E61:G61" si="27">E62+E63</f>
        <v>0.2</v>
      </c>
      <c r="F61" s="299">
        <f t="shared" si="27"/>
        <v>0</v>
      </c>
      <c r="G61" s="299">
        <f t="shared" si="27"/>
        <v>0</v>
      </c>
      <c r="H61" s="291">
        <f t="shared" si="2"/>
        <v>0</v>
      </c>
      <c r="I61" s="299"/>
      <c r="J61" s="214"/>
      <c r="K61" s="142"/>
      <c r="L61" s="218"/>
      <c r="M61" s="218"/>
      <c r="N61" s="218"/>
      <c r="O61" s="156"/>
      <c r="P61" s="156"/>
      <c r="Q61" s="156"/>
      <c r="R61" s="156"/>
      <c r="S61" s="156"/>
      <c r="T61" s="156"/>
      <c r="U61" s="156"/>
    </row>
    <row r="62" spans="1:21" ht="31.9" customHeight="1" x14ac:dyDescent="0.25">
      <c r="A62" s="5" t="s">
        <v>18</v>
      </c>
      <c r="B62" s="383" t="s">
        <v>203</v>
      </c>
      <c r="C62" s="5" t="s">
        <v>6</v>
      </c>
      <c r="D62" s="296">
        <v>1</v>
      </c>
      <c r="E62" s="296">
        <v>0.1</v>
      </c>
      <c r="F62" s="296">
        <v>0</v>
      </c>
      <c r="G62" s="296">
        <v>0</v>
      </c>
      <c r="H62" s="291">
        <f t="shared" si="2"/>
        <v>0</v>
      </c>
      <c r="I62" s="296"/>
      <c r="J62" s="214"/>
      <c r="K62" s="114"/>
      <c r="L62" s="114"/>
      <c r="M62" s="114"/>
      <c r="N62" s="114"/>
      <c r="O62" s="114"/>
      <c r="P62" s="138"/>
      <c r="Q62" s="138"/>
      <c r="R62" s="138"/>
      <c r="S62" s="138"/>
      <c r="T62" s="138"/>
      <c r="U62" s="138"/>
    </row>
    <row r="63" spans="1:21" ht="31.9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0.1</v>
      </c>
      <c r="F63" s="296">
        <v>0</v>
      </c>
      <c r="G63" s="296">
        <v>0</v>
      </c>
      <c r="H63" s="291">
        <f t="shared" si="2"/>
        <v>0</v>
      </c>
      <c r="I63" s="296"/>
      <c r="J63" s="214"/>
      <c r="K63" s="114"/>
      <c r="L63" s="114"/>
      <c r="M63" s="114"/>
      <c r="N63" s="114"/>
      <c r="O63" s="114"/>
      <c r="P63" s="138"/>
      <c r="Q63" s="138"/>
      <c r="R63" s="138"/>
      <c r="S63" s="138"/>
      <c r="T63" s="138"/>
      <c r="U63" s="138"/>
    </row>
    <row r="64" spans="1:21" ht="31.9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5.75</v>
      </c>
      <c r="E64" s="291">
        <f t="shared" ref="E64:G64" si="28">E65+E66</f>
        <v>5.75</v>
      </c>
      <c r="F64" s="291">
        <f t="shared" si="28"/>
        <v>5.75</v>
      </c>
      <c r="G64" s="291">
        <f t="shared" si="28"/>
        <v>5.75</v>
      </c>
      <c r="H64" s="291">
        <f t="shared" si="2"/>
        <v>100</v>
      </c>
      <c r="I64" s="291"/>
      <c r="J64" s="127"/>
      <c r="K64" s="155"/>
      <c r="L64" s="155"/>
      <c r="M64" s="155"/>
      <c r="N64" s="155"/>
      <c r="O64" s="138"/>
      <c r="P64" s="138"/>
      <c r="Q64" s="138"/>
      <c r="R64" s="138"/>
      <c r="S64" s="138"/>
      <c r="T64" s="138"/>
      <c r="U64" s="138"/>
    </row>
    <row r="65" spans="1:21" ht="31.9" customHeight="1" x14ac:dyDescent="0.25">
      <c r="A65" s="5" t="s">
        <v>18</v>
      </c>
      <c r="B65" s="383" t="s">
        <v>196</v>
      </c>
      <c r="C65" s="5" t="s">
        <v>6</v>
      </c>
      <c r="D65" s="296">
        <v>5.75</v>
      </c>
      <c r="E65" s="296">
        <v>5.75</v>
      </c>
      <c r="F65" s="296">
        <v>5.75</v>
      </c>
      <c r="G65" s="296">
        <v>5.75</v>
      </c>
      <c r="H65" s="296">
        <f t="shared" si="2"/>
        <v>100</v>
      </c>
      <c r="I65" s="296"/>
      <c r="J65" s="127"/>
      <c r="K65" s="155"/>
      <c r="L65" s="155"/>
      <c r="M65" s="155"/>
      <c r="N65" s="155"/>
      <c r="O65" s="138"/>
      <c r="P65" s="138"/>
      <c r="Q65" s="138"/>
      <c r="R65" s="138"/>
      <c r="S65" s="138"/>
      <c r="T65" s="138"/>
      <c r="U65" s="138"/>
    </row>
    <row r="66" spans="1:21" ht="31.9" customHeight="1" x14ac:dyDescent="0.25">
      <c r="A66" s="5" t="s">
        <v>18</v>
      </c>
      <c r="B66" s="337" t="s">
        <v>31</v>
      </c>
      <c r="C66" s="5" t="s">
        <v>6</v>
      </c>
      <c r="D66" s="296"/>
      <c r="E66" s="296"/>
      <c r="F66" s="296"/>
      <c r="G66" s="296"/>
      <c r="H66" s="291"/>
      <c r="I66" s="296"/>
      <c r="J66" s="127"/>
      <c r="K66" s="127"/>
      <c r="L66" s="127"/>
      <c r="M66" s="127"/>
      <c r="N66" s="127"/>
    </row>
    <row r="67" spans="1:21" ht="31.9" customHeight="1" x14ac:dyDescent="0.25">
      <c r="A67" s="3">
        <v>6</v>
      </c>
      <c r="B67" s="335" t="s">
        <v>38</v>
      </c>
      <c r="C67" s="3" t="s">
        <v>6</v>
      </c>
      <c r="D67" s="291">
        <f>D68+D71</f>
        <v>21.9</v>
      </c>
      <c r="E67" s="291">
        <f t="shared" ref="E67:G67" si="29">E68+E71</f>
        <v>19</v>
      </c>
      <c r="F67" s="291">
        <f t="shared" si="29"/>
        <v>18.8</v>
      </c>
      <c r="G67" s="291">
        <f t="shared" si="29"/>
        <v>18.8</v>
      </c>
      <c r="H67" s="291">
        <f t="shared" si="2"/>
        <v>98.947368421052644</v>
      </c>
      <c r="I67" s="291"/>
      <c r="J67" s="127"/>
      <c r="K67" s="127"/>
      <c r="L67" s="127"/>
      <c r="M67" s="127"/>
      <c r="N67" s="127"/>
    </row>
    <row r="68" spans="1:21" ht="31.9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0</v>
      </c>
      <c r="E68" s="291">
        <f t="shared" ref="E68:G68" si="30">E69+E70</f>
        <v>0</v>
      </c>
      <c r="F68" s="291">
        <f t="shared" si="30"/>
        <v>0</v>
      </c>
      <c r="G68" s="291">
        <f t="shared" si="30"/>
        <v>0</v>
      </c>
      <c r="H68" s="291"/>
      <c r="I68" s="291"/>
      <c r="J68" s="127"/>
      <c r="K68" s="127"/>
      <c r="L68" s="127"/>
      <c r="M68" s="127"/>
      <c r="N68" s="127"/>
    </row>
    <row r="69" spans="1:21" ht="31.9" customHeight="1" x14ac:dyDescent="0.25">
      <c r="A69" s="5" t="s">
        <v>18</v>
      </c>
      <c r="B69" s="383" t="s">
        <v>205</v>
      </c>
      <c r="C69" s="5" t="s">
        <v>6</v>
      </c>
      <c r="D69" s="296"/>
      <c r="E69" s="296"/>
      <c r="F69" s="296"/>
      <c r="G69" s="296"/>
      <c r="H69" s="291"/>
      <c r="I69" s="296"/>
      <c r="J69" s="127"/>
      <c r="K69" s="127"/>
      <c r="L69" s="127"/>
      <c r="M69" s="127"/>
      <c r="N69" s="127"/>
    </row>
    <row r="70" spans="1:21" ht="31.9" customHeight="1" x14ac:dyDescent="0.25">
      <c r="A70" s="5" t="s">
        <v>18</v>
      </c>
      <c r="B70" s="383" t="s">
        <v>206</v>
      </c>
      <c r="C70" s="5" t="s">
        <v>6</v>
      </c>
      <c r="D70" s="296"/>
      <c r="E70" s="296"/>
      <c r="F70" s="296"/>
      <c r="G70" s="296"/>
      <c r="H70" s="291"/>
      <c r="I70" s="296"/>
      <c r="J70" s="127"/>
      <c r="K70" s="127"/>
      <c r="L70" s="127"/>
      <c r="M70" s="127"/>
      <c r="N70" s="127"/>
    </row>
    <row r="71" spans="1:21" ht="31.9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21.9</v>
      </c>
      <c r="E71" s="291">
        <f t="shared" ref="E71:G71" si="31">E72+E73</f>
        <v>19</v>
      </c>
      <c r="F71" s="291">
        <f t="shared" si="31"/>
        <v>18.8</v>
      </c>
      <c r="G71" s="291">
        <f t="shared" si="31"/>
        <v>18.8</v>
      </c>
      <c r="H71" s="291">
        <f t="shared" si="2"/>
        <v>98.947368421052644</v>
      </c>
      <c r="I71" s="291"/>
      <c r="J71" s="127"/>
      <c r="K71" s="127"/>
      <c r="L71" s="127"/>
      <c r="M71" s="127"/>
      <c r="N71" s="127"/>
    </row>
    <row r="72" spans="1:21" ht="31.9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21.4</v>
      </c>
      <c r="E72" s="302">
        <f t="shared" ref="E72:G73" si="32">E75+E82</f>
        <v>18.8</v>
      </c>
      <c r="F72" s="302">
        <f t="shared" si="32"/>
        <v>18.8</v>
      </c>
      <c r="G72" s="302">
        <f t="shared" si="32"/>
        <v>18.8</v>
      </c>
      <c r="H72" s="291">
        <f t="shared" si="2"/>
        <v>100</v>
      </c>
      <c r="I72" s="302"/>
      <c r="J72" s="127"/>
      <c r="K72" s="127"/>
      <c r="L72" s="127"/>
      <c r="M72" s="127"/>
      <c r="N72" s="127"/>
    </row>
    <row r="73" spans="1:21" ht="31.9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0.5</v>
      </c>
      <c r="E73" s="291">
        <f t="shared" si="32"/>
        <v>0.2</v>
      </c>
      <c r="F73" s="291">
        <f t="shared" si="32"/>
        <v>0</v>
      </c>
      <c r="G73" s="291">
        <f t="shared" si="32"/>
        <v>0</v>
      </c>
      <c r="H73" s="291">
        <f t="shared" si="2"/>
        <v>0</v>
      </c>
      <c r="I73" s="291"/>
      <c r="J73" s="213"/>
      <c r="K73" s="213"/>
      <c r="L73" s="213"/>
      <c r="M73" s="213"/>
      <c r="N73" s="213"/>
    </row>
    <row r="74" spans="1:21" ht="31.9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17.8</v>
      </c>
      <c r="E74" s="304">
        <f t="shared" ref="E74:G74" si="33">E75+E76</f>
        <v>15.8</v>
      </c>
      <c r="F74" s="304">
        <f t="shared" si="33"/>
        <v>15.8</v>
      </c>
      <c r="G74" s="304">
        <f t="shared" si="33"/>
        <v>15.8</v>
      </c>
      <c r="H74" s="313">
        <f t="shared" ref="H74:H98" si="34">F74/E74*100</f>
        <v>100</v>
      </c>
      <c r="I74" s="304"/>
      <c r="J74" s="144"/>
      <c r="K74" s="144"/>
      <c r="L74" s="151"/>
      <c r="M74" s="151"/>
      <c r="N74" s="151"/>
      <c r="O74" s="151"/>
      <c r="P74" s="151"/>
      <c r="Q74" s="151"/>
    </row>
    <row r="75" spans="1:21" ht="31.9" customHeight="1" x14ac:dyDescent="0.25">
      <c r="A75" s="7" t="s">
        <v>24</v>
      </c>
      <c r="B75" s="391" t="s">
        <v>196</v>
      </c>
      <c r="C75" s="5" t="s">
        <v>6</v>
      </c>
      <c r="D75" s="306">
        <f>11.34+5.96</f>
        <v>17.3</v>
      </c>
      <c r="E75" s="306">
        <f>17.8-2</f>
        <v>15.8</v>
      </c>
      <c r="F75" s="296">
        <v>15.8</v>
      </c>
      <c r="G75" s="296">
        <v>15.8</v>
      </c>
      <c r="H75" s="296">
        <f t="shared" si="34"/>
        <v>100</v>
      </c>
      <c r="I75" s="296"/>
      <c r="J75" s="127"/>
      <c r="K75" s="127"/>
      <c r="L75" s="128"/>
      <c r="M75" s="128"/>
      <c r="N75" s="128"/>
      <c r="O75" s="126"/>
      <c r="P75" s="126"/>
      <c r="Q75" s="126"/>
    </row>
    <row r="76" spans="1:21" ht="31.9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0.5</v>
      </c>
      <c r="E76" s="307">
        <f>SUM(E77:E80)</f>
        <v>0</v>
      </c>
      <c r="F76" s="307">
        <f t="shared" ref="F76:G76" si="35">SUM(F77:F80)</f>
        <v>0</v>
      </c>
      <c r="G76" s="307">
        <f t="shared" si="35"/>
        <v>0</v>
      </c>
      <c r="H76" s="291"/>
      <c r="I76" s="307"/>
      <c r="J76" s="217"/>
      <c r="K76" s="217"/>
      <c r="L76" s="219"/>
      <c r="M76" s="219"/>
      <c r="N76" s="219"/>
      <c r="O76" s="126"/>
      <c r="P76" s="126"/>
      <c r="Q76" s="126"/>
    </row>
    <row r="77" spans="1:21" ht="31.9" customHeight="1" x14ac:dyDescent="0.25">
      <c r="A77" s="4" t="s">
        <v>18</v>
      </c>
      <c r="B77" s="393" t="s">
        <v>212</v>
      </c>
      <c r="C77" s="4" t="s">
        <v>6</v>
      </c>
      <c r="D77" s="296"/>
      <c r="E77" s="296"/>
      <c r="F77" s="296"/>
      <c r="G77" s="296"/>
      <c r="H77" s="291"/>
      <c r="I77" s="296"/>
      <c r="J77" s="217"/>
      <c r="K77" s="217"/>
      <c r="L77" s="219"/>
      <c r="M77" s="220"/>
      <c r="N77" s="220"/>
      <c r="O77" s="126"/>
      <c r="P77" s="164"/>
      <c r="Q77" s="164"/>
    </row>
    <row r="78" spans="1:21" ht="31.9" customHeight="1" x14ac:dyDescent="0.25">
      <c r="A78" s="4" t="s">
        <v>18</v>
      </c>
      <c r="B78" s="393" t="s">
        <v>189</v>
      </c>
      <c r="C78" s="4" t="s">
        <v>6</v>
      </c>
      <c r="D78" s="296"/>
      <c r="E78" s="296">
        <v>0</v>
      </c>
      <c r="F78" s="296"/>
      <c r="G78" s="296"/>
      <c r="H78" s="291"/>
      <c r="I78" s="296"/>
      <c r="J78" s="217"/>
      <c r="K78" s="217"/>
      <c r="L78" s="219"/>
      <c r="M78" s="219"/>
      <c r="N78" s="219"/>
      <c r="O78" s="126"/>
      <c r="P78" s="126"/>
      <c r="Q78" s="126"/>
    </row>
    <row r="79" spans="1:21" ht="31.9" customHeight="1" x14ac:dyDescent="0.25">
      <c r="A79" s="4" t="s">
        <v>18</v>
      </c>
      <c r="B79" s="393" t="s">
        <v>190</v>
      </c>
      <c r="C79" s="4" t="s">
        <v>6</v>
      </c>
      <c r="D79" s="296"/>
      <c r="E79" s="296"/>
      <c r="F79" s="296"/>
      <c r="G79" s="296"/>
      <c r="H79" s="291"/>
      <c r="I79" s="296"/>
      <c r="J79" s="217"/>
      <c r="K79" s="217"/>
      <c r="L79" s="219"/>
      <c r="M79" s="219"/>
      <c r="N79" s="219"/>
      <c r="O79" s="126"/>
      <c r="P79" s="126"/>
      <c r="Q79" s="126"/>
    </row>
    <row r="80" spans="1:21" ht="31.9" customHeight="1" x14ac:dyDescent="0.25">
      <c r="A80" s="4" t="s">
        <v>18</v>
      </c>
      <c r="B80" s="394" t="s">
        <v>208</v>
      </c>
      <c r="C80" s="4" t="s">
        <v>6</v>
      </c>
      <c r="D80" s="296">
        <v>0.5</v>
      </c>
      <c r="E80" s="296"/>
      <c r="F80" s="296"/>
      <c r="G80" s="296"/>
      <c r="H80" s="291"/>
      <c r="I80" s="296"/>
      <c r="J80" s="217"/>
      <c r="K80" s="217"/>
      <c r="L80" s="219"/>
      <c r="M80" s="219"/>
      <c r="N80" s="219"/>
      <c r="O80" s="126"/>
      <c r="P80" s="126"/>
      <c r="Q80" s="126"/>
    </row>
    <row r="81" spans="1:20" s="152" customFormat="1" ht="31.9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4.0999999999999996</v>
      </c>
      <c r="E81" s="304">
        <f t="shared" ref="E81:G81" si="36">E82+E83</f>
        <v>3.2</v>
      </c>
      <c r="F81" s="304">
        <f t="shared" si="36"/>
        <v>3</v>
      </c>
      <c r="G81" s="304">
        <f t="shared" si="36"/>
        <v>3</v>
      </c>
      <c r="H81" s="313">
        <f t="shared" si="34"/>
        <v>93.75</v>
      </c>
      <c r="I81" s="304"/>
      <c r="J81" s="144"/>
      <c r="K81" s="144"/>
      <c r="L81" s="151"/>
      <c r="M81" s="151"/>
      <c r="N81" s="151"/>
      <c r="O81" s="151"/>
      <c r="P81" s="151"/>
      <c r="Q81" s="151"/>
    </row>
    <row r="82" spans="1:20" s="149" customFormat="1" ht="31.9" customHeight="1" x14ac:dyDescent="0.25">
      <c r="A82" s="392" t="s">
        <v>18</v>
      </c>
      <c r="B82" s="393" t="s">
        <v>188</v>
      </c>
      <c r="C82" s="4" t="s">
        <v>6</v>
      </c>
      <c r="D82" s="299">
        <v>4.0999999999999996</v>
      </c>
      <c r="E82" s="299">
        <v>3</v>
      </c>
      <c r="F82" s="299">
        <v>3</v>
      </c>
      <c r="G82" s="299">
        <v>3</v>
      </c>
      <c r="H82" s="299">
        <f t="shared" si="34"/>
        <v>100</v>
      </c>
      <c r="I82" s="299"/>
      <c r="J82" s="217"/>
      <c r="K82" s="217"/>
      <c r="L82" s="220"/>
      <c r="M82" s="219"/>
      <c r="N82" s="219"/>
      <c r="O82" s="148"/>
      <c r="P82" s="148"/>
      <c r="Q82" s="148"/>
    </row>
    <row r="83" spans="1:20" ht="31.9" customHeight="1" x14ac:dyDescent="0.25">
      <c r="A83" s="392" t="s">
        <v>15</v>
      </c>
      <c r="B83" s="389" t="s">
        <v>210</v>
      </c>
      <c r="C83" s="5" t="s">
        <v>6</v>
      </c>
      <c r="D83" s="306">
        <f t="shared" ref="D83" si="37">SUM(D84:D87)</f>
        <v>0</v>
      </c>
      <c r="E83" s="306">
        <f>SUM(E84:E87)</f>
        <v>0.2</v>
      </c>
      <c r="F83" s="306">
        <f t="shared" ref="F83:G83" si="38">SUM(F84:F87)</f>
        <v>0</v>
      </c>
      <c r="G83" s="306">
        <f t="shared" si="38"/>
        <v>0</v>
      </c>
      <c r="H83" s="291">
        <f t="shared" si="34"/>
        <v>0</v>
      </c>
      <c r="I83" s="306"/>
      <c r="J83" s="217"/>
      <c r="K83" s="217"/>
      <c r="L83" s="217"/>
      <c r="M83" s="217"/>
      <c r="N83" s="217"/>
    </row>
    <row r="84" spans="1:20" ht="31.9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291"/>
      <c r="I84" s="296"/>
      <c r="J84" s="219"/>
      <c r="K84" s="219"/>
      <c r="L84" s="219"/>
      <c r="M84" s="219"/>
      <c r="N84" s="219"/>
    </row>
    <row r="85" spans="1:20" ht="31.9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291"/>
      <c r="I85" s="296"/>
      <c r="J85" s="219"/>
      <c r="K85" s="219"/>
      <c r="L85" s="219"/>
      <c r="M85" s="219"/>
      <c r="N85" s="219"/>
    </row>
    <row r="86" spans="1:20" ht="31.9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291"/>
      <c r="I86" s="296"/>
      <c r="J86" s="219"/>
      <c r="K86" s="219"/>
      <c r="L86" s="219"/>
      <c r="M86" s="219"/>
      <c r="N86" s="126"/>
      <c r="O86" s="126"/>
      <c r="P86" s="126"/>
      <c r="Q86" s="126"/>
    </row>
    <row r="87" spans="1:20" ht="31.9" customHeight="1" x14ac:dyDescent="0.25">
      <c r="A87" s="392" t="s">
        <v>18</v>
      </c>
      <c r="B87" s="393" t="s">
        <v>193</v>
      </c>
      <c r="C87" s="4" t="s">
        <v>6</v>
      </c>
      <c r="D87" s="296"/>
      <c r="E87" s="296">
        <v>0.2</v>
      </c>
      <c r="F87" s="296">
        <v>0</v>
      </c>
      <c r="G87" s="296">
        <v>0</v>
      </c>
      <c r="H87" s="291">
        <f t="shared" si="34"/>
        <v>0</v>
      </c>
      <c r="I87" s="296"/>
      <c r="J87" s="219"/>
      <c r="K87" s="219"/>
      <c r="L87" s="219"/>
      <c r="M87" s="220"/>
      <c r="N87" s="220"/>
      <c r="O87" s="164"/>
      <c r="P87" s="164"/>
      <c r="Q87" s="164"/>
      <c r="R87" s="164"/>
      <c r="S87" s="126"/>
      <c r="T87" s="126"/>
    </row>
    <row r="88" spans="1:20" ht="31.9" customHeight="1" x14ac:dyDescent="0.25">
      <c r="A88" s="3" t="s">
        <v>44</v>
      </c>
      <c r="B88" s="334" t="s">
        <v>45</v>
      </c>
      <c r="C88" s="3"/>
      <c r="D88" s="291">
        <f>SUM(D89:D93)</f>
        <v>473</v>
      </c>
      <c r="E88" s="291">
        <f t="shared" ref="E88:G88" si="39">SUM(E89:E93)</f>
        <v>524</v>
      </c>
      <c r="F88" s="291">
        <f t="shared" si="39"/>
        <v>470</v>
      </c>
      <c r="G88" s="291">
        <f t="shared" si="39"/>
        <v>470</v>
      </c>
      <c r="H88" s="291">
        <f t="shared" si="34"/>
        <v>89.694656488549612</v>
      </c>
      <c r="I88" s="291"/>
      <c r="J88" s="128"/>
      <c r="K88" s="128"/>
      <c r="L88" s="128"/>
      <c r="M88" s="128"/>
      <c r="N88" s="128"/>
    </row>
    <row r="89" spans="1:20" s="194" customFormat="1" ht="31.9" customHeight="1" x14ac:dyDescent="0.25">
      <c r="A89" s="5">
        <v>1</v>
      </c>
      <c r="B89" s="337" t="s">
        <v>46</v>
      </c>
      <c r="C89" s="5" t="s">
        <v>8</v>
      </c>
      <c r="D89" s="296">
        <v>42</v>
      </c>
      <c r="E89" s="296">
        <f>70+11</f>
        <v>81</v>
      </c>
      <c r="F89" s="296">
        <v>79</v>
      </c>
      <c r="G89" s="296">
        <f>F89</f>
        <v>79</v>
      </c>
      <c r="H89" s="296">
        <f t="shared" si="34"/>
        <v>97.53086419753086</v>
      </c>
      <c r="I89" s="296"/>
      <c r="J89" s="222"/>
      <c r="K89" s="267"/>
      <c r="L89" s="221"/>
      <c r="M89" s="222"/>
      <c r="N89" s="222"/>
    </row>
    <row r="90" spans="1:20" s="194" customFormat="1" ht="31.9" customHeight="1" x14ac:dyDescent="0.25">
      <c r="A90" s="5">
        <v>2</v>
      </c>
      <c r="B90" s="337" t="s">
        <v>47</v>
      </c>
      <c r="C90" s="5" t="s">
        <v>8</v>
      </c>
      <c r="D90" s="296">
        <v>71</v>
      </c>
      <c r="E90" s="296">
        <f>75+12</f>
        <v>87</v>
      </c>
      <c r="F90" s="296">
        <v>85</v>
      </c>
      <c r="G90" s="296">
        <f>F90</f>
        <v>85</v>
      </c>
      <c r="H90" s="296">
        <f t="shared" si="34"/>
        <v>97.701149425287355</v>
      </c>
      <c r="I90" s="296"/>
      <c r="J90" s="222"/>
      <c r="K90" s="267"/>
      <c r="L90" s="221"/>
      <c r="M90" s="222"/>
      <c r="N90" s="222"/>
    </row>
    <row r="91" spans="1:20" s="194" customFormat="1" ht="31.9" customHeight="1" x14ac:dyDescent="0.25">
      <c r="A91" s="5">
        <v>3</v>
      </c>
      <c r="B91" s="337" t="s">
        <v>48</v>
      </c>
      <c r="C91" s="5" t="s">
        <v>8</v>
      </c>
      <c r="D91" s="296">
        <v>41</v>
      </c>
      <c r="E91" s="296">
        <f>44+14</f>
        <v>58</v>
      </c>
      <c r="F91" s="296">
        <v>54</v>
      </c>
      <c r="G91" s="296">
        <f>F91</f>
        <v>54</v>
      </c>
      <c r="H91" s="296">
        <f t="shared" si="34"/>
        <v>93.103448275862064</v>
      </c>
      <c r="I91" s="296"/>
      <c r="J91" s="222"/>
      <c r="K91" s="267"/>
      <c r="L91" s="221"/>
      <c r="M91" s="222"/>
      <c r="N91" s="222"/>
    </row>
    <row r="92" spans="1:20" s="194" customFormat="1" ht="31.9" customHeight="1" x14ac:dyDescent="0.25">
      <c r="A92" s="5">
        <v>4</v>
      </c>
      <c r="B92" s="337" t="s">
        <v>49</v>
      </c>
      <c r="C92" s="5" t="s">
        <v>8</v>
      </c>
      <c r="D92" s="296">
        <v>7</v>
      </c>
      <c r="E92" s="296">
        <f>9+2</f>
        <v>11</v>
      </c>
      <c r="F92" s="296">
        <v>9</v>
      </c>
      <c r="G92" s="296">
        <f>F92</f>
        <v>9</v>
      </c>
      <c r="H92" s="296">
        <f t="shared" si="34"/>
        <v>81.818181818181827</v>
      </c>
      <c r="I92" s="296"/>
      <c r="J92" s="222"/>
      <c r="K92" s="267"/>
      <c r="L92" s="222"/>
      <c r="M92" s="222"/>
      <c r="N92" s="222"/>
    </row>
    <row r="93" spans="1:20" s="194" customFormat="1" ht="31.9" customHeight="1" x14ac:dyDescent="0.25">
      <c r="A93" s="5">
        <v>5</v>
      </c>
      <c r="B93" s="337" t="s">
        <v>50</v>
      </c>
      <c r="C93" s="5" t="s">
        <v>8</v>
      </c>
      <c r="D93" s="296">
        <v>312</v>
      </c>
      <c r="E93" s="296">
        <f>318-31</f>
        <v>287</v>
      </c>
      <c r="F93" s="296">
        <v>243</v>
      </c>
      <c r="G93" s="296">
        <f>F93</f>
        <v>243</v>
      </c>
      <c r="H93" s="296">
        <f t="shared" si="34"/>
        <v>84.668989547038336</v>
      </c>
      <c r="I93" s="296"/>
      <c r="J93" s="267"/>
      <c r="K93" s="267"/>
      <c r="L93" s="225"/>
      <c r="M93" s="222"/>
      <c r="N93" s="222"/>
    </row>
    <row r="94" spans="1:20" s="131" customFormat="1" ht="31.9" customHeight="1" x14ac:dyDescent="0.25">
      <c r="A94" s="3" t="s">
        <v>51</v>
      </c>
      <c r="B94" s="335" t="s">
        <v>52</v>
      </c>
      <c r="C94" s="3" t="s">
        <v>6</v>
      </c>
      <c r="D94" s="291">
        <f>D95</f>
        <v>3.5</v>
      </c>
      <c r="E94" s="291">
        <f t="shared" ref="E94:G94" si="40">E95</f>
        <v>3.5</v>
      </c>
      <c r="F94" s="291">
        <f t="shared" si="40"/>
        <v>3.5</v>
      </c>
      <c r="G94" s="291">
        <f t="shared" si="40"/>
        <v>3.5</v>
      </c>
      <c r="H94" s="291">
        <f t="shared" si="34"/>
        <v>100</v>
      </c>
      <c r="I94" s="291"/>
      <c r="J94" s="130"/>
      <c r="K94" s="130"/>
      <c r="L94" s="130"/>
      <c r="M94" s="130"/>
      <c r="N94" s="130"/>
    </row>
    <row r="95" spans="1:20" ht="31.9" customHeight="1" x14ac:dyDescent="0.25">
      <c r="A95" s="4" t="s">
        <v>18</v>
      </c>
      <c r="B95" s="389" t="s">
        <v>53</v>
      </c>
      <c r="C95" s="4" t="s">
        <v>6</v>
      </c>
      <c r="D95" s="296">
        <v>3.5</v>
      </c>
      <c r="E95" s="296">
        <v>3.5</v>
      </c>
      <c r="F95" s="296">
        <v>3.5</v>
      </c>
      <c r="G95" s="296">
        <v>3.5</v>
      </c>
      <c r="H95" s="296">
        <f t="shared" si="34"/>
        <v>100</v>
      </c>
      <c r="I95" s="296"/>
      <c r="J95" s="214"/>
      <c r="K95" s="128"/>
      <c r="L95" s="128"/>
      <c r="M95" s="128"/>
      <c r="N95" s="128"/>
    </row>
    <row r="96" spans="1:20" ht="31.9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5.6</v>
      </c>
      <c r="E96" s="291">
        <f t="shared" ref="E96:G96" si="41">E97+E98</f>
        <v>3.55</v>
      </c>
      <c r="F96" s="291">
        <f t="shared" si="41"/>
        <v>0</v>
      </c>
      <c r="G96" s="291">
        <f t="shared" si="41"/>
        <v>0</v>
      </c>
      <c r="H96" s="291">
        <f t="shared" si="34"/>
        <v>0</v>
      </c>
      <c r="I96" s="291"/>
      <c r="J96" s="128"/>
      <c r="K96" s="128"/>
      <c r="L96" s="128"/>
      <c r="M96" s="128"/>
      <c r="N96" s="128"/>
    </row>
    <row r="97" spans="1:14" ht="31.9" customHeight="1" x14ac:dyDescent="0.25">
      <c r="A97" s="5" t="s">
        <v>18</v>
      </c>
      <c r="B97" s="391" t="s">
        <v>213</v>
      </c>
      <c r="C97" s="4" t="s">
        <v>6</v>
      </c>
      <c r="D97" s="296"/>
      <c r="E97" s="296">
        <v>0</v>
      </c>
      <c r="F97" s="296"/>
      <c r="G97" s="296"/>
      <c r="H97" s="291"/>
      <c r="I97" s="296"/>
      <c r="J97" s="128"/>
      <c r="K97" s="128"/>
      <c r="L97" s="128"/>
      <c r="M97" s="128"/>
      <c r="N97" s="128"/>
    </row>
    <row r="98" spans="1:14" ht="31.9" customHeight="1" x14ac:dyDescent="0.25">
      <c r="A98" s="395" t="s">
        <v>18</v>
      </c>
      <c r="B98" s="391" t="s">
        <v>56</v>
      </c>
      <c r="C98" s="4" t="s">
        <v>6</v>
      </c>
      <c r="D98" s="296">
        <v>5.6</v>
      </c>
      <c r="E98" s="296">
        <v>3.55</v>
      </c>
      <c r="F98" s="296"/>
      <c r="G98" s="296"/>
      <c r="H98" s="291">
        <f t="shared" si="34"/>
        <v>0</v>
      </c>
      <c r="I98" s="296"/>
      <c r="J98" s="128"/>
      <c r="K98" s="128"/>
      <c r="L98" s="128"/>
      <c r="M98" s="128"/>
      <c r="N98" s="128"/>
    </row>
    <row r="99" spans="1:14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27"/>
      <c r="L99" s="127"/>
      <c r="M99" s="127"/>
      <c r="N99" s="127"/>
    </row>
    <row r="100" spans="1:14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27"/>
      <c r="L100" s="127"/>
      <c r="M100" s="127"/>
      <c r="N100" s="127"/>
    </row>
    <row r="101" spans="1:14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27"/>
      <c r="L101" s="127"/>
      <c r="M101" s="127"/>
      <c r="N101" s="127"/>
    </row>
    <row r="102" spans="1:14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27"/>
      <c r="L102" s="127"/>
      <c r="M102" s="127"/>
      <c r="N102" s="127"/>
    </row>
    <row r="103" spans="1:14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27"/>
      <c r="L103" s="127"/>
      <c r="M103" s="127"/>
      <c r="N103" s="127"/>
    </row>
    <row r="104" spans="1:14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27"/>
      <c r="L104" s="127"/>
      <c r="M104" s="127"/>
      <c r="N104" s="127"/>
    </row>
    <row r="105" spans="1:14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27"/>
      <c r="L105" s="127"/>
      <c r="M105" s="127"/>
      <c r="N105" s="127"/>
    </row>
    <row r="106" spans="1:14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27"/>
      <c r="L106" s="127"/>
      <c r="M106" s="127"/>
      <c r="N106" s="127"/>
    </row>
    <row r="107" spans="1:14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27"/>
      <c r="L107" s="127"/>
      <c r="M107" s="127"/>
      <c r="N107" s="127"/>
    </row>
    <row r="108" spans="1:14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27"/>
      <c r="L108" s="127"/>
      <c r="M108" s="127"/>
      <c r="N108" s="127"/>
    </row>
    <row r="109" spans="1:14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  <c r="N109" s="127"/>
    </row>
    <row r="110" spans="1:14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  <c r="N110" s="127"/>
    </row>
    <row r="111" spans="1:14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  <c r="N111" s="127"/>
    </row>
    <row r="112" spans="1:14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  <c r="N112" s="127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62992125984251968" bottom="0.51181102362204722" header="0" footer="0"/>
  <pageSetup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Z1000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11.21875" defaultRowHeight="15" customHeight="1" x14ac:dyDescent="0.25"/>
  <cols>
    <col min="1" max="1" width="5" customWidth="1"/>
    <col min="2" max="2" width="68" customWidth="1"/>
    <col min="3" max="3" width="11.33203125" customWidth="1"/>
    <col min="4" max="5" width="13.6640625" customWidth="1"/>
    <col min="6" max="6" width="11.77734375" customWidth="1"/>
    <col min="7" max="7" width="24.33203125" customWidth="1"/>
    <col min="8" max="8" width="15.44140625" customWidth="1"/>
    <col min="9" max="11" width="8" customWidth="1"/>
    <col min="12" max="12" width="18.44140625" customWidth="1"/>
    <col min="13" max="26" width="8" customWidth="1"/>
  </cols>
  <sheetData>
    <row r="1" spans="1:26" ht="20.25" customHeight="1" x14ac:dyDescent="0.25">
      <c r="A1" s="432"/>
      <c r="B1" s="433"/>
      <c r="C1" s="8"/>
      <c r="D1" s="434" t="s">
        <v>57</v>
      </c>
      <c r="E1" s="433"/>
      <c r="F1" s="433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5.5" customHeight="1" x14ac:dyDescent="0.25">
      <c r="A2" s="435" t="s">
        <v>58</v>
      </c>
      <c r="B2" s="433"/>
      <c r="C2" s="433"/>
      <c r="D2" s="433"/>
      <c r="E2" s="433"/>
      <c r="F2" s="433"/>
      <c r="G2" s="11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4" customHeight="1" x14ac:dyDescent="0.25">
      <c r="A3" s="436">
        <v>0</v>
      </c>
      <c r="B3" s="433"/>
      <c r="C3" s="433"/>
      <c r="D3" s="433"/>
      <c r="E3" s="433"/>
      <c r="F3" s="433"/>
      <c r="G3" s="11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4" customHeight="1" x14ac:dyDescent="0.25">
      <c r="A4" s="12"/>
      <c r="B4" s="12"/>
      <c r="C4" s="12"/>
      <c r="D4" s="12"/>
      <c r="E4" s="12"/>
      <c r="F4" s="12"/>
      <c r="G4" s="11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53.25" customHeight="1" x14ac:dyDescent="0.25">
      <c r="A5" s="13" t="s">
        <v>0</v>
      </c>
      <c r="B5" s="14" t="s">
        <v>1</v>
      </c>
      <c r="C5" s="14" t="s">
        <v>2</v>
      </c>
      <c r="D5" s="14" t="s">
        <v>59</v>
      </c>
      <c r="E5" s="14" t="s">
        <v>60</v>
      </c>
      <c r="F5" s="14" t="s">
        <v>61</v>
      </c>
      <c r="G5" s="15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22.5" customHeight="1" x14ac:dyDescent="0.25">
      <c r="A6" s="3">
        <v>1</v>
      </c>
      <c r="B6" s="2" t="s">
        <v>62</v>
      </c>
      <c r="C6" s="17"/>
      <c r="D6" s="18"/>
      <c r="E6" s="18"/>
      <c r="F6" s="14"/>
      <c r="G6" s="15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22.5" customHeight="1" x14ac:dyDescent="0.25">
      <c r="A7" s="5" t="s">
        <v>18</v>
      </c>
      <c r="B7" s="20" t="s">
        <v>63</v>
      </c>
      <c r="C7" s="6" t="s">
        <v>64</v>
      </c>
      <c r="D7" s="21"/>
      <c r="E7" s="21"/>
      <c r="F7" s="22"/>
      <c r="G7" s="23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2.5" customHeight="1" x14ac:dyDescent="0.25">
      <c r="A8" s="5" t="s">
        <v>18</v>
      </c>
      <c r="B8" s="20" t="s">
        <v>65</v>
      </c>
      <c r="C8" s="5" t="s">
        <v>66</v>
      </c>
      <c r="D8" s="21"/>
      <c r="E8" s="21"/>
      <c r="F8" s="22"/>
      <c r="G8" s="23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22.5" customHeight="1" x14ac:dyDescent="0.25">
      <c r="A9" s="5" t="s">
        <v>18</v>
      </c>
      <c r="B9" s="20" t="s">
        <v>67</v>
      </c>
      <c r="C9" s="5" t="s">
        <v>66</v>
      </c>
      <c r="D9" s="21"/>
      <c r="E9" s="21"/>
      <c r="F9" s="22"/>
      <c r="G9" s="23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2.5" customHeight="1" x14ac:dyDescent="0.25">
      <c r="A10" s="5" t="s">
        <v>18</v>
      </c>
      <c r="B10" s="20" t="s">
        <v>68</v>
      </c>
      <c r="C10" s="5" t="s">
        <v>9</v>
      </c>
      <c r="D10" s="25"/>
      <c r="E10" s="25"/>
      <c r="F10" s="22"/>
      <c r="G10" s="23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2.5" customHeight="1" x14ac:dyDescent="0.25">
      <c r="A11" s="5" t="s">
        <v>18</v>
      </c>
      <c r="B11" s="26" t="s">
        <v>16</v>
      </c>
      <c r="C11" s="5" t="s">
        <v>17</v>
      </c>
      <c r="D11" s="25"/>
      <c r="E11" s="25"/>
      <c r="F11" s="22"/>
      <c r="G11" s="23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2.5" customHeight="1" x14ac:dyDescent="0.25">
      <c r="A12" s="5" t="s">
        <v>18</v>
      </c>
      <c r="B12" s="20" t="s">
        <v>69</v>
      </c>
      <c r="C12" s="5" t="s">
        <v>70</v>
      </c>
      <c r="D12" s="25"/>
      <c r="E12" s="25"/>
      <c r="F12" s="22"/>
      <c r="G12" s="23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2.5" customHeight="1" x14ac:dyDescent="0.25">
      <c r="A13" s="3">
        <v>2</v>
      </c>
      <c r="B13" s="27" t="s">
        <v>71</v>
      </c>
      <c r="C13" s="1"/>
      <c r="D13" s="28"/>
      <c r="E13" s="28"/>
      <c r="F13" s="22"/>
      <c r="G13" s="23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6.25" customHeight="1" x14ac:dyDescent="0.25">
      <c r="A14" s="5" t="s">
        <v>18</v>
      </c>
      <c r="B14" s="29" t="s">
        <v>72</v>
      </c>
      <c r="C14" s="5" t="s">
        <v>64</v>
      </c>
      <c r="D14" s="21"/>
      <c r="E14" s="21"/>
      <c r="F14" s="22"/>
      <c r="G14" s="23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6.25" customHeight="1" x14ac:dyDescent="0.25">
      <c r="A15" s="5" t="s">
        <v>18</v>
      </c>
      <c r="B15" s="30" t="s">
        <v>73</v>
      </c>
      <c r="C15" s="5" t="s">
        <v>9</v>
      </c>
      <c r="D15" s="31"/>
      <c r="E15" s="31"/>
      <c r="F15" s="22"/>
      <c r="G15" s="23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6.25" customHeight="1" x14ac:dyDescent="0.25">
      <c r="A16" s="4"/>
      <c r="B16" s="32" t="s">
        <v>74</v>
      </c>
      <c r="C16" s="4" t="s">
        <v>9</v>
      </c>
      <c r="D16" s="31"/>
      <c r="E16" s="31"/>
      <c r="F16" s="22"/>
      <c r="G16" s="23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6.25" customHeight="1" x14ac:dyDescent="0.25">
      <c r="A17" s="5" t="s">
        <v>18</v>
      </c>
      <c r="B17" s="30" t="s">
        <v>75</v>
      </c>
      <c r="C17" s="5" t="s">
        <v>64</v>
      </c>
      <c r="D17" s="21"/>
      <c r="E17" s="21"/>
      <c r="F17" s="22"/>
      <c r="G17" s="23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32.25" customHeight="1" x14ac:dyDescent="0.25">
      <c r="A18" s="5"/>
      <c r="B18" s="30" t="s">
        <v>76</v>
      </c>
      <c r="C18" s="5" t="s">
        <v>9</v>
      </c>
      <c r="D18" s="25"/>
      <c r="E18" s="25"/>
      <c r="F18" s="22"/>
      <c r="G18" s="23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2.5" customHeight="1" x14ac:dyDescent="0.25">
      <c r="A19" s="13">
        <v>3</v>
      </c>
      <c r="B19" s="33" t="s">
        <v>77</v>
      </c>
      <c r="C19" s="13"/>
      <c r="D19" s="18"/>
      <c r="E19" s="18"/>
      <c r="F19" s="22"/>
      <c r="G19" s="23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30.75" customHeight="1" x14ac:dyDescent="0.25">
      <c r="A20" s="34" t="s">
        <v>18</v>
      </c>
      <c r="B20" s="35" t="s">
        <v>78</v>
      </c>
      <c r="C20" s="36" t="s">
        <v>9</v>
      </c>
      <c r="D20" s="25"/>
      <c r="E20" s="25"/>
      <c r="F20" s="37" t="s">
        <v>79</v>
      </c>
      <c r="G20" s="23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30.75" customHeight="1" x14ac:dyDescent="0.25">
      <c r="A21" s="6"/>
      <c r="B21" s="29" t="s">
        <v>80</v>
      </c>
      <c r="C21" s="5" t="s">
        <v>9</v>
      </c>
      <c r="D21" s="25"/>
      <c r="E21" s="25"/>
      <c r="F21" s="22"/>
      <c r="G21" s="23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30.75" customHeight="1" x14ac:dyDescent="0.25">
      <c r="A22" s="6" t="s">
        <v>18</v>
      </c>
      <c r="B22" s="29" t="s">
        <v>81</v>
      </c>
      <c r="C22" s="5" t="s">
        <v>9</v>
      </c>
      <c r="D22" s="25"/>
      <c r="E22" s="25"/>
      <c r="F22" s="22"/>
      <c r="G22" s="23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1.75" customHeight="1" x14ac:dyDescent="0.25">
      <c r="A23" s="13">
        <v>4</v>
      </c>
      <c r="B23" s="33" t="s">
        <v>82</v>
      </c>
      <c r="C23" s="38"/>
      <c r="D23" s="39"/>
      <c r="E23" s="39"/>
      <c r="F23" s="40"/>
      <c r="G23" s="23"/>
      <c r="H23" s="41"/>
      <c r="I23" s="24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 ht="20.25" customHeight="1" x14ac:dyDescent="0.25">
      <c r="A24" s="5" t="s">
        <v>18</v>
      </c>
      <c r="B24" s="29" t="s">
        <v>83</v>
      </c>
      <c r="C24" s="5" t="s">
        <v>84</v>
      </c>
      <c r="D24" s="21"/>
      <c r="E24" s="21"/>
      <c r="F24" s="40"/>
      <c r="G24" s="23"/>
      <c r="H24" s="41"/>
      <c r="I24" s="24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spans="1:26" ht="21.75" customHeight="1" x14ac:dyDescent="0.25">
      <c r="A25" s="5" t="s">
        <v>15</v>
      </c>
      <c r="B25" s="30" t="s">
        <v>85</v>
      </c>
      <c r="C25" s="5"/>
      <c r="D25" s="21"/>
      <c r="E25" s="21"/>
      <c r="F25" s="22"/>
      <c r="G25" s="23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1.75" customHeight="1" x14ac:dyDescent="0.25">
      <c r="A26" s="5" t="s">
        <v>15</v>
      </c>
      <c r="B26" s="30" t="s">
        <v>86</v>
      </c>
      <c r="C26" s="5" t="s">
        <v>66</v>
      </c>
      <c r="D26" s="21"/>
      <c r="E26" s="21"/>
      <c r="F26" s="22"/>
      <c r="G26" s="23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1.75" customHeight="1" x14ac:dyDescent="0.25">
      <c r="A27" s="5" t="s">
        <v>15</v>
      </c>
      <c r="B27" s="30" t="s">
        <v>87</v>
      </c>
      <c r="C27" s="5" t="s">
        <v>66</v>
      </c>
      <c r="D27" s="21"/>
      <c r="E27" s="21"/>
      <c r="F27" s="22"/>
      <c r="G27" s="23"/>
      <c r="H27" s="24"/>
      <c r="I27" s="429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1.75" customHeight="1" x14ac:dyDescent="0.25">
      <c r="A28" s="5" t="s">
        <v>15</v>
      </c>
      <c r="B28" s="30" t="s">
        <v>88</v>
      </c>
      <c r="C28" s="5" t="s">
        <v>66</v>
      </c>
      <c r="D28" s="21"/>
      <c r="E28" s="21"/>
      <c r="F28" s="22"/>
      <c r="G28" s="23"/>
      <c r="H28" s="24"/>
      <c r="I28" s="430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1.75" customHeight="1" x14ac:dyDescent="0.25">
      <c r="A29" s="42" t="s">
        <v>15</v>
      </c>
      <c r="B29" s="30" t="s">
        <v>89</v>
      </c>
      <c r="C29" s="5" t="s">
        <v>66</v>
      </c>
      <c r="D29" s="21"/>
      <c r="E29" s="21"/>
      <c r="F29" s="22"/>
      <c r="G29" s="23"/>
      <c r="H29" s="24"/>
      <c r="I29" s="43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 x14ac:dyDescent="0.25">
      <c r="A30" s="5" t="s">
        <v>18</v>
      </c>
      <c r="B30" s="29" t="s">
        <v>90</v>
      </c>
      <c r="C30" s="5" t="s">
        <v>84</v>
      </c>
      <c r="D30" s="21"/>
      <c r="E30" s="21"/>
      <c r="F30" s="40"/>
      <c r="G30" s="23"/>
      <c r="H30" s="41"/>
      <c r="I30" s="24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spans="1:26" ht="21.75" customHeight="1" x14ac:dyDescent="0.25">
      <c r="A31" s="5" t="s">
        <v>15</v>
      </c>
      <c r="B31" s="30" t="s">
        <v>85</v>
      </c>
      <c r="C31" s="5"/>
      <c r="D31" s="21"/>
      <c r="E31" s="21"/>
      <c r="F31" s="22"/>
      <c r="G31" s="23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1.75" customHeight="1" x14ac:dyDescent="0.25">
      <c r="A32" s="5" t="s">
        <v>15</v>
      </c>
      <c r="B32" s="30" t="s">
        <v>86</v>
      </c>
      <c r="C32" s="5" t="s">
        <v>66</v>
      </c>
      <c r="D32" s="21"/>
      <c r="E32" s="21"/>
      <c r="F32" s="22"/>
      <c r="G32" s="23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1.75" customHeight="1" x14ac:dyDescent="0.25">
      <c r="A33" s="5" t="s">
        <v>15</v>
      </c>
      <c r="B33" s="30" t="s">
        <v>87</v>
      </c>
      <c r="C33" s="5" t="s">
        <v>66</v>
      </c>
      <c r="D33" s="21"/>
      <c r="E33" s="21"/>
      <c r="F33" s="22"/>
      <c r="G33" s="23"/>
      <c r="H33" s="24"/>
      <c r="I33" s="429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1.75" customHeight="1" x14ac:dyDescent="0.25">
      <c r="A34" s="5" t="s">
        <v>15</v>
      </c>
      <c r="B34" s="30" t="s">
        <v>88</v>
      </c>
      <c r="C34" s="5" t="s">
        <v>66</v>
      </c>
      <c r="D34" s="21"/>
      <c r="E34" s="21"/>
      <c r="F34" s="22"/>
      <c r="G34" s="23"/>
      <c r="H34" s="24"/>
      <c r="I34" s="430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1.75" customHeight="1" x14ac:dyDescent="0.25">
      <c r="A35" s="42" t="s">
        <v>15</v>
      </c>
      <c r="B35" s="30" t="s">
        <v>91</v>
      </c>
      <c r="C35" s="5"/>
      <c r="D35" s="21"/>
      <c r="E35" s="21"/>
      <c r="F35" s="22"/>
      <c r="G35" s="23"/>
      <c r="H35" s="24"/>
      <c r="I35" s="43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1.75" customHeight="1" x14ac:dyDescent="0.25">
      <c r="A36" s="5" t="s">
        <v>15</v>
      </c>
      <c r="B36" s="30" t="s">
        <v>92</v>
      </c>
      <c r="C36" s="5" t="s">
        <v>66</v>
      </c>
      <c r="D36" s="21"/>
      <c r="E36" s="21"/>
      <c r="F36" s="37" t="s">
        <v>93</v>
      </c>
      <c r="G36" s="426"/>
      <c r="H36" s="427"/>
      <c r="I36" s="427"/>
      <c r="J36" s="427"/>
      <c r="K36" s="428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1.75" customHeight="1" x14ac:dyDescent="0.25">
      <c r="A37" s="5" t="s">
        <v>18</v>
      </c>
      <c r="B37" s="29" t="s">
        <v>94</v>
      </c>
      <c r="C37" s="5" t="s">
        <v>9</v>
      </c>
      <c r="D37" s="21"/>
      <c r="E37" s="21"/>
      <c r="F37" s="22"/>
      <c r="G37" s="23"/>
      <c r="H37" s="24"/>
      <c r="I37" s="43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1.75" customHeight="1" x14ac:dyDescent="0.25">
      <c r="A38" s="5"/>
      <c r="B38" s="30" t="s">
        <v>95</v>
      </c>
      <c r="C38" s="5" t="s">
        <v>66</v>
      </c>
      <c r="D38" s="31"/>
      <c r="E38" s="31"/>
      <c r="F38" s="22"/>
      <c r="G38" s="23"/>
      <c r="H38" s="24"/>
      <c r="I38" s="43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1.75" customHeight="1" x14ac:dyDescent="0.25">
      <c r="A39" s="5"/>
      <c r="B39" s="30" t="s">
        <v>96</v>
      </c>
      <c r="C39" s="5" t="s">
        <v>66</v>
      </c>
      <c r="D39" s="31"/>
      <c r="E39" s="31"/>
      <c r="F39" s="22"/>
      <c r="G39" s="23"/>
      <c r="H39" s="24"/>
      <c r="I39" s="43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39.75" customHeight="1" x14ac:dyDescent="0.25">
      <c r="A40" s="44" t="s">
        <v>18</v>
      </c>
      <c r="B40" s="45" t="s">
        <v>97</v>
      </c>
      <c r="C40" s="44" t="s">
        <v>9</v>
      </c>
      <c r="D40" s="31"/>
      <c r="E40" s="31"/>
      <c r="F40" s="22"/>
      <c r="G40" s="23"/>
      <c r="H40" s="24"/>
      <c r="I40" s="43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1.75" customHeight="1" x14ac:dyDescent="0.25">
      <c r="A41" s="44" t="s">
        <v>18</v>
      </c>
      <c r="B41" s="46" t="s">
        <v>98</v>
      </c>
      <c r="C41" s="47" t="s">
        <v>9</v>
      </c>
      <c r="D41" s="31"/>
      <c r="E41" s="31"/>
      <c r="F41" s="22"/>
      <c r="G41" s="23"/>
      <c r="H41" s="24"/>
      <c r="I41" s="43"/>
      <c r="J41" s="24"/>
      <c r="K41" s="48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6.25" customHeight="1" x14ac:dyDescent="0.25">
      <c r="A42" s="1">
        <v>5</v>
      </c>
      <c r="B42" s="49" t="s">
        <v>99</v>
      </c>
      <c r="C42" s="3"/>
      <c r="D42" s="50"/>
      <c r="E42" s="50"/>
      <c r="F42" s="14"/>
      <c r="G42" s="23"/>
      <c r="H42" s="19"/>
      <c r="I42" s="24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26.25" customHeight="1" x14ac:dyDescent="0.25">
      <c r="A43" s="1" t="s">
        <v>18</v>
      </c>
      <c r="B43" s="29" t="s">
        <v>100</v>
      </c>
      <c r="C43" s="5" t="s">
        <v>9</v>
      </c>
      <c r="D43" s="21"/>
      <c r="E43" s="21"/>
      <c r="F43" s="51"/>
      <c r="G43" s="426"/>
      <c r="H43" s="428"/>
      <c r="I43" s="24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26" ht="24" customHeight="1" x14ac:dyDescent="0.25">
      <c r="A44" s="1" t="s">
        <v>18</v>
      </c>
      <c r="B44" s="29" t="s">
        <v>101</v>
      </c>
      <c r="C44" s="5" t="s">
        <v>9</v>
      </c>
      <c r="D44" s="25"/>
      <c r="E44" s="25"/>
      <c r="F44" s="51"/>
      <c r="G44" s="426"/>
      <c r="H44" s="428"/>
      <c r="I44" s="24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6" ht="33" customHeight="1" x14ac:dyDescent="0.25">
      <c r="A45" s="1"/>
      <c r="B45" s="29" t="s">
        <v>102</v>
      </c>
      <c r="C45" s="5" t="s">
        <v>9</v>
      </c>
      <c r="D45" s="31"/>
      <c r="E45" s="31"/>
      <c r="F45" s="51"/>
      <c r="G45" s="426"/>
      <c r="H45" s="428"/>
      <c r="I45" s="24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6" ht="33" customHeight="1" x14ac:dyDescent="0.25">
      <c r="A46" s="1" t="s">
        <v>18</v>
      </c>
      <c r="B46" s="29" t="s">
        <v>103</v>
      </c>
      <c r="C46" s="5" t="s">
        <v>9</v>
      </c>
      <c r="D46" s="25"/>
      <c r="E46" s="25"/>
      <c r="F46" s="51"/>
      <c r="G46" s="53"/>
      <c r="H46" s="23"/>
      <c r="I46" s="24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6" ht="21" customHeight="1" x14ac:dyDescent="0.25">
      <c r="A47" s="1" t="s">
        <v>18</v>
      </c>
      <c r="B47" s="30" t="s">
        <v>104</v>
      </c>
      <c r="C47" s="6" t="s">
        <v>105</v>
      </c>
      <c r="D47" s="21"/>
      <c r="E47" s="21"/>
      <c r="F47" s="51"/>
      <c r="G47" s="426"/>
      <c r="H47" s="427"/>
      <c r="I47" s="428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6" ht="24" customHeight="1" x14ac:dyDescent="0.25">
      <c r="A48" s="1" t="s">
        <v>15</v>
      </c>
      <c r="B48" s="30" t="s">
        <v>106</v>
      </c>
      <c r="C48" s="5" t="s">
        <v>66</v>
      </c>
      <c r="D48" s="21"/>
      <c r="E48" s="21"/>
      <c r="F48" s="51"/>
      <c r="G48" s="426"/>
      <c r="H48" s="427"/>
      <c r="I48" s="428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spans="1:26" ht="24" customHeight="1" x14ac:dyDescent="0.25">
      <c r="A49" s="1" t="s">
        <v>15</v>
      </c>
      <c r="B49" s="30" t="s">
        <v>107</v>
      </c>
      <c r="C49" s="5" t="s">
        <v>66</v>
      </c>
      <c r="D49" s="21"/>
      <c r="E49" s="21"/>
      <c r="F49" s="51"/>
      <c r="G49" s="426"/>
      <c r="H49" s="427"/>
      <c r="I49" s="428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spans="1:26" ht="24" customHeight="1" x14ac:dyDescent="0.25">
      <c r="A50" s="1" t="s">
        <v>15</v>
      </c>
      <c r="B50" s="30" t="s">
        <v>108</v>
      </c>
      <c r="C50" s="5" t="s">
        <v>66</v>
      </c>
      <c r="D50" s="21"/>
      <c r="E50" s="21"/>
      <c r="F50" s="51"/>
      <c r="G50" s="426"/>
      <c r="H50" s="427"/>
      <c r="I50" s="428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spans="1:26" ht="24" customHeight="1" x14ac:dyDescent="0.25">
      <c r="A51" s="1" t="s">
        <v>18</v>
      </c>
      <c r="B51" s="30" t="s">
        <v>109</v>
      </c>
      <c r="C51" s="6" t="s">
        <v>110</v>
      </c>
      <c r="D51" s="25"/>
      <c r="E51" s="25"/>
      <c r="F51" s="51"/>
      <c r="G51" s="426"/>
      <c r="H51" s="427"/>
      <c r="I51" s="428"/>
      <c r="J51" s="431"/>
      <c r="K51" s="427"/>
      <c r="L51" s="428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spans="1:26" ht="34.5" customHeight="1" x14ac:dyDescent="0.25">
      <c r="A52" s="1" t="s">
        <v>18</v>
      </c>
      <c r="B52" s="30" t="s">
        <v>111</v>
      </c>
      <c r="C52" s="6" t="s">
        <v>105</v>
      </c>
      <c r="D52" s="25"/>
      <c r="E52" s="25"/>
      <c r="F52" s="22"/>
      <c r="G52" s="426"/>
      <c r="H52" s="427"/>
      <c r="I52" s="428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2.5" customHeight="1" x14ac:dyDescent="0.25">
      <c r="A53" s="1" t="s">
        <v>18</v>
      </c>
      <c r="B53" s="30" t="s">
        <v>112</v>
      </c>
      <c r="C53" s="6" t="s">
        <v>9</v>
      </c>
      <c r="D53" s="21"/>
      <c r="E53" s="21"/>
      <c r="F53" s="22"/>
      <c r="G53" s="426"/>
      <c r="H53" s="427"/>
      <c r="I53" s="428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2.5" customHeight="1" x14ac:dyDescent="0.25">
      <c r="A54" s="1" t="s">
        <v>18</v>
      </c>
      <c r="B54" s="29" t="s">
        <v>113</v>
      </c>
      <c r="C54" s="6" t="s">
        <v>9</v>
      </c>
      <c r="D54" s="21"/>
      <c r="E54" s="21"/>
      <c r="F54" s="22"/>
      <c r="G54" s="426"/>
      <c r="H54" s="427"/>
      <c r="I54" s="428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8.5" customHeight="1" x14ac:dyDescent="0.25">
      <c r="A55" s="1" t="s">
        <v>18</v>
      </c>
      <c r="B55" s="29" t="s">
        <v>114</v>
      </c>
      <c r="C55" s="6" t="s">
        <v>9</v>
      </c>
      <c r="D55" s="31"/>
      <c r="E55" s="31"/>
      <c r="F55" s="14"/>
      <c r="G55" s="426"/>
      <c r="H55" s="427"/>
      <c r="I55" s="428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2.5" customHeight="1" x14ac:dyDescent="0.25">
      <c r="A56" s="3">
        <v>6</v>
      </c>
      <c r="B56" s="49" t="s">
        <v>115</v>
      </c>
      <c r="C56" s="3"/>
      <c r="D56" s="28"/>
      <c r="E56" s="28"/>
      <c r="F56" s="22"/>
      <c r="G56" s="23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2.5" customHeight="1" x14ac:dyDescent="0.25">
      <c r="A57" s="5" t="s">
        <v>18</v>
      </c>
      <c r="B57" s="30" t="s">
        <v>116</v>
      </c>
      <c r="C57" s="5" t="s">
        <v>117</v>
      </c>
      <c r="D57" s="21"/>
      <c r="E57" s="21"/>
      <c r="F57" s="22"/>
      <c r="G57" s="23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2.5" customHeight="1" x14ac:dyDescent="0.25">
      <c r="A58" s="5" t="s">
        <v>18</v>
      </c>
      <c r="B58" s="30" t="s">
        <v>118</v>
      </c>
      <c r="C58" s="5" t="s">
        <v>9</v>
      </c>
      <c r="D58" s="21"/>
      <c r="E58" s="21"/>
      <c r="F58" s="22"/>
      <c r="G58" s="23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1" customHeight="1" x14ac:dyDescent="0.25">
      <c r="A59" s="5" t="s">
        <v>18</v>
      </c>
      <c r="B59" s="30" t="s">
        <v>119</v>
      </c>
      <c r="C59" s="5" t="s">
        <v>9</v>
      </c>
      <c r="D59" s="21"/>
      <c r="E59" s="21"/>
      <c r="F59" s="22"/>
      <c r="G59" s="23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3.25" customHeight="1" x14ac:dyDescent="0.25">
      <c r="A60" s="7" t="s">
        <v>120</v>
      </c>
      <c r="B60" s="30" t="s">
        <v>121</v>
      </c>
      <c r="C60" s="5" t="s">
        <v>122</v>
      </c>
      <c r="D60" s="21"/>
      <c r="E60" s="21"/>
      <c r="F60" s="22"/>
      <c r="G60" s="23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3.25" customHeight="1" x14ac:dyDescent="0.25">
      <c r="A61" s="7" t="s">
        <v>18</v>
      </c>
      <c r="B61" s="30" t="s">
        <v>123</v>
      </c>
      <c r="C61" s="5" t="s">
        <v>9</v>
      </c>
      <c r="D61" s="21"/>
      <c r="E61" s="21"/>
      <c r="F61" s="22"/>
      <c r="G61" s="23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3.25" customHeight="1" x14ac:dyDescent="0.25">
      <c r="A62" s="3">
        <v>7</v>
      </c>
      <c r="B62" s="49" t="s">
        <v>124</v>
      </c>
      <c r="C62" s="3" t="s">
        <v>9</v>
      </c>
      <c r="D62" s="31"/>
      <c r="E62" s="31"/>
      <c r="F62" s="22"/>
      <c r="G62" s="23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3.25" customHeight="1" x14ac:dyDescent="0.25">
      <c r="A63" s="3">
        <v>8</v>
      </c>
      <c r="B63" s="49" t="s">
        <v>125</v>
      </c>
      <c r="C63" s="3" t="s">
        <v>9</v>
      </c>
      <c r="D63" s="25"/>
      <c r="E63" s="25"/>
      <c r="F63" s="22"/>
      <c r="G63" s="23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3.25" customHeight="1" x14ac:dyDescent="0.25">
      <c r="A64" s="3">
        <v>9</v>
      </c>
      <c r="B64" s="49" t="s">
        <v>126</v>
      </c>
      <c r="C64" s="3" t="s">
        <v>9</v>
      </c>
      <c r="D64" s="21"/>
      <c r="E64" s="21"/>
      <c r="F64" s="22"/>
      <c r="G64" s="23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4.75" customHeight="1" x14ac:dyDescent="0.25">
      <c r="A65" s="3">
        <v>10</v>
      </c>
      <c r="B65" s="49" t="s">
        <v>127</v>
      </c>
      <c r="C65" s="6"/>
      <c r="D65" s="5"/>
      <c r="E65" s="5"/>
      <c r="F65" s="22"/>
      <c r="G65" s="23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4" customHeight="1" x14ac:dyDescent="0.25">
      <c r="A66" s="6" t="s">
        <v>18</v>
      </c>
      <c r="B66" s="20" t="s">
        <v>128</v>
      </c>
      <c r="C66" s="6" t="s">
        <v>9</v>
      </c>
      <c r="D66" s="21"/>
      <c r="E66" s="21"/>
      <c r="F66" s="22"/>
      <c r="G66" s="23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4" customHeight="1" x14ac:dyDescent="0.25">
      <c r="A67" s="6" t="s">
        <v>18</v>
      </c>
      <c r="B67" s="20" t="s">
        <v>129</v>
      </c>
      <c r="C67" s="6" t="s">
        <v>9</v>
      </c>
      <c r="D67" s="21"/>
      <c r="E67" s="21"/>
      <c r="F67" s="22"/>
      <c r="G67" s="23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4" customHeight="1" x14ac:dyDescent="0.25">
      <c r="A68" s="6"/>
      <c r="B68" s="54" t="s">
        <v>130</v>
      </c>
      <c r="C68" s="6" t="s">
        <v>9</v>
      </c>
      <c r="D68" s="21"/>
      <c r="E68" s="21"/>
      <c r="F68" s="22"/>
      <c r="G68" s="23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8.5" customHeight="1" x14ac:dyDescent="0.25">
      <c r="A69" s="6" t="s">
        <v>18</v>
      </c>
      <c r="B69" s="20" t="s">
        <v>131</v>
      </c>
      <c r="C69" s="6" t="s">
        <v>9</v>
      </c>
      <c r="D69" s="21"/>
      <c r="E69" s="21"/>
      <c r="F69" s="14"/>
      <c r="G69" s="23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6.5" x14ac:dyDescent="0.25">
      <c r="A70" s="6" t="s">
        <v>18</v>
      </c>
      <c r="B70" s="20" t="s">
        <v>132</v>
      </c>
      <c r="C70" s="6" t="s">
        <v>9</v>
      </c>
      <c r="D70" s="21"/>
      <c r="E70" s="21"/>
      <c r="F70" s="22"/>
      <c r="G70" s="23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31.5" x14ac:dyDescent="0.25">
      <c r="A71" s="6" t="s">
        <v>18</v>
      </c>
      <c r="B71" s="20" t="s">
        <v>133</v>
      </c>
      <c r="C71" s="6" t="s">
        <v>9</v>
      </c>
      <c r="D71" s="21"/>
      <c r="E71" s="21"/>
      <c r="F71" s="22"/>
      <c r="G71" s="23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6.5" x14ac:dyDescent="0.25">
      <c r="A72" s="3">
        <v>11</v>
      </c>
      <c r="B72" s="49" t="s">
        <v>134</v>
      </c>
      <c r="C72" s="3"/>
      <c r="D72" s="25"/>
      <c r="E72" s="25"/>
      <c r="F72" s="22"/>
      <c r="G72" s="23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6.5" x14ac:dyDescent="0.25">
      <c r="A73" s="5"/>
      <c r="B73" s="30" t="s">
        <v>135</v>
      </c>
      <c r="C73" s="5" t="s">
        <v>136</v>
      </c>
      <c r="D73" s="21"/>
      <c r="E73" s="21"/>
      <c r="F73" s="22"/>
      <c r="G73" s="23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31.5" x14ac:dyDescent="0.25">
      <c r="A74" s="5"/>
      <c r="B74" s="30" t="s">
        <v>137</v>
      </c>
      <c r="C74" s="6" t="s">
        <v>138</v>
      </c>
      <c r="D74" s="25"/>
      <c r="E74" s="25"/>
      <c r="F74" s="22"/>
      <c r="G74" s="23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6.5" x14ac:dyDescent="0.25">
      <c r="A75" s="3">
        <v>12</v>
      </c>
      <c r="B75" s="49" t="s">
        <v>139</v>
      </c>
      <c r="C75" s="3" t="s">
        <v>140</v>
      </c>
      <c r="D75" s="21"/>
      <c r="E75" s="21"/>
      <c r="F75" s="22"/>
      <c r="G75" s="23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6.5" x14ac:dyDescent="0.25">
      <c r="A76" s="3">
        <v>13</v>
      </c>
      <c r="B76" s="49" t="s">
        <v>141</v>
      </c>
      <c r="C76" s="3" t="s">
        <v>142</v>
      </c>
      <c r="D76" s="55"/>
      <c r="E76" s="55"/>
      <c r="F76" s="22"/>
      <c r="G76" s="23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6.5" x14ac:dyDescent="0.25">
      <c r="A77" s="5" t="s">
        <v>18</v>
      </c>
      <c r="B77" s="30" t="s">
        <v>143</v>
      </c>
      <c r="C77" s="5" t="s">
        <v>122</v>
      </c>
      <c r="D77" s="21"/>
      <c r="E77" s="21"/>
      <c r="F77" s="22"/>
      <c r="G77" s="23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3.25" customHeight="1" x14ac:dyDescent="0.25">
      <c r="A78" s="38">
        <v>14</v>
      </c>
      <c r="B78" s="56" t="s">
        <v>144</v>
      </c>
      <c r="C78" s="38"/>
      <c r="D78" s="25"/>
      <c r="E78" s="25"/>
      <c r="F78" s="22"/>
      <c r="G78" s="23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6.5" x14ac:dyDescent="0.25">
      <c r="A79" s="36" t="s">
        <v>18</v>
      </c>
      <c r="B79" s="57" t="s">
        <v>145</v>
      </c>
      <c r="C79" s="36" t="s">
        <v>144</v>
      </c>
      <c r="D79" s="21"/>
      <c r="E79" s="21"/>
      <c r="F79" s="22"/>
      <c r="G79" s="23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6.5" x14ac:dyDescent="0.25">
      <c r="A80" s="36"/>
      <c r="B80" s="58" t="s">
        <v>146</v>
      </c>
      <c r="C80" s="36" t="s">
        <v>144</v>
      </c>
      <c r="D80" s="21"/>
      <c r="E80" s="21"/>
      <c r="F80" s="22"/>
      <c r="G80" s="23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6.5" x14ac:dyDescent="0.25">
      <c r="A81" s="36"/>
      <c r="B81" s="58" t="s">
        <v>147</v>
      </c>
      <c r="C81" s="36" t="s">
        <v>144</v>
      </c>
      <c r="D81" s="21"/>
      <c r="E81" s="21"/>
      <c r="F81" s="22"/>
      <c r="G81" s="23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6.5" x14ac:dyDescent="0.25">
      <c r="A82" s="36" t="s">
        <v>18</v>
      </c>
      <c r="B82" s="58" t="s">
        <v>148</v>
      </c>
      <c r="C82" s="36" t="s">
        <v>64</v>
      </c>
      <c r="D82" s="21"/>
      <c r="E82" s="21"/>
      <c r="F82" s="59"/>
      <c r="G82" s="23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</row>
    <row r="83" spans="1:26" ht="16.5" x14ac:dyDescent="0.25">
      <c r="A83" s="36" t="s">
        <v>18</v>
      </c>
      <c r="B83" s="61" t="s">
        <v>149</v>
      </c>
      <c r="C83" s="36" t="s">
        <v>9</v>
      </c>
      <c r="D83" s="25"/>
      <c r="E83" s="25"/>
      <c r="F83" s="59"/>
      <c r="G83" s="23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</row>
    <row r="84" spans="1:26" ht="16.5" x14ac:dyDescent="0.25">
      <c r="A84" s="38">
        <v>15</v>
      </c>
      <c r="B84" s="62" t="s">
        <v>150</v>
      </c>
      <c r="C84" s="38"/>
      <c r="D84" s="25"/>
      <c r="E84" s="25"/>
      <c r="F84" s="59"/>
      <c r="G84" s="63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</row>
    <row r="85" spans="1:26" ht="16.5" x14ac:dyDescent="0.25">
      <c r="A85" s="36" t="s">
        <v>18</v>
      </c>
      <c r="B85" s="58" t="s">
        <v>151</v>
      </c>
      <c r="C85" s="36" t="s">
        <v>150</v>
      </c>
      <c r="D85" s="21"/>
      <c r="E85" s="21"/>
      <c r="F85" s="59"/>
      <c r="G85" s="63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</row>
    <row r="86" spans="1:26" ht="16.5" x14ac:dyDescent="0.25">
      <c r="A86" s="36"/>
      <c r="B86" s="58" t="s">
        <v>152</v>
      </c>
      <c r="C86" s="36" t="s">
        <v>153</v>
      </c>
      <c r="D86" s="21"/>
      <c r="E86" s="21"/>
      <c r="F86" s="59"/>
      <c r="G86" s="63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</row>
    <row r="87" spans="1:26" ht="16.5" x14ac:dyDescent="0.25">
      <c r="A87" s="64"/>
      <c r="B87" s="63"/>
      <c r="C87" s="65"/>
      <c r="D87" s="65"/>
      <c r="E87" s="65"/>
      <c r="F87" s="65"/>
      <c r="G87" s="63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</row>
    <row r="88" spans="1:26" ht="16.5" x14ac:dyDescent="0.25">
      <c r="A88" s="64"/>
      <c r="B88" s="63"/>
      <c r="C88" s="65"/>
      <c r="D88" s="65"/>
      <c r="E88" s="65"/>
      <c r="F88" s="65"/>
      <c r="G88" s="63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</row>
    <row r="89" spans="1:26" ht="16.5" x14ac:dyDescent="0.25">
      <c r="A89" s="64"/>
      <c r="B89" s="63"/>
      <c r="C89" s="65"/>
      <c r="D89" s="65"/>
      <c r="E89" s="65"/>
      <c r="F89" s="65"/>
      <c r="G89" s="63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</row>
    <row r="90" spans="1:26" ht="16.5" x14ac:dyDescent="0.25">
      <c r="A90" s="64"/>
      <c r="B90" s="63"/>
      <c r="C90" s="65"/>
      <c r="D90" s="65"/>
      <c r="E90" s="65"/>
      <c r="F90" s="65"/>
      <c r="G90" s="63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</row>
    <row r="91" spans="1:26" ht="16.5" x14ac:dyDescent="0.25">
      <c r="A91" s="64"/>
      <c r="B91" s="63"/>
      <c r="C91" s="65"/>
      <c r="D91" s="65"/>
      <c r="E91" s="65"/>
      <c r="F91" s="65"/>
      <c r="G91" s="63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</row>
    <row r="92" spans="1:26" ht="16.5" x14ac:dyDescent="0.25">
      <c r="A92" s="64"/>
      <c r="B92" s="63"/>
      <c r="C92" s="65"/>
      <c r="D92" s="65"/>
      <c r="E92" s="65"/>
      <c r="F92" s="65"/>
      <c r="G92" s="63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</row>
    <row r="93" spans="1:26" ht="16.5" x14ac:dyDescent="0.25">
      <c r="A93" s="66"/>
      <c r="B93" s="9"/>
      <c r="C93" s="8"/>
      <c r="D93" s="8"/>
      <c r="E93" s="8"/>
      <c r="F93" s="8"/>
      <c r="G93" s="9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6.5" x14ac:dyDescent="0.25">
      <c r="A94" s="66"/>
      <c r="B94" s="9"/>
      <c r="C94" s="8"/>
      <c r="D94" s="8"/>
      <c r="E94" s="8"/>
      <c r="F94" s="8"/>
      <c r="G94" s="9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6.5" x14ac:dyDescent="0.25">
      <c r="A95" s="66"/>
      <c r="B95" s="9"/>
      <c r="C95" s="8"/>
      <c r="D95" s="8"/>
      <c r="E95" s="8"/>
      <c r="F95" s="8"/>
      <c r="G95" s="9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6.5" x14ac:dyDescent="0.25">
      <c r="A96" s="66"/>
      <c r="B96" s="9"/>
      <c r="C96" s="8"/>
      <c r="D96" s="8"/>
      <c r="E96" s="8"/>
      <c r="F96" s="8"/>
      <c r="G96" s="9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6.5" x14ac:dyDescent="0.25">
      <c r="A97" s="66"/>
      <c r="B97" s="9"/>
      <c r="C97" s="8"/>
      <c r="D97" s="8"/>
      <c r="E97" s="8"/>
      <c r="F97" s="8"/>
      <c r="G97" s="9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6.5" x14ac:dyDescent="0.25">
      <c r="A98" s="66"/>
      <c r="B98" s="9"/>
      <c r="C98" s="8"/>
      <c r="D98" s="8"/>
      <c r="E98" s="8"/>
      <c r="F98" s="8"/>
      <c r="G98" s="9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6.5" x14ac:dyDescent="0.25">
      <c r="A99" s="66"/>
      <c r="B99" s="9"/>
      <c r="C99" s="8"/>
      <c r="D99" s="8"/>
      <c r="E99" s="8"/>
      <c r="F99" s="8"/>
      <c r="G99" s="9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6.5" x14ac:dyDescent="0.25">
      <c r="A100" s="66"/>
      <c r="B100" s="9"/>
      <c r="C100" s="8"/>
      <c r="D100" s="8"/>
      <c r="E100" s="8"/>
      <c r="F100" s="8"/>
      <c r="G100" s="9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6.5" x14ac:dyDescent="0.25">
      <c r="A101" s="66"/>
      <c r="B101" s="9"/>
      <c r="C101" s="8"/>
      <c r="D101" s="8"/>
      <c r="E101" s="8"/>
      <c r="F101" s="8"/>
      <c r="G101" s="9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6.5" x14ac:dyDescent="0.25">
      <c r="A102" s="66"/>
      <c r="B102" s="9"/>
      <c r="C102" s="8"/>
      <c r="D102" s="8"/>
      <c r="E102" s="8"/>
      <c r="F102" s="8"/>
      <c r="G102" s="9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6.5" x14ac:dyDescent="0.25">
      <c r="A103" s="66"/>
      <c r="B103" s="9"/>
      <c r="C103" s="8"/>
      <c r="D103" s="8"/>
      <c r="E103" s="8"/>
      <c r="F103" s="8"/>
      <c r="G103" s="9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6.5" x14ac:dyDescent="0.25">
      <c r="A104" s="66"/>
      <c r="B104" s="9"/>
      <c r="C104" s="8"/>
      <c r="D104" s="8"/>
      <c r="E104" s="8"/>
      <c r="F104" s="8"/>
      <c r="G104" s="9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6.5" x14ac:dyDescent="0.25">
      <c r="A105" s="66"/>
      <c r="B105" s="9"/>
      <c r="C105" s="8"/>
      <c r="D105" s="8"/>
      <c r="E105" s="8"/>
      <c r="F105" s="8"/>
      <c r="G105" s="9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6.5" x14ac:dyDescent="0.25">
      <c r="A106" s="66"/>
      <c r="B106" s="9"/>
      <c r="C106" s="8"/>
      <c r="D106" s="8"/>
      <c r="E106" s="8"/>
      <c r="F106" s="8"/>
      <c r="G106" s="9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6.5" x14ac:dyDescent="0.25">
      <c r="A107" s="66"/>
      <c r="B107" s="9"/>
      <c r="C107" s="8"/>
      <c r="D107" s="8"/>
      <c r="E107" s="8"/>
      <c r="F107" s="8"/>
      <c r="G107" s="9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6.5" x14ac:dyDescent="0.25">
      <c r="A108" s="66"/>
      <c r="B108" s="9"/>
      <c r="C108" s="8"/>
      <c r="D108" s="8"/>
      <c r="E108" s="8"/>
      <c r="F108" s="8"/>
      <c r="G108" s="9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6.5" x14ac:dyDescent="0.25">
      <c r="A109" s="66"/>
      <c r="B109" s="9"/>
      <c r="C109" s="8"/>
      <c r="D109" s="8"/>
      <c r="E109" s="8"/>
      <c r="F109" s="8"/>
      <c r="G109" s="9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6.5" x14ac:dyDescent="0.25">
      <c r="A110" s="66"/>
      <c r="B110" s="9"/>
      <c r="C110" s="8"/>
      <c r="D110" s="8"/>
      <c r="E110" s="8"/>
      <c r="F110" s="8"/>
      <c r="G110" s="9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6.5" x14ac:dyDescent="0.25">
      <c r="A111" s="66"/>
      <c r="B111" s="9"/>
      <c r="C111" s="8"/>
      <c r="D111" s="8"/>
      <c r="E111" s="8"/>
      <c r="F111" s="8"/>
      <c r="G111" s="9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6.5" x14ac:dyDescent="0.25">
      <c r="A112" s="66"/>
      <c r="B112" s="9"/>
      <c r="C112" s="8"/>
      <c r="D112" s="8"/>
      <c r="E112" s="8"/>
      <c r="F112" s="8"/>
      <c r="G112" s="9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6.5" x14ac:dyDescent="0.25">
      <c r="A113" s="66"/>
      <c r="B113" s="9"/>
      <c r="C113" s="8"/>
      <c r="D113" s="8"/>
      <c r="E113" s="8"/>
      <c r="F113" s="8"/>
      <c r="G113" s="9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6.5" x14ac:dyDescent="0.25">
      <c r="A114" s="66"/>
      <c r="B114" s="9"/>
      <c r="C114" s="8"/>
      <c r="D114" s="8"/>
      <c r="E114" s="8"/>
      <c r="F114" s="8"/>
      <c r="G114" s="9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6.5" x14ac:dyDescent="0.25">
      <c r="A115" s="66"/>
      <c r="B115" s="9"/>
      <c r="C115" s="8"/>
      <c r="D115" s="8"/>
      <c r="E115" s="8"/>
      <c r="F115" s="8"/>
      <c r="G115" s="9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6.5" x14ac:dyDescent="0.25">
      <c r="A116" s="66"/>
      <c r="B116" s="9"/>
      <c r="C116" s="8"/>
      <c r="D116" s="8"/>
      <c r="E116" s="8"/>
      <c r="F116" s="8"/>
      <c r="G116" s="9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6.5" x14ac:dyDescent="0.25">
      <c r="A117" s="66"/>
      <c r="B117" s="9"/>
      <c r="C117" s="8"/>
      <c r="D117" s="8"/>
      <c r="E117" s="8"/>
      <c r="F117" s="8"/>
      <c r="G117" s="9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6.5" x14ac:dyDescent="0.25">
      <c r="A118" s="66"/>
      <c r="B118" s="9"/>
      <c r="C118" s="8"/>
      <c r="D118" s="8"/>
      <c r="E118" s="8"/>
      <c r="F118" s="8"/>
      <c r="G118" s="9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6.5" x14ac:dyDescent="0.25">
      <c r="A119" s="66"/>
      <c r="B119" s="9"/>
      <c r="C119" s="8"/>
      <c r="D119" s="8"/>
      <c r="E119" s="8"/>
      <c r="F119" s="8"/>
      <c r="G119" s="9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6.5" x14ac:dyDescent="0.25">
      <c r="A120" s="66"/>
      <c r="B120" s="9"/>
      <c r="C120" s="8"/>
      <c r="D120" s="8"/>
      <c r="E120" s="8"/>
      <c r="F120" s="8"/>
      <c r="G120" s="9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6.5" x14ac:dyDescent="0.25">
      <c r="A121" s="66"/>
      <c r="B121" s="9"/>
      <c r="C121" s="8"/>
      <c r="D121" s="8"/>
      <c r="E121" s="8"/>
      <c r="F121" s="8"/>
      <c r="G121" s="9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6.5" x14ac:dyDescent="0.25">
      <c r="A122" s="66"/>
      <c r="B122" s="9"/>
      <c r="C122" s="8"/>
      <c r="D122" s="8"/>
      <c r="E122" s="8"/>
      <c r="F122" s="8"/>
      <c r="G122" s="9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6.5" x14ac:dyDescent="0.25">
      <c r="A123" s="66"/>
      <c r="B123" s="9"/>
      <c r="C123" s="8"/>
      <c r="D123" s="8"/>
      <c r="E123" s="8"/>
      <c r="F123" s="8"/>
      <c r="G123" s="9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6.5" x14ac:dyDescent="0.25">
      <c r="A124" s="66"/>
      <c r="B124" s="9"/>
      <c r="C124" s="8"/>
      <c r="D124" s="8"/>
      <c r="E124" s="8"/>
      <c r="F124" s="8"/>
      <c r="G124" s="9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6.5" x14ac:dyDescent="0.25">
      <c r="A125" s="66"/>
      <c r="B125" s="9"/>
      <c r="C125" s="8"/>
      <c r="D125" s="8"/>
      <c r="E125" s="8"/>
      <c r="F125" s="8"/>
      <c r="G125" s="9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6.5" x14ac:dyDescent="0.25">
      <c r="A126" s="66"/>
      <c r="B126" s="9"/>
      <c r="C126" s="8"/>
      <c r="D126" s="8"/>
      <c r="E126" s="8"/>
      <c r="F126" s="8"/>
      <c r="G126" s="9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6.5" x14ac:dyDescent="0.25">
      <c r="A127" s="66"/>
      <c r="B127" s="9"/>
      <c r="C127" s="8"/>
      <c r="D127" s="8"/>
      <c r="E127" s="8"/>
      <c r="F127" s="8"/>
      <c r="G127" s="9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6.5" x14ac:dyDescent="0.25">
      <c r="A128" s="66"/>
      <c r="B128" s="9"/>
      <c r="C128" s="8"/>
      <c r="D128" s="8"/>
      <c r="E128" s="8"/>
      <c r="F128" s="8"/>
      <c r="G128" s="9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6.5" x14ac:dyDescent="0.25">
      <c r="A129" s="66"/>
      <c r="B129" s="9"/>
      <c r="C129" s="8"/>
      <c r="D129" s="8"/>
      <c r="E129" s="8"/>
      <c r="F129" s="8"/>
      <c r="G129" s="9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6.5" x14ac:dyDescent="0.25">
      <c r="A130" s="66"/>
      <c r="B130" s="9"/>
      <c r="C130" s="8"/>
      <c r="D130" s="8"/>
      <c r="E130" s="8"/>
      <c r="F130" s="8"/>
      <c r="G130" s="9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6.5" x14ac:dyDescent="0.25">
      <c r="A131" s="66"/>
      <c r="B131" s="9"/>
      <c r="C131" s="8"/>
      <c r="D131" s="8"/>
      <c r="E131" s="8"/>
      <c r="F131" s="8"/>
      <c r="G131" s="9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6.5" x14ac:dyDescent="0.25">
      <c r="A132" s="66"/>
      <c r="B132" s="9"/>
      <c r="C132" s="8"/>
      <c r="D132" s="8"/>
      <c r="E132" s="8"/>
      <c r="F132" s="8"/>
      <c r="G132" s="9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6.5" x14ac:dyDescent="0.25">
      <c r="A133" s="66"/>
      <c r="B133" s="9"/>
      <c r="C133" s="8"/>
      <c r="D133" s="8"/>
      <c r="E133" s="8"/>
      <c r="F133" s="8"/>
      <c r="G133" s="9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6.5" x14ac:dyDescent="0.25">
      <c r="A134" s="66"/>
      <c r="B134" s="9"/>
      <c r="C134" s="8"/>
      <c r="D134" s="8"/>
      <c r="E134" s="8"/>
      <c r="F134" s="8"/>
      <c r="G134" s="9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6.5" x14ac:dyDescent="0.25">
      <c r="A135" s="66"/>
      <c r="B135" s="9"/>
      <c r="C135" s="8"/>
      <c r="D135" s="8"/>
      <c r="E135" s="8"/>
      <c r="F135" s="8"/>
      <c r="G135" s="9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6.5" x14ac:dyDescent="0.25">
      <c r="A136" s="66"/>
      <c r="B136" s="9"/>
      <c r="C136" s="8"/>
      <c r="D136" s="8"/>
      <c r="E136" s="8"/>
      <c r="F136" s="8"/>
      <c r="G136" s="9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6.5" x14ac:dyDescent="0.25">
      <c r="A137" s="66"/>
      <c r="B137" s="9"/>
      <c r="C137" s="8"/>
      <c r="D137" s="8"/>
      <c r="E137" s="8"/>
      <c r="F137" s="8"/>
      <c r="G137" s="9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6.5" x14ac:dyDescent="0.25">
      <c r="A138" s="66"/>
      <c r="B138" s="9"/>
      <c r="C138" s="8"/>
      <c r="D138" s="8"/>
      <c r="E138" s="8"/>
      <c r="F138" s="8"/>
      <c r="G138" s="9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6.5" x14ac:dyDescent="0.25">
      <c r="A139" s="66"/>
      <c r="B139" s="9"/>
      <c r="C139" s="8"/>
      <c r="D139" s="8"/>
      <c r="E139" s="8"/>
      <c r="F139" s="8"/>
      <c r="G139" s="9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6.5" x14ac:dyDescent="0.25">
      <c r="A140" s="66"/>
      <c r="B140" s="9"/>
      <c r="C140" s="8"/>
      <c r="D140" s="8"/>
      <c r="E140" s="8"/>
      <c r="F140" s="8"/>
      <c r="G140" s="9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6.5" x14ac:dyDescent="0.25">
      <c r="A141" s="66"/>
      <c r="B141" s="9"/>
      <c r="C141" s="8"/>
      <c r="D141" s="8"/>
      <c r="E141" s="8"/>
      <c r="F141" s="8"/>
      <c r="G141" s="9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6.5" x14ac:dyDescent="0.25">
      <c r="A142" s="66"/>
      <c r="B142" s="9"/>
      <c r="C142" s="8"/>
      <c r="D142" s="8"/>
      <c r="E142" s="8"/>
      <c r="F142" s="8"/>
      <c r="G142" s="9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6.5" x14ac:dyDescent="0.25">
      <c r="A143" s="66"/>
      <c r="B143" s="9"/>
      <c r="C143" s="8"/>
      <c r="D143" s="8"/>
      <c r="E143" s="8"/>
      <c r="F143" s="8"/>
      <c r="G143" s="9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6.5" x14ac:dyDescent="0.25">
      <c r="A144" s="66"/>
      <c r="B144" s="9"/>
      <c r="C144" s="8"/>
      <c r="D144" s="8"/>
      <c r="E144" s="8"/>
      <c r="F144" s="8"/>
      <c r="G144" s="9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6.5" x14ac:dyDescent="0.25">
      <c r="A145" s="66"/>
      <c r="B145" s="9"/>
      <c r="C145" s="8"/>
      <c r="D145" s="8"/>
      <c r="E145" s="8"/>
      <c r="F145" s="8"/>
      <c r="G145" s="9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6.5" x14ac:dyDescent="0.25">
      <c r="A146" s="66"/>
      <c r="B146" s="9"/>
      <c r="C146" s="8"/>
      <c r="D146" s="8"/>
      <c r="E146" s="8"/>
      <c r="F146" s="8"/>
      <c r="G146" s="9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6.5" x14ac:dyDescent="0.25">
      <c r="A147" s="66"/>
      <c r="B147" s="9"/>
      <c r="C147" s="8"/>
      <c r="D147" s="8"/>
      <c r="E147" s="8"/>
      <c r="F147" s="8"/>
      <c r="G147" s="9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6.5" x14ac:dyDescent="0.25">
      <c r="A148" s="66"/>
      <c r="B148" s="9"/>
      <c r="C148" s="8"/>
      <c r="D148" s="8"/>
      <c r="E148" s="8"/>
      <c r="F148" s="8"/>
      <c r="G148" s="9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6.5" x14ac:dyDescent="0.25">
      <c r="A149" s="66"/>
      <c r="B149" s="9"/>
      <c r="C149" s="8"/>
      <c r="D149" s="8"/>
      <c r="E149" s="8"/>
      <c r="F149" s="8"/>
      <c r="G149" s="9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6.5" x14ac:dyDescent="0.25">
      <c r="A150" s="66"/>
      <c r="B150" s="9"/>
      <c r="C150" s="8"/>
      <c r="D150" s="8"/>
      <c r="E150" s="8"/>
      <c r="F150" s="8"/>
      <c r="G150" s="9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6.5" x14ac:dyDescent="0.25">
      <c r="A151" s="66"/>
      <c r="B151" s="9"/>
      <c r="C151" s="8"/>
      <c r="D151" s="8"/>
      <c r="E151" s="8"/>
      <c r="F151" s="8"/>
      <c r="G151" s="9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6.5" x14ac:dyDescent="0.25">
      <c r="A152" s="66"/>
      <c r="B152" s="9"/>
      <c r="C152" s="8"/>
      <c r="D152" s="8"/>
      <c r="E152" s="8"/>
      <c r="F152" s="8"/>
      <c r="G152" s="9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6.5" x14ac:dyDescent="0.25">
      <c r="A153" s="66"/>
      <c r="B153" s="9"/>
      <c r="C153" s="8"/>
      <c r="D153" s="8"/>
      <c r="E153" s="8"/>
      <c r="F153" s="8"/>
      <c r="G153" s="9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6.5" x14ac:dyDescent="0.25">
      <c r="A154" s="66"/>
      <c r="B154" s="9"/>
      <c r="C154" s="8"/>
      <c r="D154" s="8"/>
      <c r="E154" s="8"/>
      <c r="F154" s="8"/>
      <c r="G154" s="9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6.5" x14ac:dyDescent="0.25">
      <c r="A155" s="66"/>
      <c r="B155" s="9"/>
      <c r="C155" s="8"/>
      <c r="D155" s="8"/>
      <c r="E155" s="8"/>
      <c r="F155" s="8"/>
      <c r="G155" s="9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6.5" x14ac:dyDescent="0.25">
      <c r="A156" s="66"/>
      <c r="B156" s="9"/>
      <c r="C156" s="8"/>
      <c r="D156" s="8"/>
      <c r="E156" s="8"/>
      <c r="F156" s="8"/>
      <c r="G156" s="9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6.5" x14ac:dyDescent="0.25">
      <c r="A157" s="66"/>
      <c r="B157" s="9"/>
      <c r="C157" s="8"/>
      <c r="D157" s="8"/>
      <c r="E157" s="8"/>
      <c r="F157" s="8"/>
      <c r="G157" s="9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6.5" x14ac:dyDescent="0.25">
      <c r="A158" s="66"/>
      <c r="B158" s="9"/>
      <c r="C158" s="8"/>
      <c r="D158" s="8"/>
      <c r="E158" s="8"/>
      <c r="F158" s="8"/>
      <c r="G158" s="9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6.5" x14ac:dyDescent="0.25">
      <c r="A159" s="66"/>
      <c r="B159" s="9"/>
      <c r="C159" s="8"/>
      <c r="D159" s="8"/>
      <c r="E159" s="8"/>
      <c r="F159" s="8"/>
      <c r="G159" s="9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6.5" x14ac:dyDescent="0.25">
      <c r="A160" s="66"/>
      <c r="B160" s="9"/>
      <c r="C160" s="8"/>
      <c r="D160" s="8"/>
      <c r="E160" s="8"/>
      <c r="F160" s="8"/>
      <c r="G160" s="9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6.5" x14ac:dyDescent="0.25">
      <c r="A161" s="66"/>
      <c r="B161" s="9"/>
      <c r="C161" s="8"/>
      <c r="D161" s="8"/>
      <c r="E161" s="8"/>
      <c r="F161" s="8"/>
      <c r="G161" s="9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6.5" x14ac:dyDescent="0.25">
      <c r="A162" s="66"/>
      <c r="B162" s="9"/>
      <c r="C162" s="8"/>
      <c r="D162" s="8"/>
      <c r="E162" s="8"/>
      <c r="F162" s="8"/>
      <c r="G162" s="9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6.5" x14ac:dyDescent="0.25">
      <c r="A163" s="66"/>
      <c r="B163" s="9"/>
      <c r="C163" s="8"/>
      <c r="D163" s="8"/>
      <c r="E163" s="8"/>
      <c r="F163" s="8"/>
      <c r="G163" s="9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6.5" x14ac:dyDescent="0.25">
      <c r="A164" s="66"/>
      <c r="B164" s="9"/>
      <c r="C164" s="8"/>
      <c r="D164" s="8"/>
      <c r="E164" s="8"/>
      <c r="F164" s="8"/>
      <c r="G164" s="9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6.5" x14ac:dyDescent="0.25">
      <c r="A165" s="66"/>
      <c r="B165" s="9"/>
      <c r="C165" s="8"/>
      <c r="D165" s="8"/>
      <c r="E165" s="8"/>
      <c r="F165" s="8"/>
      <c r="G165" s="9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6.5" x14ac:dyDescent="0.25">
      <c r="A166" s="66"/>
      <c r="B166" s="9"/>
      <c r="C166" s="8"/>
      <c r="D166" s="8"/>
      <c r="E166" s="8"/>
      <c r="F166" s="8"/>
      <c r="G166" s="9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6.5" x14ac:dyDescent="0.25">
      <c r="A167" s="66"/>
      <c r="B167" s="9"/>
      <c r="C167" s="8"/>
      <c r="D167" s="8"/>
      <c r="E167" s="8"/>
      <c r="F167" s="8"/>
      <c r="G167" s="9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6.5" x14ac:dyDescent="0.25">
      <c r="A168" s="66"/>
      <c r="B168" s="9"/>
      <c r="C168" s="8"/>
      <c r="D168" s="8"/>
      <c r="E168" s="8"/>
      <c r="F168" s="8"/>
      <c r="G168" s="9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6.5" x14ac:dyDescent="0.25">
      <c r="A169" s="66"/>
      <c r="B169" s="9"/>
      <c r="C169" s="8"/>
      <c r="D169" s="8"/>
      <c r="E169" s="8"/>
      <c r="F169" s="8"/>
      <c r="G169" s="9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6.5" x14ac:dyDescent="0.25">
      <c r="A170" s="66"/>
      <c r="B170" s="9"/>
      <c r="C170" s="8"/>
      <c r="D170" s="8"/>
      <c r="E170" s="8"/>
      <c r="F170" s="8"/>
      <c r="G170" s="9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6.5" x14ac:dyDescent="0.25">
      <c r="A171" s="66"/>
      <c r="B171" s="9"/>
      <c r="C171" s="8"/>
      <c r="D171" s="8"/>
      <c r="E171" s="8"/>
      <c r="F171" s="8"/>
      <c r="G171" s="9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6.5" x14ac:dyDescent="0.25">
      <c r="A172" s="66"/>
      <c r="B172" s="9"/>
      <c r="C172" s="8"/>
      <c r="D172" s="8"/>
      <c r="E172" s="8"/>
      <c r="F172" s="8"/>
      <c r="G172" s="9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6.5" x14ac:dyDescent="0.25">
      <c r="A173" s="66"/>
      <c r="B173" s="9"/>
      <c r="C173" s="8"/>
      <c r="D173" s="8"/>
      <c r="E173" s="8"/>
      <c r="F173" s="8"/>
      <c r="G173" s="9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6.5" x14ac:dyDescent="0.25">
      <c r="A174" s="66"/>
      <c r="B174" s="9"/>
      <c r="C174" s="8"/>
      <c r="D174" s="8"/>
      <c r="E174" s="8"/>
      <c r="F174" s="8"/>
      <c r="G174" s="9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6.5" x14ac:dyDescent="0.25">
      <c r="A175" s="66"/>
      <c r="B175" s="9"/>
      <c r="C175" s="8"/>
      <c r="D175" s="8"/>
      <c r="E175" s="8"/>
      <c r="F175" s="8"/>
      <c r="G175" s="9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6.5" x14ac:dyDescent="0.25">
      <c r="A176" s="66"/>
      <c r="B176" s="9"/>
      <c r="C176" s="8"/>
      <c r="D176" s="8"/>
      <c r="E176" s="8"/>
      <c r="F176" s="8"/>
      <c r="G176" s="9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6.5" x14ac:dyDescent="0.25">
      <c r="A177" s="66"/>
      <c r="B177" s="9"/>
      <c r="C177" s="8"/>
      <c r="D177" s="8"/>
      <c r="E177" s="8"/>
      <c r="F177" s="8"/>
      <c r="G177" s="9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6.5" x14ac:dyDescent="0.25">
      <c r="A178" s="66"/>
      <c r="B178" s="9"/>
      <c r="C178" s="8"/>
      <c r="D178" s="8"/>
      <c r="E178" s="8"/>
      <c r="F178" s="8"/>
      <c r="G178" s="9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6.5" x14ac:dyDescent="0.25">
      <c r="A179" s="66"/>
      <c r="B179" s="9"/>
      <c r="C179" s="8"/>
      <c r="D179" s="8"/>
      <c r="E179" s="8"/>
      <c r="F179" s="8"/>
      <c r="G179" s="9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6.5" x14ac:dyDescent="0.25">
      <c r="A180" s="66"/>
      <c r="B180" s="9"/>
      <c r="C180" s="8"/>
      <c r="D180" s="8"/>
      <c r="E180" s="8"/>
      <c r="F180" s="8"/>
      <c r="G180" s="9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6.5" x14ac:dyDescent="0.25">
      <c r="A181" s="66"/>
      <c r="B181" s="9"/>
      <c r="C181" s="8"/>
      <c r="D181" s="8"/>
      <c r="E181" s="8"/>
      <c r="F181" s="8"/>
      <c r="G181" s="9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6.5" x14ac:dyDescent="0.25">
      <c r="A182" s="66"/>
      <c r="B182" s="9"/>
      <c r="C182" s="8"/>
      <c r="D182" s="8"/>
      <c r="E182" s="8"/>
      <c r="F182" s="8"/>
      <c r="G182" s="9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6.5" x14ac:dyDescent="0.25">
      <c r="A183" s="66"/>
      <c r="B183" s="9"/>
      <c r="C183" s="8"/>
      <c r="D183" s="8"/>
      <c r="E183" s="8"/>
      <c r="F183" s="8"/>
      <c r="G183" s="9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6.5" x14ac:dyDescent="0.25">
      <c r="A184" s="66"/>
      <c r="B184" s="9"/>
      <c r="C184" s="8"/>
      <c r="D184" s="8"/>
      <c r="E184" s="8"/>
      <c r="F184" s="8"/>
      <c r="G184" s="9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6.5" x14ac:dyDescent="0.25">
      <c r="A185" s="66"/>
      <c r="B185" s="9"/>
      <c r="C185" s="8"/>
      <c r="D185" s="8"/>
      <c r="E185" s="8"/>
      <c r="F185" s="8"/>
      <c r="G185" s="9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6.5" x14ac:dyDescent="0.25">
      <c r="A186" s="66"/>
      <c r="B186" s="9"/>
      <c r="C186" s="8"/>
      <c r="D186" s="8"/>
      <c r="E186" s="8"/>
      <c r="F186" s="8"/>
      <c r="G186" s="9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6.5" x14ac:dyDescent="0.25">
      <c r="A187" s="66"/>
      <c r="B187" s="9"/>
      <c r="C187" s="8"/>
      <c r="D187" s="8"/>
      <c r="E187" s="8"/>
      <c r="F187" s="8"/>
      <c r="G187" s="9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6.5" x14ac:dyDescent="0.25">
      <c r="A188" s="66"/>
      <c r="B188" s="9"/>
      <c r="C188" s="8"/>
      <c r="D188" s="8"/>
      <c r="E188" s="8"/>
      <c r="F188" s="8"/>
      <c r="G188" s="9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6.5" x14ac:dyDescent="0.25">
      <c r="A189" s="66"/>
      <c r="B189" s="9"/>
      <c r="C189" s="8"/>
      <c r="D189" s="8"/>
      <c r="E189" s="8"/>
      <c r="F189" s="8"/>
      <c r="G189" s="9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6.5" x14ac:dyDescent="0.25">
      <c r="A190" s="66"/>
      <c r="B190" s="9"/>
      <c r="C190" s="8"/>
      <c r="D190" s="8"/>
      <c r="E190" s="8"/>
      <c r="F190" s="8"/>
      <c r="G190" s="9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6.5" x14ac:dyDescent="0.25">
      <c r="A191" s="66"/>
      <c r="B191" s="9"/>
      <c r="C191" s="8"/>
      <c r="D191" s="8"/>
      <c r="E191" s="8"/>
      <c r="F191" s="8"/>
      <c r="G191" s="9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6.5" x14ac:dyDescent="0.25">
      <c r="A192" s="66"/>
      <c r="B192" s="9"/>
      <c r="C192" s="8"/>
      <c r="D192" s="8"/>
      <c r="E192" s="8"/>
      <c r="F192" s="8"/>
      <c r="G192" s="9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6.5" x14ac:dyDescent="0.25">
      <c r="A193" s="66"/>
      <c r="B193" s="9"/>
      <c r="C193" s="8"/>
      <c r="D193" s="8"/>
      <c r="E193" s="8"/>
      <c r="F193" s="8"/>
      <c r="G193" s="9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6.5" x14ac:dyDescent="0.25">
      <c r="A194" s="66"/>
      <c r="B194" s="9"/>
      <c r="C194" s="8"/>
      <c r="D194" s="8"/>
      <c r="E194" s="8"/>
      <c r="F194" s="8"/>
      <c r="G194" s="9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6.5" x14ac:dyDescent="0.25">
      <c r="A195" s="66"/>
      <c r="B195" s="9"/>
      <c r="C195" s="8"/>
      <c r="D195" s="8"/>
      <c r="E195" s="8"/>
      <c r="F195" s="8"/>
      <c r="G195" s="9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6.5" x14ac:dyDescent="0.25">
      <c r="A196" s="66"/>
      <c r="B196" s="9"/>
      <c r="C196" s="8"/>
      <c r="D196" s="8"/>
      <c r="E196" s="8"/>
      <c r="F196" s="8"/>
      <c r="G196" s="9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6.5" x14ac:dyDescent="0.25">
      <c r="A197" s="66"/>
      <c r="B197" s="9"/>
      <c r="C197" s="8"/>
      <c r="D197" s="8"/>
      <c r="E197" s="8"/>
      <c r="F197" s="8"/>
      <c r="G197" s="9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6.5" x14ac:dyDescent="0.25">
      <c r="A198" s="66"/>
      <c r="B198" s="9"/>
      <c r="C198" s="8"/>
      <c r="D198" s="8"/>
      <c r="E198" s="8"/>
      <c r="F198" s="8"/>
      <c r="G198" s="9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6.5" x14ac:dyDescent="0.25">
      <c r="A199" s="66"/>
      <c r="B199" s="9"/>
      <c r="C199" s="8"/>
      <c r="D199" s="8"/>
      <c r="E199" s="8"/>
      <c r="F199" s="8"/>
      <c r="G199" s="9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6.5" x14ac:dyDescent="0.25">
      <c r="A200" s="66"/>
      <c r="B200" s="9"/>
      <c r="C200" s="8"/>
      <c r="D200" s="8"/>
      <c r="E200" s="8"/>
      <c r="F200" s="8"/>
      <c r="G200" s="9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6.5" x14ac:dyDescent="0.25">
      <c r="A201" s="66"/>
      <c r="B201" s="9"/>
      <c r="C201" s="8"/>
      <c r="D201" s="8"/>
      <c r="E201" s="8"/>
      <c r="F201" s="8"/>
      <c r="G201" s="9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6.5" x14ac:dyDescent="0.25">
      <c r="A202" s="66"/>
      <c r="B202" s="9"/>
      <c r="C202" s="8"/>
      <c r="D202" s="8"/>
      <c r="E202" s="8"/>
      <c r="F202" s="8"/>
      <c r="G202" s="9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6.5" x14ac:dyDescent="0.25">
      <c r="A203" s="66"/>
      <c r="B203" s="9"/>
      <c r="C203" s="8"/>
      <c r="D203" s="8"/>
      <c r="E203" s="8"/>
      <c r="F203" s="8"/>
      <c r="G203" s="9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6.5" x14ac:dyDescent="0.25">
      <c r="A204" s="66"/>
      <c r="B204" s="9"/>
      <c r="C204" s="8"/>
      <c r="D204" s="8"/>
      <c r="E204" s="8"/>
      <c r="F204" s="8"/>
      <c r="G204" s="9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6.5" x14ac:dyDescent="0.25">
      <c r="A205" s="66"/>
      <c r="B205" s="9"/>
      <c r="C205" s="8"/>
      <c r="D205" s="8"/>
      <c r="E205" s="8"/>
      <c r="F205" s="8"/>
      <c r="G205" s="9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6.5" x14ac:dyDescent="0.25">
      <c r="A206" s="66"/>
      <c r="B206" s="9"/>
      <c r="C206" s="8"/>
      <c r="D206" s="8"/>
      <c r="E206" s="8"/>
      <c r="F206" s="8"/>
      <c r="G206" s="9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6.5" x14ac:dyDescent="0.25">
      <c r="A207" s="66"/>
      <c r="B207" s="9"/>
      <c r="C207" s="8"/>
      <c r="D207" s="8"/>
      <c r="E207" s="8"/>
      <c r="F207" s="8"/>
      <c r="G207" s="9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6.5" x14ac:dyDescent="0.25">
      <c r="A208" s="66"/>
      <c r="B208" s="9"/>
      <c r="C208" s="8"/>
      <c r="D208" s="8"/>
      <c r="E208" s="8"/>
      <c r="F208" s="8"/>
      <c r="G208" s="9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6.5" x14ac:dyDescent="0.25">
      <c r="A209" s="66"/>
      <c r="B209" s="9"/>
      <c r="C209" s="8"/>
      <c r="D209" s="8"/>
      <c r="E209" s="8"/>
      <c r="F209" s="8"/>
      <c r="G209" s="9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6.5" x14ac:dyDescent="0.25">
      <c r="A210" s="66"/>
      <c r="B210" s="9"/>
      <c r="C210" s="8"/>
      <c r="D210" s="8"/>
      <c r="E210" s="8"/>
      <c r="F210" s="8"/>
      <c r="G210" s="9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6.5" x14ac:dyDescent="0.25">
      <c r="A211" s="66"/>
      <c r="B211" s="9"/>
      <c r="C211" s="8"/>
      <c r="D211" s="8"/>
      <c r="E211" s="8"/>
      <c r="F211" s="8"/>
      <c r="G211" s="9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6.5" x14ac:dyDescent="0.25">
      <c r="A212" s="66"/>
      <c r="B212" s="9"/>
      <c r="C212" s="8"/>
      <c r="D212" s="8"/>
      <c r="E212" s="8"/>
      <c r="F212" s="8"/>
      <c r="G212" s="9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6.5" x14ac:dyDescent="0.25">
      <c r="A213" s="66"/>
      <c r="B213" s="9"/>
      <c r="C213" s="8"/>
      <c r="D213" s="8"/>
      <c r="E213" s="8"/>
      <c r="F213" s="8"/>
      <c r="G213" s="9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6.5" x14ac:dyDescent="0.25">
      <c r="A214" s="66"/>
      <c r="B214" s="9"/>
      <c r="C214" s="8"/>
      <c r="D214" s="8"/>
      <c r="E214" s="8"/>
      <c r="F214" s="8"/>
      <c r="G214" s="9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6.5" x14ac:dyDescent="0.25">
      <c r="A215" s="66"/>
      <c r="B215" s="9"/>
      <c r="C215" s="8"/>
      <c r="D215" s="8"/>
      <c r="E215" s="8"/>
      <c r="F215" s="8"/>
      <c r="G215" s="9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6.5" x14ac:dyDescent="0.25">
      <c r="A216" s="66"/>
      <c r="B216" s="9"/>
      <c r="C216" s="8"/>
      <c r="D216" s="8"/>
      <c r="E216" s="8"/>
      <c r="F216" s="8"/>
      <c r="G216" s="9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6.5" x14ac:dyDescent="0.25">
      <c r="A217" s="66"/>
      <c r="B217" s="9"/>
      <c r="C217" s="8"/>
      <c r="D217" s="8"/>
      <c r="E217" s="8"/>
      <c r="F217" s="8"/>
      <c r="G217" s="9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6.5" x14ac:dyDescent="0.25">
      <c r="A218" s="66"/>
      <c r="B218" s="9"/>
      <c r="C218" s="8"/>
      <c r="D218" s="8"/>
      <c r="E218" s="8"/>
      <c r="F218" s="8"/>
      <c r="G218" s="9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6.5" x14ac:dyDescent="0.25">
      <c r="A219" s="66"/>
      <c r="B219" s="9"/>
      <c r="C219" s="8"/>
      <c r="D219" s="8"/>
      <c r="E219" s="8"/>
      <c r="F219" s="8"/>
      <c r="G219" s="9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6.5" x14ac:dyDescent="0.25">
      <c r="A220" s="66"/>
      <c r="B220" s="9"/>
      <c r="C220" s="8"/>
      <c r="D220" s="8"/>
      <c r="E220" s="8"/>
      <c r="F220" s="8"/>
      <c r="G220" s="9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6.5" x14ac:dyDescent="0.25">
      <c r="A221" s="66"/>
      <c r="B221" s="9"/>
      <c r="C221" s="8"/>
      <c r="D221" s="8"/>
      <c r="E221" s="8"/>
      <c r="F221" s="8"/>
      <c r="G221" s="9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6.5" x14ac:dyDescent="0.25">
      <c r="A222" s="66"/>
      <c r="B222" s="9"/>
      <c r="C222" s="8"/>
      <c r="D222" s="8"/>
      <c r="E222" s="8"/>
      <c r="F222" s="8"/>
      <c r="G222" s="9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6.5" x14ac:dyDescent="0.25">
      <c r="A223" s="66"/>
      <c r="B223" s="9"/>
      <c r="C223" s="8"/>
      <c r="D223" s="8"/>
      <c r="E223" s="8"/>
      <c r="F223" s="8"/>
      <c r="G223" s="9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6.5" x14ac:dyDescent="0.25">
      <c r="A224" s="66"/>
      <c r="B224" s="9"/>
      <c r="C224" s="8"/>
      <c r="D224" s="8"/>
      <c r="E224" s="8"/>
      <c r="F224" s="8"/>
      <c r="G224" s="9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6.5" x14ac:dyDescent="0.25">
      <c r="A225" s="66"/>
      <c r="B225" s="9"/>
      <c r="C225" s="8"/>
      <c r="D225" s="8"/>
      <c r="E225" s="8"/>
      <c r="F225" s="8"/>
      <c r="G225" s="9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6.5" x14ac:dyDescent="0.25">
      <c r="A226" s="66"/>
      <c r="B226" s="9"/>
      <c r="C226" s="8"/>
      <c r="D226" s="8"/>
      <c r="E226" s="8"/>
      <c r="F226" s="8"/>
      <c r="G226" s="9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6.5" x14ac:dyDescent="0.25">
      <c r="A227" s="66"/>
      <c r="B227" s="9"/>
      <c r="C227" s="8"/>
      <c r="D227" s="8"/>
      <c r="E227" s="8"/>
      <c r="F227" s="8"/>
      <c r="G227" s="9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6.5" x14ac:dyDescent="0.25">
      <c r="A228" s="66"/>
      <c r="B228" s="9"/>
      <c r="C228" s="8"/>
      <c r="D228" s="8"/>
      <c r="E228" s="8"/>
      <c r="F228" s="8"/>
      <c r="G228" s="9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6.5" x14ac:dyDescent="0.25">
      <c r="A229" s="66"/>
      <c r="B229" s="9"/>
      <c r="C229" s="8"/>
      <c r="D229" s="8"/>
      <c r="E229" s="8"/>
      <c r="F229" s="8"/>
      <c r="G229" s="9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6.5" x14ac:dyDescent="0.25">
      <c r="A230" s="66"/>
      <c r="B230" s="9"/>
      <c r="C230" s="8"/>
      <c r="D230" s="8"/>
      <c r="E230" s="8"/>
      <c r="F230" s="8"/>
      <c r="G230" s="9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6.5" x14ac:dyDescent="0.25">
      <c r="A231" s="66"/>
      <c r="B231" s="9"/>
      <c r="C231" s="8"/>
      <c r="D231" s="8"/>
      <c r="E231" s="8"/>
      <c r="F231" s="8"/>
      <c r="G231" s="9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6.5" x14ac:dyDescent="0.25">
      <c r="A232" s="66"/>
      <c r="B232" s="9"/>
      <c r="C232" s="8"/>
      <c r="D232" s="8"/>
      <c r="E232" s="8"/>
      <c r="F232" s="8"/>
      <c r="G232" s="9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6.5" x14ac:dyDescent="0.25">
      <c r="A233" s="66"/>
      <c r="B233" s="9"/>
      <c r="C233" s="8"/>
      <c r="D233" s="8"/>
      <c r="E233" s="8"/>
      <c r="F233" s="8"/>
      <c r="G233" s="9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6.5" x14ac:dyDescent="0.25">
      <c r="A234" s="66"/>
      <c r="B234" s="9"/>
      <c r="C234" s="8"/>
      <c r="D234" s="8"/>
      <c r="E234" s="8"/>
      <c r="F234" s="8"/>
      <c r="G234" s="9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6.5" x14ac:dyDescent="0.25">
      <c r="A235" s="66"/>
      <c r="B235" s="9"/>
      <c r="C235" s="8"/>
      <c r="D235" s="8"/>
      <c r="E235" s="8"/>
      <c r="F235" s="8"/>
      <c r="G235" s="9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6.5" x14ac:dyDescent="0.25">
      <c r="A236" s="66"/>
      <c r="B236" s="9"/>
      <c r="C236" s="8"/>
      <c r="D236" s="8"/>
      <c r="E236" s="8"/>
      <c r="F236" s="8"/>
      <c r="G236" s="9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6.5" x14ac:dyDescent="0.25">
      <c r="A237" s="66"/>
      <c r="B237" s="9"/>
      <c r="C237" s="8"/>
      <c r="D237" s="8"/>
      <c r="E237" s="8"/>
      <c r="F237" s="8"/>
      <c r="G237" s="9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6.5" x14ac:dyDescent="0.25">
      <c r="A238" s="66"/>
      <c r="B238" s="9"/>
      <c r="C238" s="8"/>
      <c r="D238" s="8"/>
      <c r="E238" s="8"/>
      <c r="F238" s="8"/>
      <c r="G238" s="9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6.5" x14ac:dyDescent="0.25">
      <c r="A239" s="66"/>
      <c r="B239" s="9"/>
      <c r="C239" s="8"/>
      <c r="D239" s="8"/>
      <c r="E239" s="8"/>
      <c r="F239" s="8"/>
      <c r="G239" s="9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6.5" x14ac:dyDescent="0.25">
      <c r="A240" s="66"/>
      <c r="B240" s="9"/>
      <c r="C240" s="8"/>
      <c r="D240" s="8"/>
      <c r="E240" s="8"/>
      <c r="F240" s="8"/>
      <c r="G240" s="9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6.5" x14ac:dyDescent="0.25">
      <c r="A241" s="66"/>
      <c r="B241" s="9"/>
      <c r="C241" s="8"/>
      <c r="D241" s="8"/>
      <c r="E241" s="8"/>
      <c r="F241" s="8"/>
      <c r="G241" s="9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6.5" x14ac:dyDescent="0.25">
      <c r="A242" s="66"/>
      <c r="B242" s="9"/>
      <c r="C242" s="8"/>
      <c r="D242" s="8"/>
      <c r="E242" s="8"/>
      <c r="F242" s="8"/>
      <c r="G242" s="9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6.5" x14ac:dyDescent="0.25">
      <c r="A243" s="66"/>
      <c r="B243" s="9"/>
      <c r="C243" s="8"/>
      <c r="D243" s="8"/>
      <c r="E243" s="8"/>
      <c r="F243" s="8"/>
      <c r="G243" s="9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6.5" x14ac:dyDescent="0.25">
      <c r="A244" s="66"/>
      <c r="B244" s="9"/>
      <c r="C244" s="8"/>
      <c r="D244" s="8"/>
      <c r="E244" s="8"/>
      <c r="F244" s="8"/>
      <c r="G244" s="9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6.5" x14ac:dyDescent="0.25">
      <c r="A245" s="66"/>
      <c r="B245" s="9"/>
      <c r="C245" s="8"/>
      <c r="D245" s="8"/>
      <c r="E245" s="8"/>
      <c r="F245" s="8"/>
      <c r="G245" s="9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6.5" x14ac:dyDescent="0.25">
      <c r="A246" s="66"/>
      <c r="B246" s="9"/>
      <c r="C246" s="8"/>
      <c r="D246" s="8"/>
      <c r="E246" s="8"/>
      <c r="F246" s="8"/>
      <c r="G246" s="9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6.5" x14ac:dyDescent="0.25">
      <c r="A247" s="66"/>
      <c r="B247" s="9"/>
      <c r="C247" s="8"/>
      <c r="D247" s="8"/>
      <c r="E247" s="8"/>
      <c r="F247" s="8"/>
      <c r="G247" s="9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6.5" x14ac:dyDescent="0.25">
      <c r="A248" s="66"/>
      <c r="B248" s="9"/>
      <c r="C248" s="8"/>
      <c r="D248" s="8"/>
      <c r="E248" s="8"/>
      <c r="F248" s="8"/>
      <c r="G248" s="9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6.5" x14ac:dyDescent="0.25">
      <c r="A249" s="66"/>
      <c r="B249" s="9"/>
      <c r="C249" s="8"/>
      <c r="D249" s="8"/>
      <c r="E249" s="8"/>
      <c r="F249" s="8"/>
      <c r="G249" s="9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6.5" x14ac:dyDescent="0.25">
      <c r="A250" s="66"/>
      <c r="B250" s="9"/>
      <c r="C250" s="8"/>
      <c r="D250" s="8"/>
      <c r="E250" s="8"/>
      <c r="F250" s="8"/>
      <c r="G250" s="9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6.5" x14ac:dyDescent="0.25">
      <c r="A251" s="66"/>
      <c r="B251" s="9"/>
      <c r="C251" s="8"/>
      <c r="D251" s="8"/>
      <c r="E251" s="8"/>
      <c r="F251" s="8"/>
      <c r="G251" s="9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6.5" x14ac:dyDescent="0.25">
      <c r="A252" s="66"/>
      <c r="B252" s="9"/>
      <c r="C252" s="8"/>
      <c r="D252" s="8"/>
      <c r="E252" s="8"/>
      <c r="F252" s="8"/>
      <c r="G252" s="9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6.5" x14ac:dyDescent="0.25">
      <c r="A253" s="66"/>
      <c r="B253" s="9"/>
      <c r="C253" s="8"/>
      <c r="D253" s="8"/>
      <c r="E253" s="8"/>
      <c r="F253" s="8"/>
      <c r="G253" s="9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6.5" x14ac:dyDescent="0.25">
      <c r="A254" s="66"/>
      <c r="B254" s="9"/>
      <c r="C254" s="8"/>
      <c r="D254" s="8"/>
      <c r="E254" s="8"/>
      <c r="F254" s="8"/>
      <c r="G254" s="9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6.5" x14ac:dyDescent="0.25">
      <c r="A255" s="66"/>
      <c r="B255" s="9"/>
      <c r="C255" s="8"/>
      <c r="D255" s="8"/>
      <c r="E255" s="8"/>
      <c r="F255" s="8"/>
      <c r="G255" s="9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6.5" x14ac:dyDescent="0.25">
      <c r="A256" s="66"/>
      <c r="B256" s="9"/>
      <c r="C256" s="8"/>
      <c r="D256" s="8"/>
      <c r="E256" s="8"/>
      <c r="F256" s="8"/>
      <c r="G256" s="9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6.5" x14ac:dyDescent="0.25">
      <c r="A257" s="66"/>
      <c r="B257" s="9"/>
      <c r="C257" s="8"/>
      <c r="D257" s="8"/>
      <c r="E257" s="8"/>
      <c r="F257" s="8"/>
      <c r="G257" s="9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6.5" x14ac:dyDescent="0.25">
      <c r="A258" s="66"/>
      <c r="B258" s="9"/>
      <c r="C258" s="8"/>
      <c r="D258" s="8"/>
      <c r="E258" s="8"/>
      <c r="F258" s="8"/>
      <c r="G258" s="9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6.5" x14ac:dyDescent="0.25">
      <c r="A259" s="66"/>
      <c r="B259" s="9"/>
      <c r="C259" s="8"/>
      <c r="D259" s="8"/>
      <c r="E259" s="8"/>
      <c r="F259" s="8"/>
      <c r="G259" s="9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6.5" x14ac:dyDescent="0.25">
      <c r="A260" s="66"/>
      <c r="B260" s="9"/>
      <c r="C260" s="8"/>
      <c r="D260" s="8"/>
      <c r="E260" s="8"/>
      <c r="F260" s="8"/>
      <c r="G260" s="9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6.5" x14ac:dyDescent="0.25">
      <c r="A261" s="66"/>
      <c r="B261" s="9"/>
      <c r="C261" s="8"/>
      <c r="D261" s="8"/>
      <c r="E261" s="8"/>
      <c r="F261" s="8"/>
      <c r="G261" s="9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6.5" x14ac:dyDescent="0.25">
      <c r="A262" s="66"/>
      <c r="B262" s="9"/>
      <c r="C262" s="8"/>
      <c r="D262" s="8"/>
      <c r="E262" s="8"/>
      <c r="F262" s="8"/>
      <c r="G262" s="9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6.5" x14ac:dyDescent="0.25">
      <c r="A263" s="66"/>
      <c r="B263" s="9"/>
      <c r="C263" s="8"/>
      <c r="D263" s="8"/>
      <c r="E263" s="8"/>
      <c r="F263" s="8"/>
      <c r="G263" s="9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6.5" x14ac:dyDescent="0.25">
      <c r="A264" s="66"/>
      <c r="B264" s="9"/>
      <c r="C264" s="8"/>
      <c r="D264" s="8"/>
      <c r="E264" s="8"/>
      <c r="F264" s="8"/>
      <c r="G264" s="9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6.5" x14ac:dyDescent="0.25">
      <c r="A265" s="66"/>
      <c r="B265" s="9"/>
      <c r="C265" s="8"/>
      <c r="D265" s="8"/>
      <c r="E265" s="8"/>
      <c r="F265" s="8"/>
      <c r="G265" s="9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6.5" x14ac:dyDescent="0.25">
      <c r="A266" s="66"/>
      <c r="B266" s="9"/>
      <c r="C266" s="8"/>
      <c r="D266" s="8"/>
      <c r="E266" s="8"/>
      <c r="F266" s="8"/>
      <c r="G266" s="9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6.5" x14ac:dyDescent="0.25">
      <c r="A267" s="66"/>
      <c r="B267" s="9"/>
      <c r="C267" s="8"/>
      <c r="D267" s="8"/>
      <c r="E267" s="8"/>
      <c r="F267" s="8"/>
      <c r="G267" s="9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6.5" x14ac:dyDescent="0.25">
      <c r="A268" s="66"/>
      <c r="B268" s="9"/>
      <c r="C268" s="8"/>
      <c r="D268" s="8"/>
      <c r="E268" s="8"/>
      <c r="F268" s="8"/>
      <c r="G268" s="9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6.5" x14ac:dyDescent="0.25">
      <c r="A269" s="66"/>
      <c r="B269" s="9"/>
      <c r="C269" s="8"/>
      <c r="D269" s="8"/>
      <c r="E269" s="8"/>
      <c r="F269" s="8"/>
      <c r="G269" s="9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6.5" x14ac:dyDescent="0.25">
      <c r="A270" s="66"/>
      <c r="B270" s="9"/>
      <c r="C270" s="8"/>
      <c r="D270" s="8"/>
      <c r="E270" s="8"/>
      <c r="F270" s="8"/>
      <c r="G270" s="9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6.5" x14ac:dyDescent="0.25">
      <c r="A271" s="66"/>
      <c r="B271" s="9"/>
      <c r="C271" s="8"/>
      <c r="D271" s="8"/>
      <c r="E271" s="8"/>
      <c r="F271" s="8"/>
      <c r="G271" s="9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6.5" x14ac:dyDescent="0.25">
      <c r="A272" s="66"/>
      <c r="B272" s="9"/>
      <c r="C272" s="8"/>
      <c r="D272" s="8"/>
      <c r="E272" s="8"/>
      <c r="F272" s="8"/>
      <c r="G272" s="9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6.5" x14ac:dyDescent="0.25">
      <c r="A273" s="66"/>
      <c r="B273" s="9"/>
      <c r="C273" s="8"/>
      <c r="D273" s="8"/>
      <c r="E273" s="8"/>
      <c r="F273" s="8"/>
      <c r="G273" s="9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6.5" x14ac:dyDescent="0.25">
      <c r="A274" s="66"/>
      <c r="B274" s="9"/>
      <c r="C274" s="8"/>
      <c r="D274" s="8"/>
      <c r="E274" s="8"/>
      <c r="F274" s="8"/>
      <c r="G274" s="9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6.5" x14ac:dyDescent="0.25">
      <c r="A275" s="66"/>
      <c r="B275" s="9"/>
      <c r="C275" s="8"/>
      <c r="D275" s="8"/>
      <c r="E275" s="8"/>
      <c r="F275" s="8"/>
      <c r="G275" s="9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6.5" x14ac:dyDescent="0.25">
      <c r="A276" s="66"/>
      <c r="B276" s="9"/>
      <c r="C276" s="8"/>
      <c r="D276" s="8"/>
      <c r="E276" s="8"/>
      <c r="F276" s="8"/>
      <c r="G276" s="9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6.5" x14ac:dyDescent="0.25">
      <c r="A277" s="66"/>
      <c r="B277" s="9"/>
      <c r="C277" s="8"/>
      <c r="D277" s="8"/>
      <c r="E277" s="8"/>
      <c r="F277" s="8"/>
      <c r="G277" s="9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6.5" x14ac:dyDescent="0.25">
      <c r="A278" s="66"/>
      <c r="B278" s="9"/>
      <c r="C278" s="8"/>
      <c r="D278" s="8"/>
      <c r="E278" s="8"/>
      <c r="F278" s="8"/>
      <c r="G278" s="9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6.5" x14ac:dyDescent="0.25">
      <c r="A279" s="66"/>
      <c r="B279" s="9"/>
      <c r="C279" s="8"/>
      <c r="D279" s="8"/>
      <c r="E279" s="8"/>
      <c r="F279" s="8"/>
      <c r="G279" s="9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6.5" x14ac:dyDescent="0.25">
      <c r="A280" s="66"/>
      <c r="B280" s="9"/>
      <c r="C280" s="8"/>
      <c r="D280" s="8"/>
      <c r="E280" s="8"/>
      <c r="F280" s="8"/>
      <c r="G280" s="9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6.5" x14ac:dyDescent="0.25">
      <c r="A281" s="66"/>
      <c r="B281" s="9"/>
      <c r="C281" s="8"/>
      <c r="D281" s="8"/>
      <c r="E281" s="8"/>
      <c r="F281" s="8"/>
      <c r="G281" s="9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6.5" x14ac:dyDescent="0.25">
      <c r="A282" s="66"/>
      <c r="B282" s="9"/>
      <c r="C282" s="8"/>
      <c r="D282" s="8"/>
      <c r="E282" s="8"/>
      <c r="F282" s="8"/>
      <c r="G282" s="9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6.5" x14ac:dyDescent="0.25">
      <c r="A283" s="66"/>
      <c r="B283" s="9"/>
      <c r="C283" s="8"/>
      <c r="D283" s="8"/>
      <c r="E283" s="8"/>
      <c r="F283" s="8"/>
      <c r="G283" s="9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6.5" x14ac:dyDescent="0.25">
      <c r="A284" s="66"/>
      <c r="B284" s="9"/>
      <c r="C284" s="8"/>
      <c r="D284" s="8"/>
      <c r="E284" s="8"/>
      <c r="F284" s="8"/>
      <c r="G284" s="9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6.5" x14ac:dyDescent="0.25">
      <c r="A285" s="66"/>
      <c r="B285" s="9"/>
      <c r="C285" s="8"/>
      <c r="D285" s="8"/>
      <c r="E285" s="8"/>
      <c r="F285" s="8"/>
      <c r="G285" s="9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6.5" x14ac:dyDescent="0.25">
      <c r="A286" s="66"/>
      <c r="B286" s="9"/>
      <c r="C286" s="8"/>
      <c r="D286" s="8"/>
      <c r="E286" s="8"/>
      <c r="F286" s="8"/>
      <c r="G286" s="9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6.5" x14ac:dyDescent="0.25">
      <c r="A287" s="66"/>
      <c r="B287" s="9"/>
      <c r="C287" s="8"/>
      <c r="D287" s="8"/>
      <c r="E287" s="8"/>
      <c r="F287" s="8"/>
      <c r="G287" s="9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6.5" x14ac:dyDescent="0.25">
      <c r="A288" s="66"/>
      <c r="B288" s="9"/>
      <c r="C288" s="8"/>
      <c r="D288" s="8"/>
      <c r="E288" s="8"/>
      <c r="F288" s="8"/>
      <c r="G288" s="9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6.5" x14ac:dyDescent="0.25">
      <c r="A289" s="66"/>
      <c r="B289" s="9"/>
      <c r="C289" s="8"/>
      <c r="D289" s="8"/>
      <c r="E289" s="8"/>
      <c r="F289" s="8"/>
      <c r="G289" s="9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6.5" x14ac:dyDescent="0.25">
      <c r="A290" s="66"/>
      <c r="B290" s="9"/>
      <c r="C290" s="8"/>
      <c r="D290" s="8"/>
      <c r="E290" s="8"/>
      <c r="F290" s="8"/>
      <c r="G290" s="9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6.5" x14ac:dyDescent="0.25">
      <c r="A291" s="66"/>
      <c r="B291" s="9"/>
      <c r="C291" s="8"/>
      <c r="D291" s="8"/>
      <c r="E291" s="8"/>
      <c r="F291" s="8"/>
      <c r="G291" s="9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6.5" x14ac:dyDescent="0.25">
      <c r="A292" s="66"/>
      <c r="B292" s="9"/>
      <c r="C292" s="8"/>
      <c r="D292" s="8"/>
      <c r="E292" s="8"/>
      <c r="F292" s="8"/>
      <c r="G292" s="9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6.5" x14ac:dyDescent="0.25">
      <c r="A293" s="66"/>
      <c r="B293" s="9"/>
      <c r="C293" s="8"/>
      <c r="D293" s="8"/>
      <c r="E293" s="8"/>
      <c r="F293" s="8"/>
      <c r="G293" s="9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6.5" x14ac:dyDescent="0.25">
      <c r="A294" s="66"/>
      <c r="B294" s="9"/>
      <c r="C294" s="8"/>
      <c r="D294" s="8"/>
      <c r="E294" s="8"/>
      <c r="F294" s="8"/>
      <c r="G294" s="9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6.5" x14ac:dyDescent="0.25">
      <c r="A295" s="66"/>
      <c r="B295" s="9"/>
      <c r="C295" s="8"/>
      <c r="D295" s="8"/>
      <c r="E295" s="8"/>
      <c r="F295" s="8"/>
      <c r="G295" s="9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6.5" x14ac:dyDescent="0.25">
      <c r="A296" s="66"/>
      <c r="B296" s="9"/>
      <c r="C296" s="8"/>
      <c r="D296" s="8"/>
      <c r="E296" s="8"/>
      <c r="F296" s="8"/>
      <c r="G296" s="9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6.5" x14ac:dyDescent="0.25">
      <c r="A297" s="66"/>
      <c r="B297" s="9"/>
      <c r="C297" s="8"/>
      <c r="D297" s="8"/>
      <c r="E297" s="8"/>
      <c r="F297" s="8"/>
      <c r="G297" s="9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6.5" x14ac:dyDescent="0.25">
      <c r="A298" s="66"/>
      <c r="B298" s="9"/>
      <c r="C298" s="8"/>
      <c r="D298" s="8"/>
      <c r="E298" s="8"/>
      <c r="F298" s="8"/>
      <c r="G298" s="9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6.5" x14ac:dyDescent="0.25">
      <c r="A299" s="66"/>
      <c r="B299" s="9"/>
      <c r="C299" s="8"/>
      <c r="D299" s="8"/>
      <c r="E299" s="8"/>
      <c r="F299" s="8"/>
      <c r="G299" s="9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6.5" x14ac:dyDescent="0.25">
      <c r="A300" s="66"/>
      <c r="B300" s="9"/>
      <c r="C300" s="8"/>
      <c r="D300" s="8"/>
      <c r="E300" s="8"/>
      <c r="F300" s="8"/>
      <c r="G300" s="9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6.5" x14ac:dyDescent="0.25">
      <c r="A301" s="66"/>
      <c r="B301" s="9"/>
      <c r="C301" s="8"/>
      <c r="D301" s="8"/>
      <c r="E301" s="8"/>
      <c r="F301" s="8"/>
      <c r="G301" s="9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6.5" x14ac:dyDescent="0.25">
      <c r="A302" s="66"/>
      <c r="B302" s="9"/>
      <c r="C302" s="8"/>
      <c r="D302" s="8"/>
      <c r="E302" s="8"/>
      <c r="F302" s="8"/>
      <c r="G302" s="9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6.5" x14ac:dyDescent="0.25">
      <c r="A303" s="66"/>
      <c r="B303" s="9"/>
      <c r="C303" s="8"/>
      <c r="D303" s="8"/>
      <c r="E303" s="8"/>
      <c r="F303" s="8"/>
      <c r="G303" s="9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6.5" x14ac:dyDescent="0.25">
      <c r="A304" s="66"/>
      <c r="B304" s="9"/>
      <c r="C304" s="8"/>
      <c r="D304" s="8"/>
      <c r="E304" s="8"/>
      <c r="F304" s="8"/>
      <c r="G304" s="9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6.5" x14ac:dyDescent="0.25">
      <c r="A305" s="66"/>
      <c r="B305" s="9"/>
      <c r="C305" s="8"/>
      <c r="D305" s="8"/>
      <c r="E305" s="8"/>
      <c r="F305" s="8"/>
      <c r="G305" s="9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6.5" x14ac:dyDescent="0.25">
      <c r="A306" s="66"/>
      <c r="B306" s="9"/>
      <c r="C306" s="8"/>
      <c r="D306" s="8"/>
      <c r="E306" s="8"/>
      <c r="F306" s="8"/>
      <c r="G306" s="9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6.5" x14ac:dyDescent="0.25">
      <c r="A307" s="66"/>
      <c r="B307" s="9"/>
      <c r="C307" s="8"/>
      <c r="D307" s="8"/>
      <c r="E307" s="8"/>
      <c r="F307" s="8"/>
      <c r="G307" s="9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6.5" x14ac:dyDescent="0.25">
      <c r="A308" s="66"/>
      <c r="B308" s="9"/>
      <c r="C308" s="8"/>
      <c r="D308" s="8"/>
      <c r="E308" s="8"/>
      <c r="F308" s="8"/>
      <c r="G308" s="9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6.5" x14ac:dyDescent="0.25">
      <c r="A309" s="66"/>
      <c r="B309" s="9"/>
      <c r="C309" s="8"/>
      <c r="D309" s="8"/>
      <c r="E309" s="8"/>
      <c r="F309" s="8"/>
      <c r="G309" s="9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6.5" x14ac:dyDescent="0.25">
      <c r="A310" s="66"/>
      <c r="B310" s="9"/>
      <c r="C310" s="8"/>
      <c r="D310" s="8"/>
      <c r="E310" s="8"/>
      <c r="F310" s="8"/>
      <c r="G310" s="9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6.5" x14ac:dyDescent="0.25">
      <c r="A311" s="66"/>
      <c r="B311" s="9"/>
      <c r="C311" s="8"/>
      <c r="D311" s="8"/>
      <c r="E311" s="8"/>
      <c r="F311" s="8"/>
      <c r="G311" s="9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6.5" x14ac:dyDescent="0.25">
      <c r="A312" s="66"/>
      <c r="B312" s="9"/>
      <c r="C312" s="8"/>
      <c r="D312" s="8"/>
      <c r="E312" s="8"/>
      <c r="F312" s="8"/>
      <c r="G312" s="9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6.5" x14ac:dyDescent="0.25">
      <c r="A313" s="66"/>
      <c r="B313" s="9"/>
      <c r="C313" s="8"/>
      <c r="D313" s="8"/>
      <c r="E313" s="8"/>
      <c r="F313" s="8"/>
      <c r="G313" s="9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6.5" x14ac:dyDescent="0.25">
      <c r="A314" s="66"/>
      <c r="B314" s="9"/>
      <c r="C314" s="8"/>
      <c r="D314" s="8"/>
      <c r="E314" s="8"/>
      <c r="F314" s="8"/>
      <c r="G314" s="9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6.5" x14ac:dyDescent="0.25">
      <c r="A315" s="66"/>
      <c r="B315" s="9"/>
      <c r="C315" s="8"/>
      <c r="D315" s="8"/>
      <c r="E315" s="8"/>
      <c r="F315" s="8"/>
      <c r="G315" s="9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6.5" x14ac:dyDescent="0.25">
      <c r="A316" s="66"/>
      <c r="B316" s="9"/>
      <c r="C316" s="8"/>
      <c r="D316" s="8"/>
      <c r="E316" s="8"/>
      <c r="F316" s="8"/>
      <c r="G316" s="9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6.5" x14ac:dyDescent="0.25">
      <c r="A317" s="66"/>
      <c r="B317" s="9"/>
      <c r="C317" s="8"/>
      <c r="D317" s="8"/>
      <c r="E317" s="8"/>
      <c r="F317" s="8"/>
      <c r="G317" s="9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6.5" x14ac:dyDescent="0.25">
      <c r="A318" s="66"/>
      <c r="B318" s="9"/>
      <c r="C318" s="8"/>
      <c r="D318" s="8"/>
      <c r="E318" s="8"/>
      <c r="F318" s="8"/>
      <c r="G318" s="9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6.5" x14ac:dyDescent="0.25">
      <c r="A319" s="66"/>
      <c r="B319" s="9"/>
      <c r="C319" s="8"/>
      <c r="D319" s="8"/>
      <c r="E319" s="8"/>
      <c r="F319" s="8"/>
      <c r="G319" s="9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6.5" x14ac:dyDescent="0.25">
      <c r="A320" s="66"/>
      <c r="B320" s="9"/>
      <c r="C320" s="8"/>
      <c r="D320" s="8"/>
      <c r="E320" s="8"/>
      <c r="F320" s="8"/>
      <c r="G320" s="9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6.5" x14ac:dyDescent="0.25">
      <c r="A321" s="66"/>
      <c r="B321" s="9"/>
      <c r="C321" s="8"/>
      <c r="D321" s="8"/>
      <c r="E321" s="8"/>
      <c r="F321" s="8"/>
      <c r="G321" s="9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6.5" x14ac:dyDescent="0.25">
      <c r="A322" s="66"/>
      <c r="B322" s="9"/>
      <c r="C322" s="8"/>
      <c r="D322" s="8"/>
      <c r="E322" s="8"/>
      <c r="F322" s="8"/>
      <c r="G322" s="9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6.5" x14ac:dyDescent="0.25">
      <c r="A323" s="66"/>
      <c r="B323" s="9"/>
      <c r="C323" s="8"/>
      <c r="D323" s="8"/>
      <c r="E323" s="8"/>
      <c r="F323" s="8"/>
      <c r="G323" s="9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6.5" x14ac:dyDescent="0.25">
      <c r="A324" s="66"/>
      <c r="B324" s="9"/>
      <c r="C324" s="8"/>
      <c r="D324" s="8"/>
      <c r="E324" s="8"/>
      <c r="F324" s="8"/>
      <c r="G324" s="9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6.5" x14ac:dyDescent="0.25">
      <c r="A325" s="66"/>
      <c r="B325" s="9"/>
      <c r="C325" s="8"/>
      <c r="D325" s="8"/>
      <c r="E325" s="8"/>
      <c r="F325" s="8"/>
      <c r="G325" s="9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6.5" x14ac:dyDescent="0.25">
      <c r="A326" s="66"/>
      <c r="B326" s="9"/>
      <c r="C326" s="8"/>
      <c r="D326" s="8"/>
      <c r="E326" s="8"/>
      <c r="F326" s="8"/>
      <c r="G326" s="9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6.5" x14ac:dyDescent="0.25">
      <c r="A327" s="66"/>
      <c r="B327" s="9"/>
      <c r="C327" s="8"/>
      <c r="D327" s="8"/>
      <c r="E327" s="8"/>
      <c r="F327" s="8"/>
      <c r="G327" s="9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6.5" x14ac:dyDescent="0.25">
      <c r="A328" s="66"/>
      <c r="B328" s="9"/>
      <c r="C328" s="8"/>
      <c r="D328" s="8"/>
      <c r="E328" s="8"/>
      <c r="F328" s="8"/>
      <c r="G328" s="9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6.5" x14ac:dyDescent="0.25">
      <c r="A329" s="66"/>
      <c r="B329" s="9"/>
      <c r="C329" s="8"/>
      <c r="D329" s="8"/>
      <c r="E329" s="8"/>
      <c r="F329" s="8"/>
      <c r="G329" s="9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6.5" x14ac:dyDescent="0.25">
      <c r="A330" s="66"/>
      <c r="B330" s="9"/>
      <c r="C330" s="8"/>
      <c r="D330" s="8"/>
      <c r="E330" s="8"/>
      <c r="F330" s="8"/>
      <c r="G330" s="9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6.5" x14ac:dyDescent="0.25">
      <c r="A331" s="66"/>
      <c r="B331" s="9"/>
      <c r="C331" s="8"/>
      <c r="D331" s="8"/>
      <c r="E331" s="8"/>
      <c r="F331" s="8"/>
      <c r="G331" s="9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6.5" x14ac:dyDescent="0.25">
      <c r="A332" s="66"/>
      <c r="B332" s="9"/>
      <c r="C332" s="8"/>
      <c r="D332" s="8"/>
      <c r="E332" s="8"/>
      <c r="F332" s="8"/>
      <c r="G332" s="9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6.5" x14ac:dyDescent="0.25">
      <c r="A333" s="66"/>
      <c r="B333" s="9"/>
      <c r="C333" s="8"/>
      <c r="D333" s="8"/>
      <c r="E333" s="8"/>
      <c r="F333" s="8"/>
      <c r="G333" s="9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6.5" x14ac:dyDescent="0.25">
      <c r="A334" s="66"/>
      <c r="B334" s="9"/>
      <c r="C334" s="8"/>
      <c r="D334" s="8"/>
      <c r="E334" s="8"/>
      <c r="F334" s="8"/>
      <c r="G334" s="9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6.5" x14ac:dyDescent="0.25">
      <c r="A335" s="66"/>
      <c r="B335" s="9"/>
      <c r="C335" s="8"/>
      <c r="D335" s="8"/>
      <c r="E335" s="8"/>
      <c r="F335" s="8"/>
      <c r="G335" s="9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6.5" x14ac:dyDescent="0.25">
      <c r="A336" s="66"/>
      <c r="B336" s="9"/>
      <c r="C336" s="8"/>
      <c r="D336" s="8"/>
      <c r="E336" s="8"/>
      <c r="F336" s="8"/>
      <c r="G336" s="9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6.5" x14ac:dyDescent="0.25">
      <c r="A337" s="66"/>
      <c r="B337" s="9"/>
      <c r="C337" s="8"/>
      <c r="D337" s="8"/>
      <c r="E337" s="8"/>
      <c r="F337" s="8"/>
      <c r="G337" s="9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6.5" x14ac:dyDescent="0.25">
      <c r="A338" s="66"/>
      <c r="B338" s="9"/>
      <c r="C338" s="8"/>
      <c r="D338" s="8"/>
      <c r="E338" s="8"/>
      <c r="F338" s="8"/>
      <c r="G338" s="9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6.5" x14ac:dyDescent="0.25">
      <c r="A339" s="66"/>
      <c r="B339" s="9"/>
      <c r="C339" s="8"/>
      <c r="D339" s="8"/>
      <c r="E339" s="8"/>
      <c r="F339" s="8"/>
      <c r="G339" s="9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6.5" x14ac:dyDescent="0.25">
      <c r="A340" s="66"/>
      <c r="B340" s="9"/>
      <c r="C340" s="8"/>
      <c r="D340" s="8"/>
      <c r="E340" s="8"/>
      <c r="F340" s="8"/>
      <c r="G340" s="9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6.5" x14ac:dyDescent="0.25">
      <c r="A341" s="66"/>
      <c r="B341" s="9"/>
      <c r="C341" s="8"/>
      <c r="D341" s="8"/>
      <c r="E341" s="8"/>
      <c r="F341" s="8"/>
      <c r="G341" s="9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6.5" x14ac:dyDescent="0.25">
      <c r="A342" s="66"/>
      <c r="B342" s="9"/>
      <c r="C342" s="8"/>
      <c r="D342" s="8"/>
      <c r="E342" s="8"/>
      <c r="F342" s="8"/>
      <c r="G342" s="9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6.5" x14ac:dyDescent="0.25">
      <c r="A343" s="66"/>
      <c r="B343" s="9"/>
      <c r="C343" s="8"/>
      <c r="D343" s="8"/>
      <c r="E343" s="8"/>
      <c r="F343" s="8"/>
      <c r="G343" s="9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6.5" x14ac:dyDescent="0.25">
      <c r="A344" s="66"/>
      <c r="B344" s="9"/>
      <c r="C344" s="8"/>
      <c r="D344" s="8"/>
      <c r="E344" s="8"/>
      <c r="F344" s="8"/>
      <c r="G344" s="9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6.5" x14ac:dyDescent="0.25">
      <c r="A345" s="66"/>
      <c r="B345" s="9"/>
      <c r="C345" s="8"/>
      <c r="D345" s="8"/>
      <c r="E345" s="8"/>
      <c r="F345" s="8"/>
      <c r="G345" s="9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6.5" x14ac:dyDescent="0.25">
      <c r="A346" s="66"/>
      <c r="B346" s="9"/>
      <c r="C346" s="8"/>
      <c r="D346" s="8"/>
      <c r="E346" s="8"/>
      <c r="F346" s="8"/>
      <c r="G346" s="9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6.5" x14ac:dyDescent="0.25">
      <c r="A347" s="66"/>
      <c r="B347" s="9"/>
      <c r="C347" s="8"/>
      <c r="D347" s="8"/>
      <c r="E347" s="8"/>
      <c r="F347" s="8"/>
      <c r="G347" s="9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6.5" x14ac:dyDescent="0.25">
      <c r="A348" s="66"/>
      <c r="B348" s="9"/>
      <c r="C348" s="8"/>
      <c r="D348" s="8"/>
      <c r="E348" s="8"/>
      <c r="F348" s="8"/>
      <c r="G348" s="9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6.5" x14ac:dyDescent="0.25">
      <c r="A349" s="66"/>
      <c r="B349" s="9"/>
      <c r="C349" s="8"/>
      <c r="D349" s="8"/>
      <c r="E349" s="8"/>
      <c r="F349" s="8"/>
      <c r="G349" s="9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6.5" x14ac:dyDescent="0.25">
      <c r="A350" s="66"/>
      <c r="B350" s="9"/>
      <c r="C350" s="8"/>
      <c r="D350" s="8"/>
      <c r="E350" s="8"/>
      <c r="F350" s="8"/>
      <c r="G350" s="9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6.5" x14ac:dyDescent="0.25">
      <c r="A351" s="66"/>
      <c r="B351" s="9"/>
      <c r="C351" s="8"/>
      <c r="D351" s="8"/>
      <c r="E351" s="8"/>
      <c r="F351" s="8"/>
      <c r="G351" s="9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6.5" x14ac:dyDescent="0.25">
      <c r="A352" s="66"/>
      <c r="B352" s="9"/>
      <c r="C352" s="8"/>
      <c r="D352" s="8"/>
      <c r="E352" s="8"/>
      <c r="F352" s="8"/>
      <c r="G352" s="9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6.5" x14ac:dyDescent="0.25">
      <c r="A353" s="66"/>
      <c r="B353" s="9"/>
      <c r="C353" s="8"/>
      <c r="D353" s="8"/>
      <c r="E353" s="8"/>
      <c r="F353" s="8"/>
      <c r="G353" s="9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6.5" x14ac:dyDescent="0.25">
      <c r="A354" s="66"/>
      <c r="B354" s="9"/>
      <c r="C354" s="8"/>
      <c r="D354" s="8"/>
      <c r="E354" s="8"/>
      <c r="F354" s="8"/>
      <c r="G354" s="9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6.5" x14ac:dyDescent="0.25">
      <c r="A355" s="66"/>
      <c r="B355" s="9"/>
      <c r="C355" s="8"/>
      <c r="D355" s="8"/>
      <c r="E355" s="8"/>
      <c r="F355" s="8"/>
      <c r="G355" s="9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6.5" x14ac:dyDescent="0.25">
      <c r="A356" s="66"/>
      <c r="B356" s="9"/>
      <c r="C356" s="8"/>
      <c r="D356" s="8"/>
      <c r="E356" s="8"/>
      <c r="F356" s="8"/>
      <c r="G356" s="9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6.5" x14ac:dyDescent="0.25">
      <c r="A357" s="66"/>
      <c r="B357" s="9"/>
      <c r="C357" s="8"/>
      <c r="D357" s="8"/>
      <c r="E357" s="8"/>
      <c r="F357" s="8"/>
      <c r="G357" s="9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6.5" x14ac:dyDescent="0.25">
      <c r="A358" s="66"/>
      <c r="B358" s="9"/>
      <c r="C358" s="8"/>
      <c r="D358" s="8"/>
      <c r="E358" s="8"/>
      <c r="F358" s="8"/>
      <c r="G358" s="9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6.5" x14ac:dyDescent="0.25">
      <c r="A359" s="66"/>
      <c r="B359" s="9"/>
      <c r="C359" s="8"/>
      <c r="D359" s="8"/>
      <c r="E359" s="8"/>
      <c r="F359" s="8"/>
      <c r="G359" s="9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6.5" x14ac:dyDescent="0.25">
      <c r="A360" s="66"/>
      <c r="B360" s="9"/>
      <c r="C360" s="8"/>
      <c r="D360" s="8"/>
      <c r="E360" s="8"/>
      <c r="F360" s="8"/>
      <c r="G360" s="9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6.5" x14ac:dyDescent="0.25">
      <c r="A361" s="66"/>
      <c r="B361" s="9"/>
      <c r="C361" s="8"/>
      <c r="D361" s="8"/>
      <c r="E361" s="8"/>
      <c r="F361" s="8"/>
      <c r="G361" s="9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6.5" x14ac:dyDescent="0.25">
      <c r="A362" s="66"/>
      <c r="B362" s="9"/>
      <c r="C362" s="8"/>
      <c r="D362" s="8"/>
      <c r="E362" s="8"/>
      <c r="F362" s="8"/>
      <c r="G362" s="9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6.5" x14ac:dyDescent="0.25">
      <c r="A363" s="66"/>
      <c r="B363" s="9"/>
      <c r="C363" s="8"/>
      <c r="D363" s="8"/>
      <c r="E363" s="8"/>
      <c r="F363" s="8"/>
      <c r="G363" s="9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6.5" x14ac:dyDescent="0.25">
      <c r="A364" s="66"/>
      <c r="B364" s="9"/>
      <c r="C364" s="8"/>
      <c r="D364" s="8"/>
      <c r="E364" s="8"/>
      <c r="F364" s="8"/>
      <c r="G364" s="9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6.5" x14ac:dyDescent="0.25">
      <c r="A365" s="66"/>
      <c r="B365" s="9"/>
      <c r="C365" s="8"/>
      <c r="D365" s="8"/>
      <c r="E365" s="8"/>
      <c r="F365" s="8"/>
      <c r="G365" s="9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6.5" x14ac:dyDescent="0.25">
      <c r="A366" s="66"/>
      <c r="B366" s="9"/>
      <c r="C366" s="8"/>
      <c r="D366" s="8"/>
      <c r="E366" s="8"/>
      <c r="F366" s="8"/>
      <c r="G366" s="9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6.5" x14ac:dyDescent="0.25">
      <c r="A367" s="66"/>
      <c r="B367" s="9"/>
      <c r="C367" s="8"/>
      <c r="D367" s="8"/>
      <c r="E367" s="8"/>
      <c r="F367" s="8"/>
      <c r="G367" s="9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6.5" x14ac:dyDescent="0.25">
      <c r="A368" s="66"/>
      <c r="B368" s="9"/>
      <c r="C368" s="8"/>
      <c r="D368" s="8"/>
      <c r="E368" s="8"/>
      <c r="F368" s="8"/>
      <c r="G368" s="9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6.5" x14ac:dyDescent="0.25">
      <c r="A369" s="66"/>
      <c r="B369" s="9"/>
      <c r="C369" s="8"/>
      <c r="D369" s="8"/>
      <c r="E369" s="8"/>
      <c r="F369" s="8"/>
      <c r="G369" s="9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6.5" x14ac:dyDescent="0.25">
      <c r="A370" s="66"/>
      <c r="B370" s="9"/>
      <c r="C370" s="8"/>
      <c r="D370" s="8"/>
      <c r="E370" s="8"/>
      <c r="F370" s="8"/>
      <c r="G370" s="9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6.5" x14ac:dyDescent="0.25">
      <c r="A371" s="66"/>
      <c r="B371" s="9"/>
      <c r="C371" s="8"/>
      <c r="D371" s="8"/>
      <c r="E371" s="8"/>
      <c r="F371" s="8"/>
      <c r="G371" s="9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6.5" x14ac:dyDescent="0.25">
      <c r="A372" s="66"/>
      <c r="B372" s="9"/>
      <c r="C372" s="8"/>
      <c r="D372" s="8"/>
      <c r="E372" s="8"/>
      <c r="F372" s="8"/>
      <c r="G372" s="9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6.5" x14ac:dyDescent="0.25">
      <c r="A373" s="66"/>
      <c r="B373" s="9"/>
      <c r="C373" s="8"/>
      <c r="D373" s="8"/>
      <c r="E373" s="8"/>
      <c r="F373" s="8"/>
      <c r="G373" s="9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6.5" x14ac:dyDescent="0.25">
      <c r="A374" s="66"/>
      <c r="B374" s="9"/>
      <c r="C374" s="8"/>
      <c r="D374" s="8"/>
      <c r="E374" s="8"/>
      <c r="F374" s="8"/>
      <c r="G374" s="9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6.5" x14ac:dyDescent="0.25">
      <c r="A375" s="66"/>
      <c r="B375" s="9"/>
      <c r="C375" s="8"/>
      <c r="D375" s="8"/>
      <c r="E375" s="8"/>
      <c r="F375" s="8"/>
      <c r="G375" s="9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6.5" x14ac:dyDescent="0.25">
      <c r="A376" s="66"/>
      <c r="B376" s="9"/>
      <c r="C376" s="8"/>
      <c r="D376" s="8"/>
      <c r="E376" s="8"/>
      <c r="F376" s="8"/>
      <c r="G376" s="9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6.5" x14ac:dyDescent="0.25">
      <c r="A377" s="66"/>
      <c r="B377" s="9"/>
      <c r="C377" s="8"/>
      <c r="D377" s="8"/>
      <c r="E377" s="8"/>
      <c r="F377" s="8"/>
      <c r="G377" s="9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6.5" x14ac:dyDescent="0.25">
      <c r="A378" s="66"/>
      <c r="B378" s="9"/>
      <c r="C378" s="8"/>
      <c r="D378" s="8"/>
      <c r="E378" s="8"/>
      <c r="F378" s="8"/>
      <c r="G378" s="9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6.5" x14ac:dyDescent="0.25">
      <c r="A379" s="66"/>
      <c r="B379" s="9"/>
      <c r="C379" s="8"/>
      <c r="D379" s="8"/>
      <c r="E379" s="8"/>
      <c r="F379" s="8"/>
      <c r="G379" s="9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6.5" x14ac:dyDescent="0.25">
      <c r="A380" s="66"/>
      <c r="B380" s="9"/>
      <c r="C380" s="8"/>
      <c r="D380" s="8"/>
      <c r="E380" s="8"/>
      <c r="F380" s="8"/>
      <c r="G380" s="9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6.5" x14ac:dyDescent="0.25">
      <c r="A381" s="66"/>
      <c r="B381" s="9"/>
      <c r="C381" s="8"/>
      <c r="D381" s="8"/>
      <c r="E381" s="8"/>
      <c r="F381" s="8"/>
      <c r="G381" s="9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6.5" x14ac:dyDescent="0.25">
      <c r="A382" s="66"/>
      <c r="B382" s="9"/>
      <c r="C382" s="8"/>
      <c r="D382" s="8"/>
      <c r="E382" s="8"/>
      <c r="F382" s="8"/>
      <c r="G382" s="9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6.5" x14ac:dyDescent="0.25">
      <c r="A383" s="66"/>
      <c r="B383" s="9"/>
      <c r="C383" s="8"/>
      <c r="D383" s="8"/>
      <c r="E383" s="8"/>
      <c r="F383" s="8"/>
      <c r="G383" s="9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6.5" x14ac:dyDescent="0.25">
      <c r="A384" s="66"/>
      <c r="B384" s="9"/>
      <c r="C384" s="8"/>
      <c r="D384" s="8"/>
      <c r="E384" s="8"/>
      <c r="F384" s="8"/>
      <c r="G384" s="9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6.5" x14ac:dyDescent="0.25">
      <c r="A385" s="66"/>
      <c r="B385" s="9"/>
      <c r="C385" s="8"/>
      <c r="D385" s="8"/>
      <c r="E385" s="8"/>
      <c r="F385" s="8"/>
      <c r="G385" s="9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6.5" x14ac:dyDescent="0.25">
      <c r="A386" s="66"/>
      <c r="B386" s="9"/>
      <c r="C386" s="8"/>
      <c r="D386" s="8"/>
      <c r="E386" s="8"/>
      <c r="F386" s="8"/>
      <c r="G386" s="9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6.5" x14ac:dyDescent="0.25">
      <c r="A387" s="66"/>
      <c r="B387" s="9"/>
      <c r="C387" s="8"/>
      <c r="D387" s="8"/>
      <c r="E387" s="8"/>
      <c r="F387" s="8"/>
      <c r="G387" s="9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6.5" x14ac:dyDescent="0.25">
      <c r="A388" s="66"/>
      <c r="B388" s="9"/>
      <c r="C388" s="8"/>
      <c r="D388" s="8"/>
      <c r="E388" s="8"/>
      <c r="F388" s="8"/>
      <c r="G388" s="9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6.5" x14ac:dyDescent="0.25">
      <c r="A389" s="66"/>
      <c r="B389" s="9"/>
      <c r="C389" s="8"/>
      <c r="D389" s="8"/>
      <c r="E389" s="8"/>
      <c r="F389" s="8"/>
      <c r="G389" s="9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6.5" x14ac:dyDescent="0.25">
      <c r="A390" s="66"/>
      <c r="B390" s="9"/>
      <c r="C390" s="8"/>
      <c r="D390" s="8"/>
      <c r="E390" s="8"/>
      <c r="F390" s="8"/>
      <c r="G390" s="9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6.5" x14ac:dyDescent="0.25">
      <c r="A391" s="66"/>
      <c r="B391" s="9"/>
      <c r="C391" s="8"/>
      <c r="D391" s="8"/>
      <c r="E391" s="8"/>
      <c r="F391" s="8"/>
      <c r="G391" s="9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6.5" x14ac:dyDescent="0.25">
      <c r="A392" s="66"/>
      <c r="B392" s="9"/>
      <c r="C392" s="8"/>
      <c r="D392" s="8"/>
      <c r="E392" s="8"/>
      <c r="F392" s="8"/>
      <c r="G392" s="9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6.5" x14ac:dyDescent="0.25">
      <c r="A393" s="66"/>
      <c r="B393" s="9"/>
      <c r="C393" s="8"/>
      <c r="D393" s="8"/>
      <c r="E393" s="8"/>
      <c r="F393" s="8"/>
      <c r="G393" s="9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6.5" x14ac:dyDescent="0.25">
      <c r="A394" s="66"/>
      <c r="B394" s="9"/>
      <c r="C394" s="8"/>
      <c r="D394" s="8"/>
      <c r="E394" s="8"/>
      <c r="F394" s="8"/>
      <c r="G394" s="9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6.5" x14ac:dyDescent="0.25">
      <c r="A395" s="66"/>
      <c r="B395" s="9"/>
      <c r="C395" s="8"/>
      <c r="D395" s="8"/>
      <c r="E395" s="8"/>
      <c r="F395" s="8"/>
      <c r="G395" s="9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6.5" x14ac:dyDescent="0.25">
      <c r="A396" s="66"/>
      <c r="B396" s="9"/>
      <c r="C396" s="8"/>
      <c r="D396" s="8"/>
      <c r="E396" s="8"/>
      <c r="F396" s="8"/>
      <c r="G396" s="9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6.5" x14ac:dyDescent="0.25">
      <c r="A397" s="66"/>
      <c r="B397" s="9"/>
      <c r="C397" s="8"/>
      <c r="D397" s="8"/>
      <c r="E397" s="8"/>
      <c r="F397" s="8"/>
      <c r="G397" s="9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6.5" x14ac:dyDescent="0.25">
      <c r="A398" s="66"/>
      <c r="B398" s="9"/>
      <c r="C398" s="8"/>
      <c r="D398" s="8"/>
      <c r="E398" s="8"/>
      <c r="F398" s="8"/>
      <c r="G398" s="9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6.5" x14ac:dyDescent="0.25">
      <c r="A399" s="66"/>
      <c r="B399" s="9"/>
      <c r="C399" s="8"/>
      <c r="D399" s="8"/>
      <c r="E399" s="8"/>
      <c r="F399" s="8"/>
      <c r="G399" s="9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6.5" x14ac:dyDescent="0.25">
      <c r="A400" s="66"/>
      <c r="B400" s="9"/>
      <c r="C400" s="8"/>
      <c r="D400" s="8"/>
      <c r="E400" s="8"/>
      <c r="F400" s="8"/>
      <c r="G400" s="9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6.5" x14ac:dyDescent="0.25">
      <c r="A401" s="66"/>
      <c r="B401" s="9"/>
      <c r="C401" s="8"/>
      <c r="D401" s="8"/>
      <c r="E401" s="8"/>
      <c r="F401" s="8"/>
      <c r="G401" s="9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6.5" x14ac:dyDescent="0.25">
      <c r="A402" s="66"/>
      <c r="B402" s="9"/>
      <c r="C402" s="8"/>
      <c r="D402" s="8"/>
      <c r="E402" s="8"/>
      <c r="F402" s="8"/>
      <c r="G402" s="9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6.5" x14ac:dyDescent="0.25">
      <c r="A403" s="66"/>
      <c r="B403" s="9"/>
      <c r="C403" s="8"/>
      <c r="D403" s="8"/>
      <c r="E403" s="8"/>
      <c r="F403" s="8"/>
      <c r="G403" s="9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6.5" x14ac:dyDescent="0.25">
      <c r="A404" s="66"/>
      <c r="B404" s="9"/>
      <c r="C404" s="8"/>
      <c r="D404" s="8"/>
      <c r="E404" s="8"/>
      <c r="F404" s="8"/>
      <c r="G404" s="9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6.5" x14ac:dyDescent="0.25">
      <c r="A405" s="66"/>
      <c r="B405" s="9"/>
      <c r="C405" s="8"/>
      <c r="D405" s="8"/>
      <c r="E405" s="8"/>
      <c r="F405" s="8"/>
      <c r="G405" s="9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6.5" x14ac:dyDescent="0.25">
      <c r="A406" s="66"/>
      <c r="B406" s="9"/>
      <c r="C406" s="8"/>
      <c r="D406" s="8"/>
      <c r="E406" s="8"/>
      <c r="F406" s="8"/>
      <c r="G406" s="9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6.5" x14ac:dyDescent="0.25">
      <c r="A407" s="66"/>
      <c r="B407" s="9"/>
      <c r="C407" s="8"/>
      <c r="D407" s="8"/>
      <c r="E407" s="8"/>
      <c r="F407" s="8"/>
      <c r="G407" s="9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6.5" x14ac:dyDescent="0.25">
      <c r="A408" s="66"/>
      <c r="B408" s="9"/>
      <c r="C408" s="8"/>
      <c r="D408" s="8"/>
      <c r="E408" s="8"/>
      <c r="F408" s="8"/>
      <c r="G408" s="9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6.5" x14ac:dyDescent="0.25">
      <c r="A409" s="66"/>
      <c r="B409" s="9"/>
      <c r="C409" s="8"/>
      <c r="D409" s="8"/>
      <c r="E409" s="8"/>
      <c r="F409" s="8"/>
      <c r="G409" s="9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6.5" x14ac:dyDescent="0.25">
      <c r="A410" s="66"/>
      <c r="B410" s="9"/>
      <c r="C410" s="8"/>
      <c r="D410" s="8"/>
      <c r="E410" s="8"/>
      <c r="F410" s="8"/>
      <c r="G410" s="9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6.5" x14ac:dyDescent="0.25">
      <c r="A411" s="66"/>
      <c r="B411" s="9"/>
      <c r="C411" s="8"/>
      <c r="D411" s="8"/>
      <c r="E411" s="8"/>
      <c r="F411" s="8"/>
      <c r="G411" s="9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6.5" x14ac:dyDescent="0.25">
      <c r="A412" s="66"/>
      <c r="B412" s="9"/>
      <c r="C412" s="8"/>
      <c r="D412" s="8"/>
      <c r="E412" s="8"/>
      <c r="F412" s="8"/>
      <c r="G412" s="9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6.5" x14ac:dyDescent="0.25">
      <c r="A413" s="66"/>
      <c r="B413" s="9"/>
      <c r="C413" s="8"/>
      <c r="D413" s="8"/>
      <c r="E413" s="8"/>
      <c r="F413" s="8"/>
      <c r="G413" s="9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6.5" x14ac:dyDescent="0.25">
      <c r="A414" s="66"/>
      <c r="B414" s="9"/>
      <c r="C414" s="8"/>
      <c r="D414" s="8"/>
      <c r="E414" s="8"/>
      <c r="F414" s="8"/>
      <c r="G414" s="9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6.5" x14ac:dyDescent="0.25">
      <c r="A415" s="66"/>
      <c r="B415" s="9"/>
      <c r="C415" s="8"/>
      <c r="D415" s="8"/>
      <c r="E415" s="8"/>
      <c r="F415" s="8"/>
      <c r="G415" s="9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6.5" x14ac:dyDescent="0.25">
      <c r="A416" s="66"/>
      <c r="B416" s="9"/>
      <c r="C416" s="8"/>
      <c r="D416" s="8"/>
      <c r="E416" s="8"/>
      <c r="F416" s="8"/>
      <c r="G416" s="9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6.5" x14ac:dyDescent="0.25">
      <c r="A417" s="66"/>
      <c r="B417" s="9"/>
      <c r="C417" s="8"/>
      <c r="D417" s="8"/>
      <c r="E417" s="8"/>
      <c r="F417" s="8"/>
      <c r="G417" s="9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6.5" x14ac:dyDescent="0.25">
      <c r="A418" s="66"/>
      <c r="B418" s="9"/>
      <c r="C418" s="8"/>
      <c r="D418" s="8"/>
      <c r="E418" s="8"/>
      <c r="F418" s="8"/>
      <c r="G418" s="9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6.5" x14ac:dyDescent="0.25">
      <c r="A419" s="66"/>
      <c r="B419" s="9"/>
      <c r="C419" s="8"/>
      <c r="D419" s="8"/>
      <c r="E419" s="8"/>
      <c r="F419" s="8"/>
      <c r="G419" s="9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6.5" x14ac:dyDescent="0.25">
      <c r="A420" s="66"/>
      <c r="B420" s="9"/>
      <c r="C420" s="8"/>
      <c r="D420" s="8"/>
      <c r="E420" s="8"/>
      <c r="F420" s="8"/>
      <c r="G420" s="9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6.5" x14ac:dyDescent="0.25">
      <c r="A421" s="66"/>
      <c r="B421" s="9"/>
      <c r="C421" s="8"/>
      <c r="D421" s="8"/>
      <c r="E421" s="8"/>
      <c r="F421" s="8"/>
      <c r="G421" s="9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6.5" x14ac:dyDescent="0.25">
      <c r="A422" s="66"/>
      <c r="B422" s="9"/>
      <c r="C422" s="8"/>
      <c r="D422" s="8"/>
      <c r="E422" s="8"/>
      <c r="F422" s="8"/>
      <c r="G422" s="9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6.5" x14ac:dyDescent="0.25">
      <c r="A423" s="66"/>
      <c r="B423" s="9"/>
      <c r="C423" s="8"/>
      <c r="D423" s="8"/>
      <c r="E423" s="8"/>
      <c r="F423" s="8"/>
      <c r="G423" s="9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6.5" x14ac:dyDescent="0.25">
      <c r="A424" s="66"/>
      <c r="B424" s="9"/>
      <c r="C424" s="8"/>
      <c r="D424" s="8"/>
      <c r="E424" s="8"/>
      <c r="F424" s="8"/>
      <c r="G424" s="9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6.5" x14ac:dyDescent="0.25">
      <c r="A425" s="66"/>
      <c r="B425" s="9"/>
      <c r="C425" s="8"/>
      <c r="D425" s="8"/>
      <c r="E425" s="8"/>
      <c r="F425" s="8"/>
      <c r="G425" s="9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6.5" x14ac:dyDescent="0.25">
      <c r="A426" s="66"/>
      <c r="B426" s="9"/>
      <c r="C426" s="8"/>
      <c r="D426" s="8"/>
      <c r="E426" s="8"/>
      <c r="F426" s="8"/>
      <c r="G426" s="9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6.5" x14ac:dyDescent="0.25">
      <c r="A427" s="66"/>
      <c r="B427" s="9"/>
      <c r="C427" s="8"/>
      <c r="D427" s="8"/>
      <c r="E427" s="8"/>
      <c r="F427" s="8"/>
      <c r="G427" s="9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6.5" x14ac:dyDescent="0.25">
      <c r="A428" s="66"/>
      <c r="B428" s="9"/>
      <c r="C428" s="8"/>
      <c r="D428" s="8"/>
      <c r="E428" s="8"/>
      <c r="F428" s="8"/>
      <c r="G428" s="9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6.5" x14ac:dyDescent="0.25">
      <c r="A429" s="66"/>
      <c r="B429" s="9"/>
      <c r="C429" s="8"/>
      <c r="D429" s="8"/>
      <c r="E429" s="8"/>
      <c r="F429" s="8"/>
      <c r="G429" s="9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6.5" x14ac:dyDescent="0.25">
      <c r="A430" s="66"/>
      <c r="B430" s="9"/>
      <c r="C430" s="8"/>
      <c r="D430" s="8"/>
      <c r="E430" s="8"/>
      <c r="F430" s="8"/>
      <c r="G430" s="9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6.5" x14ac:dyDescent="0.25">
      <c r="A431" s="66"/>
      <c r="B431" s="9"/>
      <c r="C431" s="8"/>
      <c r="D431" s="8"/>
      <c r="E431" s="8"/>
      <c r="F431" s="8"/>
      <c r="G431" s="9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6.5" x14ac:dyDescent="0.25">
      <c r="A432" s="66"/>
      <c r="B432" s="9"/>
      <c r="C432" s="8"/>
      <c r="D432" s="8"/>
      <c r="E432" s="8"/>
      <c r="F432" s="8"/>
      <c r="G432" s="9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6.5" x14ac:dyDescent="0.25">
      <c r="A433" s="66"/>
      <c r="B433" s="9"/>
      <c r="C433" s="8"/>
      <c r="D433" s="8"/>
      <c r="E433" s="8"/>
      <c r="F433" s="8"/>
      <c r="G433" s="9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6.5" x14ac:dyDescent="0.25">
      <c r="A434" s="66"/>
      <c r="B434" s="9"/>
      <c r="C434" s="8"/>
      <c r="D434" s="8"/>
      <c r="E434" s="8"/>
      <c r="F434" s="8"/>
      <c r="G434" s="9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6.5" x14ac:dyDescent="0.25">
      <c r="A435" s="66"/>
      <c r="B435" s="9"/>
      <c r="C435" s="8"/>
      <c r="D435" s="8"/>
      <c r="E435" s="8"/>
      <c r="F435" s="8"/>
      <c r="G435" s="9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6.5" x14ac:dyDescent="0.25">
      <c r="A436" s="66"/>
      <c r="B436" s="9"/>
      <c r="C436" s="8"/>
      <c r="D436" s="8"/>
      <c r="E436" s="8"/>
      <c r="F436" s="8"/>
      <c r="G436" s="9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6.5" x14ac:dyDescent="0.25">
      <c r="A437" s="66"/>
      <c r="B437" s="9"/>
      <c r="C437" s="8"/>
      <c r="D437" s="8"/>
      <c r="E437" s="8"/>
      <c r="F437" s="8"/>
      <c r="G437" s="9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6.5" x14ac:dyDescent="0.25">
      <c r="A438" s="66"/>
      <c r="B438" s="9"/>
      <c r="C438" s="8"/>
      <c r="D438" s="8"/>
      <c r="E438" s="8"/>
      <c r="F438" s="8"/>
      <c r="G438" s="9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6.5" x14ac:dyDescent="0.25">
      <c r="A439" s="66"/>
      <c r="B439" s="9"/>
      <c r="C439" s="8"/>
      <c r="D439" s="8"/>
      <c r="E439" s="8"/>
      <c r="F439" s="8"/>
      <c r="G439" s="9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6.5" x14ac:dyDescent="0.25">
      <c r="A440" s="66"/>
      <c r="B440" s="9"/>
      <c r="C440" s="8"/>
      <c r="D440" s="8"/>
      <c r="E440" s="8"/>
      <c r="F440" s="8"/>
      <c r="G440" s="9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6.5" x14ac:dyDescent="0.25">
      <c r="A441" s="66"/>
      <c r="B441" s="9"/>
      <c r="C441" s="8"/>
      <c r="D441" s="8"/>
      <c r="E441" s="8"/>
      <c r="F441" s="8"/>
      <c r="G441" s="9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6.5" x14ac:dyDescent="0.25">
      <c r="A442" s="66"/>
      <c r="B442" s="9"/>
      <c r="C442" s="8"/>
      <c r="D442" s="8"/>
      <c r="E442" s="8"/>
      <c r="F442" s="8"/>
      <c r="G442" s="9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6.5" x14ac:dyDescent="0.25">
      <c r="A443" s="66"/>
      <c r="B443" s="9"/>
      <c r="C443" s="8"/>
      <c r="D443" s="8"/>
      <c r="E443" s="8"/>
      <c r="F443" s="8"/>
      <c r="G443" s="9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6.5" x14ac:dyDescent="0.25">
      <c r="A444" s="66"/>
      <c r="B444" s="9"/>
      <c r="C444" s="8"/>
      <c r="D444" s="8"/>
      <c r="E444" s="8"/>
      <c r="F444" s="8"/>
      <c r="G444" s="9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6.5" x14ac:dyDescent="0.25">
      <c r="A445" s="66"/>
      <c r="B445" s="9"/>
      <c r="C445" s="8"/>
      <c r="D445" s="8"/>
      <c r="E445" s="8"/>
      <c r="F445" s="8"/>
      <c r="G445" s="9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6.5" x14ac:dyDescent="0.25">
      <c r="A446" s="66"/>
      <c r="B446" s="9"/>
      <c r="C446" s="8"/>
      <c r="D446" s="8"/>
      <c r="E446" s="8"/>
      <c r="F446" s="8"/>
      <c r="G446" s="9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6.5" x14ac:dyDescent="0.25">
      <c r="A447" s="66"/>
      <c r="B447" s="9"/>
      <c r="C447" s="8"/>
      <c r="D447" s="8"/>
      <c r="E447" s="8"/>
      <c r="F447" s="8"/>
      <c r="G447" s="9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6.5" x14ac:dyDescent="0.25">
      <c r="A448" s="66"/>
      <c r="B448" s="9"/>
      <c r="C448" s="8"/>
      <c r="D448" s="8"/>
      <c r="E448" s="8"/>
      <c r="F448" s="8"/>
      <c r="G448" s="9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6.5" x14ac:dyDescent="0.25">
      <c r="A449" s="66"/>
      <c r="B449" s="9"/>
      <c r="C449" s="8"/>
      <c r="D449" s="8"/>
      <c r="E449" s="8"/>
      <c r="F449" s="8"/>
      <c r="G449" s="9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6.5" x14ac:dyDescent="0.25">
      <c r="A450" s="66"/>
      <c r="B450" s="9"/>
      <c r="C450" s="8"/>
      <c r="D450" s="8"/>
      <c r="E450" s="8"/>
      <c r="F450" s="8"/>
      <c r="G450" s="9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6.5" x14ac:dyDescent="0.25">
      <c r="A451" s="66"/>
      <c r="B451" s="9"/>
      <c r="C451" s="8"/>
      <c r="D451" s="8"/>
      <c r="E451" s="8"/>
      <c r="F451" s="8"/>
      <c r="G451" s="9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6.5" x14ac:dyDescent="0.25">
      <c r="A452" s="66"/>
      <c r="B452" s="9"/>
      <c r="C452" s="8"/>
      <c r="D452" s="8"/>
      <c r="E452" s="8"/>
      <c r="F452" s="8"/>
      <c r="G452" s="9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6.5" x14ac:dyDescent="0.25">
      <c r="A453" s="66"/>
      <c r="B453" s="9"/>
      <c r="C453" s="8"/>
      <c r="D453" s="8"/>
      <c r="E453" s="8"/>
      <c r="F453" s="8"/>
      <c r="G453" s="9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6.5" x14ac:dyDescent="0.25">
      <c r="A454" s="66"/>
      <c r="B454" s="9"/>
      <c r="C454" s="8"/>
      <c r="D454" s="8"/>
      <c r="E454" s="8"/>
      <c r="F454" s="8"/>
      <c r="G454" s="9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6.5" x14ac:dyDescent="0.25">
      <c r="A455" s="66"/>
      <c r="B455" s="9"/>
      <c r="C455" s="8"/>
      <c r="D455" s="8"/>
      <c r="E455" s="8"/>
      <c r="F455" s="8"/>
      <c r="G455" s="9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6.5" x14ac:dyDescent="0.25">
      <c r="A456" s="66"/>
      <c r="B456" s="9"/>
      <c r="C456" s="8"/>
      <c r="D456" s="8"/>
      <c r="E456" s="8"/>
      <c r="F456" s="8"/>
      <c r="G456" s="9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6.5" x14ac:dyDescent="0.25">
      <c r="A457" s="66"/>
      <c r="B457" s="9"/>
      <c r="C457" s="8"/>
      <c r="D457" s="8"/>
      <c r="E457" s="8"/>
      <c r="F457" s="8"/>
      <c r="G457" s="9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6.5" x14ac:dyDescent="0.25">
      <c r="A458" s="66"/>
      <c r="B458" s="9"/>
      <c r="C458" s="8"/>
      <c r="D458" s="8"/>
      <c r="E458" s="8"/>
      <c r="F458" s="8"/>
      <c r="G458" s="9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6.5" x14ac:dyDescent="0.25">
      <c r="A459" s="66"/>
      <c r="B459" s="9"/>
      <c r="C459" s="8"/>
      <c r="D459" s="8"/>
      <c r="E459" s="8"/>
      <c r="F459" s="8"/>
      <c r="G459" s="9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6.5" x14ac:dyDescent="0.25">
      <c r="A460" s="66"/>
      <c r="B460" s="9"/>
      <c r="C460" s="8"/>
      <c r="D460" s="8"/>
      <c r="E460" s="8"/>
      <c r="F460" s="8"/>
      <c r="G460" s="9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6.5" x14ac:dyDescent="0.25">
      <c r="A461" s="66"/>
      <c r="B461" s="9"/>
      <c r="C461" s="8"/>
      <c r="D461" s="8"/>
      <c r="E461" s="8"/>
      <c r="F461" s="8"/>
      <c r="G461" s="9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6.5" x14ac:dyDescent="0.25">
      <c r="A462" s="66"/>
      <c r="B462" s="9"/>
      <c r="C462" s="8"/>
      <c r="D462" s="8"/>
      <c r="E462" s="8"/>
      <c r="F462" s="8"/>
      <c r="G462" s="9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6.5" x14ac:dyDescent="0.25">
      <c r="A463" s="66"/>
      <c r="B463" s="9"/>
      <c r="C463" s="8"/>
      <c r="D463" s="8"/>
      <c r="E463" s="8"/>
      <c r="F463" s="8"/>
      <c r="G463" s="9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6.5" x14ac:dyDescent="0.25">
      <c r="A464" s="66"/>
      <c r="B464" s="9"/>
      <c r="C464" s="8"/>
      <c r="D464" s="8"/>
      <c r="E464" s="8"/>
      <c r="F464" s="8"/>
      <c r="G464" s="9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6.5" x14ac:dyDescent="0.25">
      <c r="A465" s="66"/>
      <c r="B465" s="9"/>
      <c r="C465" s="8"/>
      <c r="D465" s="8"/>
      <c r="E465" s="8"/>
      <c r="F465" s="8"/>
      <c r="G465" s="9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6.5" x14ac:dyDescent="0.25">
      <c r="A466" s="66"/>
      <c r="B466" s="9"/>
      <c r="C466" s="8"/>
      <c r="D466" s="8"/>
      <c r="E466" s="8"/>
      <c r="F466" s="8"/>
      <c r="G466" s="9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6.5" x14ac:dyDescent="0.25">
      <c r="A467" s="66"/>
      <c r="B467" s="9"/>
      <c r="C467" s="8"/>
      <c r="D467" s="8"/>
      <c r="E467" s="8"/>
      <c r="F467" s="8"/>
      <c r="G467" s="9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6.5" x14ac:dyDescent="0.25">
      <c r="A468" s="66"/>
      <c r="B468" s="9"/>
      <c r="C468" s="8"/>
      <c r="D468" s="8"/>
      <c r="E468" s="8"/>
      <c r="F468" s="8"/>
      <c r="G468" s="9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6.5" x14ac:dyDescent="0.25">
      <c r="A469" s="66"/>
      <c r="B469" s="9"/>
      <c r="C469" s="8"/>
      <c r="D469" s="8"/>
      <c r="E469" s="8"/>
      <c r="F469" s="8"/>
      <c r="G469" s="9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6.5" x14ac:dyDescent="0.25">
      <c r="A470" s="66"/>
      <c r="B470" s="9"/>
      <c r="C470" s="8"/>
      <c r="D470" s="8"/>
      <c r="E470" s="8"/>
      <c r="F470" s="8"/>
      <c r="G470" s="9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6.5" x14ac:dyDescent="0.25">
      <c r="A471" s="66"/>
      <c r="B471" s="9"/>
      <c r="C471" s="8"/>
      <c r="D471" s="8"/>
      <c r="E471" s="8"/>
      <c r="F471" s="8"/>
      <c r="G471" s="9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6.5" x14ac:dyDescent="0.25">
      <c r="A472" s="66"/>
      <c r="B472" s="9"/>
      <c r="C472" s="8"/>
      <c r="D472" s="8"/>
      <c r="E472" s="8"/>
      <c r="F472" s="8"/>
      <c r="G472" s="9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6.5" x14ac:dyDescent="0.25">
      <c r="A473" s="66"/>
      <c r="B473" s="9"/>
      <c r="C473" s="8"/>
      <c r="D473" s="8"/>
      <c r="E473" s="8"/>
      <c r="F473" s="8"/>
      <c r="G473" s="9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6.5" x14ac:dyDescent="0.25">
      <c r="A474" s="66"/>
      <c r="B474" s="9"/>
      <c r="C474" s="8"/>
      <c r="D474" s="8"/>
      <c r="E474" s="8"/>
      <c r="F474" s="8"/>
      <c r="G474" s="9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6.5" x14ac:dyDescent="0.25">
      <c r="A475" s="66"/>
      <c r="B475" s="9"/>
      <c r="C475" s="8"/>
      <c r="D475" s="8"/>
      <c r="E475" s="8"/>
      <c r="F475" s="8"/>
      <c r="G475" s="9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6.5" x14ac:dyDescent="0.25">
      <c r="A476" s="66"/>
      <c r="B476" s="9"/>
      <c r="C476" s="8"/>
      <c r="D476" s="8"/>
      <c r="E476" s="8"/>
      <c r="F476" s="8"/>
      <c r="G476" s="9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6.5" x14ac:dyDescent="0.25">
      <c r="A477" s="66"/>
      <c r="B477" s="9"/>
      <c r="C477" s="8"/>
      <c r="D477" s="8"/>
      <c r="E477" s="8"/>
      <c r="F477" s="8"/>
      <c r="G477" s="9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6.5" x14ac:dyDescent="0.25">
      <c r="A478" s="66"/>
      <c r="B478" s="9"/>
      <c r="C478" s="8"/>
      <c r="D478" s="8"/>
      <c r="E478" s="8"/>
      <c r="F478" s="8"/>
      <c r="G478" s="9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6.5" x14ac:dyDescent="0.25">
      <c r="A479" s="66"/>
      <c r="B479" s="9"/>
      <c r="C479" s="8"/>
      <c r="D479" s="8"/>
      <c r="E479" s="8"/>
      <c r="F479" s="8"/>
      <c r="G479" s="9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6.5" x14ac:dyDescent="0.25">
      <c r="A480" s="66"/>
      <c r="B480" s="9"/>
      <c r="C480" s="8"/>
      <c r="D480" s="8"/>
      <c r="E480" s="8"/>
      <c r="F480" s="8"/>
      <c r="G480" s="9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6.5" x14ac:dyDescent="0.25">
      <c r="A481" s="66"/>
      <c r="B481" s="9"/>
      <c r="C481" s="8"/>
      <c r="D481" s="8"/>
      <c r="E481" s="8"/>
      <c r="F481" s="8"/>
      <c r="G481" s="9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6.5" x14ac:dyDescent="0.25">
      <c r="A482" s="66"/>
      <c r="B482" s="9"/>
      <c r="C482" s="8"/>
      <c r="D482" s="8"/>
      <c r="E482" s="8"/>
      <c r="F482" s="8"/>
      <c r="G482" s="9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6.5" x14ac:dyDescent="0.25">
      <c r="A483" s="66"/>
      <c r="B483" s="9"/>
      <c r="C483" s="8"/>
      <c r="D483" s="8"/>
      <c r="E483" s="8"/>
      <c r="F483" s="8"/>
      <c r="G483" s="9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6.5" x14ac:dyDescent="0.25">
      <c r="A484" s="66"/>
      <c r="B484" s="9"/>
      <c r="C484" s="8"/>
      <c r="D484" s="8"/>
      <c r="E484" s="8"/>
      <c r="F484" s="8"/>
      <c r="G484" s="9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6.5" x14ac:dyDescent="0.25">
      <c r="A485" s="66"/>
      <c r="B485" s="9"/>
      <c r="C485" s="8"/>
      <c r="D485" s="8"/>
      <c r="E485" s="8"/>
      <c r="F485" s="8"/>
      <c r="G485" s="9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6.5" x14ac:dyDescent="0.25">
      <c r="A486" s="66"/>
      <c r="B486" s="9"/>
      <c r="C486" s="8"/>
      <c r="D486" s="8"/>
      <c r="E486" s="8"/>
      <c r="F486" s="8"/>
      <c r="G486" s="9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6.5" x14ac:dyDescent="0.25">
      <c r="A487" s="66"/>
      <c r="B487" s="9"/>
      <c r="C487" s="8"/>
      <c r="D487" s="8"/>
      <c r="E487" s="8"/>
      <c r="F487" s="8"/>
      <c r="G487" s="9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6.5" x14ac:dyDescent="0.25">
      <c r="A488" s="66"/>
      <c r="B488" s="9"/>
      <c r="C488" s="8"/>
      <c r="D488" s="8"/>
      <c r="E488" s="8"/>
      <c r="F488" s="8"/>
      <c r="G488" s="9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6.5" x14ac:dyDescent="0.25">
      <c r="A489" s="66"/>
      <c r="B489" s="9"/>
      <c r="C489" s="8"/>
      <c r="D489" s="8"/>
      <c r="E489" s="8"/>
      <c r="F489" s="8"/>
      <c r="G489" s="9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6.5" x14ac:dyDescent="0.25">
      <c r="A490" s="66"/>
      <c r="B490" s="9"/>
      <c r="C490" s="8"/>
      <c r="D490" s="8"/>
      <c r="E490" s="8"/>
      <c r="F490" s="8"/>
      <c r="G490" s="9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6.5" x14ac:dyDescent="0.25">
      <c r="A491" s="66"/>
      <c r="B491" s="9"/>
      <c r="C491" s="8"/>
      <c r="D491" s="8"/>
      <c r="E491" s="8"/>
      <c r="F491" s="8"/>
      <c r="G491" s="9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6.5" x14ac:dyDescent="0.25">
      <c r="A492" s="66"/>
      <c r="B492" s="9"/>
      <c r="C492" s="8"/>
      <c r="D492" s="8"/>
      <c r="E492" s="8"/>
      <c r="F492" s="8"/>
      <c r="G492" s="9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6.5" x14ac:dyDescent="0.25">
      <c r="A493" s="66"/>
      <c r="B493" s="9"/>
      <c r="C493" s="8"/>
      <c r="D493" s="8"/>
      <c r="E493" s="8"/>
      <c r="F493" s="8"/>
      <c r="G493" s="9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6.5" x14ac:dyDescent="0.25">
      <c r="A494" s="66"/>
      <c r="B494" s="9"/>
      <c r="C494" s="8"/>
      <c r="D494" s="8"/>
      <c r="E494" s="8"/>
      <c r="F494" s="8"/>
      <c r="G494" s="9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6.5" x14ac:dyDescent="0.25">
      <c r="A495" s="66"/>
      <c r="B495" s="9"/>
      <c r="C495" s="8"/>
      <c r="D495" s="8"/>
      <c r="E495" s="8"/>
      <c r="F495" s="8"/>
      <c r="G495" s="9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6.5" x14ac:dyDescent="0.25">
      <c r="A496" s="66"/>
      <c r="B496" s="9"/>
      <c r="C496" s="8"/>
      <c r="D496" s="8"/>
      <c r="E496" s="8"/>
      <c r="F496" s="8"/>
      <c r="G496" s="9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6.5" x14ac:dyDescent="0.25">
      <c r="A497" s="66"/>
      <c r="B497" s="9"/>
      <c r="C497" s="8"/>
      <c r="D497" s="8"/>
      <c r="E497" s="8"/>
      <c r="F497" s="8"/>
      <c r="G497" s="9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6.5" x14ac:dyDescent="0.25">
      <c r="A498" s="66"/>
      <c r="B498" s="9"/>
      <c r="C498" s="8"/>
      <c r="D498" s="8"/>
      <c r="E498" s="8"/>
      <c r="F498" s="8"/>
      <c r="G498" s="9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6.5" x14ac:dyDescent="0.25">
      <c r="A499" s="66"/>
      <c r="B499" s="9"/>
      <c r="C499" s="8"/>
      <c r="D499" s="8"/>
      <c r="E499" s="8"/>
      <c r="F499" s="8"/>
      <c r="G499" s="9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6.5" x14ac:dyDescent="0.25">
      <c r="A500" s="66"/>
      <c r="B500" s="9"/>
      <c r="C500" s="8"/>
      <c r="D500" s="8"/>
      <c r="E500" s="8"/>
      <c r="F500" s="8"/>
      <c r="G500" s="9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6.5" x14ac:dyDescent="0.25">
      <c r="A501" s="66"/>
      <c r="B501" s="9"/>
      <c r="C501" s="8"/>
      <c r="D501" s="8"/>
      <c r="E501" s="8"/>
      <c r="F501" s="8"/>
      <c r="G501" s="9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6.5" x14ac:dyDescent="0.25">
      <c r="A502" s="66"/>
      <c r="B502" s="9"/>
      <c r="C502" s="8"/>
      <c r="D502" s="8"/>
      <c r="E502" s="8"/>
      <c r="F502" s="8"/>
      <c r="G502" s="9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6.5" x14ac:dyDescent="0.25">
      <c r="A503" s="66"/>
      <c r="B503" s="9"/>
      <c r="C503" s="8"/>
      <c r="D503" s="8"/>
      <c r="E503" s="8"/>
      <c r="F503" s="8"/>
      <c r="G503" s="9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6.5" x14ac:dyDescent="0.25">
      <c r="A504" s="66"/>
      <c r="B504" s="9"/>
      <c r="C504" s="8"/>
      <c r="D504" s="8"/>
      <c r="E504" s="8"/>
      <c r="F504" s="8"/>
      <c r="G504" s="9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6.5" x14ac:dyDescent="0.25">
      <c r="A505" s="66"/>
      <c r="B505" s="9"/>
      <c r="C505" s="8"/>
      <c r="D505" s="8"/>
      <c r="E505" s="8"/>
      <c r="F505" s="8"/>
      <c r="G505" s="9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6.5" x14ac:dyDescent="0.25">
      <c r="A506" s="66"/>
      <c r="B506" s="9"/>
      <c r="C506" s="8"/>
      <c r="D506" s="8"/>
      <c r="E506" s="8"/>
      <c r="F506" s="8"/>
      <c r="G506" s="9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6.5" x14ac:dyDescent="0.25">
      <c r="A507" s="66"/>
      <c r="B507" s="9"/>
      <c r="C507" s="8"/>
      <c r="D507" s="8"/>
      <c r="E507" s="8"/>
      <c r="F507" s="8"/>
      <c r="G507" s="9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6.5" x14ac:dyDescent="0.25">
      <c r="A508" s="66"/>
      <c r="B508" s="9"/>
      <c r="C508" s="8"/>
      <c r="D508" s="8"/>
      <c r="E508" s="8"/>
      <c r="F508" s="8"/>
      <c r="G508" s="9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6.5" x14ac:dyDescent="0.25">
      <c r="A509" s="66"/>
      <c r="B509" s="9"/>
      <c r="C509" s="8"/>
      <c r="D509" s="8"/>
      <c r="E509" s="8"/>
      <c r="F509" s="8"/>
      <c r="G509" s="9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6.5" x14ac:dyDescent="0.25">
      <c r="A510" s="66"/>
      <c r="B510" s="9"/>
      <c r="C510" s="8"/>
      <c r="D510" s="8"/>
      <c r="E510" s="8"/>
      <c r="F510" s="8"/>
      <c r="G510" s="9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6.5" x14ac:dyDescent="0.25">
      <c r="A511" s="66"/>
      <c r="B511" s="9"/>
      <c r="C511" s="8"/>
      <c r="D511" s="8"/>
      <c r="E511" s="8"/>
      <c r="F511" s="8"/>
      <c r="G511" s="9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6.5" x14ac:dyDescent="0.25">
      <c r="A512" s="66"/>
      <c r="B512" s="9"/>
      <c r="C512" s="8"/>
      <c r="D512" s="8"/>
      <c r="E512" s="8"/>
      <c r="F512" s="8"/>
      <c r="G512" s="9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6.5" x14ac:dyDescent="0.25">
      <c r="A513" s="66"/>
      <c r="B513" s="9"/>
      <c r="C513" s="8"/>
      <c r="D513" s="8"/>
      <c r="E513" s="8"/>
      <c r="F513" s="8"/>
      <c r="G513" s="9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6.5" x14ac:dyDescent="0.25">
      <c r="A514" s="66"/>
      <c r="B514" s="9"/>
      <c r="C514" s="8"/>
      <c r="D514" s="8"/>
      <c r="E514" s="8"/>
      <c r="F514" s="8"/>
      <c r="G514" s="9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6.5" x14ac:dyDescent="0.25">
      <c r="A515" s="66"/>
      <c r="B515" s="9"/>
      <c r="C515" s="8"/>
      <c r="D515" s="8"/>
      <c r="E515" s="8"/>
      <c r="F515" s="8"/>
      <c r="G515" s="9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6.5" x14ac:dyDescent="0.25">
      <c r="A516" s="66"/>
      <c r="B516" s="9"/>
      <c r="C516" s="8"/>
      <c r="D516" s="8"/>
      <c r="E516" s="8"/>
      <c r="F516" s="8"/>
      <c r="G516" s="9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6.5" x14ac:dyDescent="0.25">
      <c r="A517" s="66"/>
      <c r="B517" s="9"/>
      <c r="C517" s="8"/>
      <c r="D517" s="8"/>
      <c r="E517" s="8"/>
      <c r="F517" s="8"/>
      <c r="G517" s="9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6.5" x14ac:dyDescent="0.25">
      <c r="A518" s="66"/>
      <c r="B518" s="9"/>
      <c r="C518" s="8"/>
      <c r="D518" s="8"/>
      <c r="E518" s="8"/>
      <c r="F518" s="8"/>
      <c r="G518" s="9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6.5" x14ac:dyDescent="0.25">
      <c r="A519" s="66"/>
      <c r="B519" s="9"/>
      <c r="C519" s="8"/>
      <c r="D519" s="8"/>
      <c r="E519" s="8"/>
      <c r="F519" s="8"/>
      <c r="G519" s="9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6.5" x14ac:dyDescent="0.25">
      <c r="A520" s="66"/>
      <c r="B520" s="9"/>
      <c r="C520" s="8"/>
      <c r="D520" s="8"/>
      <c r="E520" s="8"/>
      <c r="F520" s="8"/>
      <c r="G520" s="9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6.5" x14ac:dyDescent="0.25">
      <c r="A521" s="66"/>
      <c r="B521" s="9"/>
      <c r="C521" s="8"/>
      <c r="D521" s="8"/>
      <c r="E521" s="8"/>
      <c r="F521" s="8"/>
      <c r="G521" s="9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6.5" x14ac:dyDescent="0.25">
      <c r="A522" s="66"/>
      <c r="B522" s="9"/>
      <c r="C522" s="8"/>
      <c r="D522" s="8"/>
      <c r="E522" s="8"/>
      <c r="F522" s="8"/>
      <c r="G522" s="9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6.5" x14ac:dyDescent="0.25">
      <c r="A523" s="66"/>
      <c r="B523" s="9"/>
      <c r="C523" s="8"/>
      <c r="D523" s="8"/>
      <c r="E523" s="8"/>
      <c r="F523" s="8"/>
      <c r="G523" s="9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6.5" x14ac:dyDescent="0.25">
      <c r="A524" s="66"/>
      <c r="B524" s="9"/>
      <c r="C524" s="8"/>
      <c r="D524" s="8"/>
      <c r="E524" s="8"/>
      <c r="F524" s="8"/>
      <c r="G524" s="9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6.5" x14ac:dyDescent="0.25">
      <c r="A525" s="66"/>
      <c r="B525" s="9"/>
      <c r="C525" s="8"/>
      <c r="D525" s="8"/>
      <c r="E525" s="8"/>
      <c r="F525" s="8"/>
      <c r="G525" s="9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6.5" x14ac:dyDescent="0.25">
      <c r="A526" s="66"/>
      <c r="B526" s="9"/>
      <c r="C526" s="8"/>
      <c r="D526" s="8"/>
      <c r="E526" s="8"/>
      <c r="F526" s="8"/>
      <c r="G526" s="9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6.5" x14ac:dyDescent="0.25">
      <c r="A527" s="66"/>
      <c r="B527" s="9"/>
      <c r="C527" s="8"/>
      <c r="D527" s="8"/>
      <c r="E527" s="8"/>
      <c r="F527" s="8"/>
      <c r="G527" s="9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6.5" x14ac:dyDescent="0.25">
      <c r="A528" s="66"/>
      <c r="B528" s="9"/>
      <c r="C528" s="8"/>
      <c r="D528" s="8"/>
      <c r="E528" s="8"/>
      <c r="F528" s="8"/>
      <c r="G528" s="9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6.5" x14ac:dyDescent="0.25">
      <c r="A529" s="66"/>
      <c r="B529" s="9"/>
      <c r="C529" s="8"/>
      <c r="D529" s="8"/>
      <c r="E529" s="8"/>
      <c r="F529" s="8"/>
      <c r="G529" s="9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6.5" x14ac:dyDescent="0.25">
      <c r="A530" s="66"/>
      <c r="B530" s="9"/>
      <c r="C530" s="8"/>
      <c r="D530" s="8"/>
      <c r="E530" s="8"/>
      <c r="F530" s="8"/>
      <c r="G530" s="9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6.5" x14ac:dyDescent="0.25">
      <c r="A531" s="66"/>
      <c r="B531" s="9"/>
      <c r="C531" s="8"/>
      <c r="D531" s="8"/>
      <c r="E531" s="8"/>
      <c r="F531" s="8"/>
      <c r="G531" s="9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6.5" x14ac:dyDescent="0.25">
      <c r="A532" s="66"/>
      <c r="B532" s="9"/>
      <c r="C532" s="8"/>
      <c r="D532" s="8"/>
      <c r="E532" s="8"/>
      <c r="F532" s="8"/>
      <c r="G532" s="9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6.5" x14ac:dyDescent="0.25">
      <c r="A533" s="66"/>
      <c r="B533" s="9"/>
      <c r="C533" s="8"/>
      <c r="D533" s="8"/>
      <c r="E533" s="8"/>
      <c r="F533" s="8"/>
      <c r="G533" s="9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6.5" x14ac:dyDescent="0.25">
      <c r="A534" s="66"/>
      <c r="B534" s="9"/>
      <c r="C534" s="8"/>
      <c r="D534" s="8"/>
      <c r="E534" s="8"/>
      <c r="F534" s="8"/>
      <c r="G534" s="9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6.5" x14ac:dyDescent="0.25">
      <c r="A535" s="66"/>
      <c r="B535" s="9"/>
      <c r="C535" s="8"/>
      <c r="D535" s="8"/>
      <c r="E535" s="8"/>
      <c r="F535" s="8"/>
      <c r="G535" s="9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6.5" x14ac:dyDescent="0.25">
      <c r="A536" s="66"/>
      <c r="B536" s="9"/>
      <c r="C536" s="8"/>
      <c r="D536" s="8"/>
      <c r="E536" s="8"/>
      <c r="F536" s="8"/>
      <c r="G536" s="9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6.5" x14ac:dyDescent="0.25">
      <c r="A537" s="66"/>
      <c r="B537" s="9"/>
      <c r="C537" s="8"/>
      <c r="D537" s="8"/>
      <c r="E537" s="8"/>
      <c r="F537" s="8"/>
      <c r="G537" s="9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6.5" x14ac:dyDescent="0.25">
      <c r="A538" s="66"/>
      <c r="B538" s="9"/>
      <c r="C538" s="8"/>
      <c r="D538" s="8"/>
      <c r="E538" s="8"/>
      <c r="F538" s="8"/>
      <c r="G538" s="9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6.5" x14ac:dyDescent="0.25">
      <c r="A539" s="66"/>
      <c r="B539" s="9"/>
      <c r="C539" s="8"/>
      <c r="D539" s="8"/>
      <c r="E539" s="8"/>
      <c r="F539" s="8"/>
      <c r="G539" s="9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6.5" x14ac:dyDescent="0.25">
      <c r="A540" s="66"/>
      <c r="B540" s="9"/>
      <c r="C540" s="8"/>
      <c r="D540" s="8"/>
      <c r="E540" s="8"/>
      <c r="F540" s="8"/>
      <c r="G540" s="9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6.5" x14ac:dyDescent="0.25">
      <c r="A541" s="66"/>
      <c r="B541" s="9"/>
      <c r="C541" s="8"/>
      <c r="D541" s="8"/>
      <c r="E541" s="8"/>
      <c r="F541" s="8"/>
      <c r="G541" s="9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6.5" x14ac:dyDescent="0.25">
      <c r="A542" s="66"/>
      <c r="B542" s="9"/>
      <c r="C542" s="8"/>
      <c r="D542" s="8"/>
      <c r="E542" s="8"/>
      <c r="F542" s="8"/>
      <c r="G542" s="9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6.5" x14ac:dyDescent="0.25">
      <c r="A543" s="66"/>
      <c r="B543" s="9"/>
      <c r="C543" s="8"/>
      <c r="D543" s="8"/>
      <c r="E543" s="8"/>
      <c r="F543" s="8"/>
      <c r="G543" s="9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6.5" x14ac:dyDescent="0.25">
      <c r="A544" s="66"/>
      <c r="B544" s="9"/>
      <c r="C544" s="8"/>
      <c r="D544" s="8"/>
      <c r="E544" s="8"/>
      <c r="F544" s="8"/>
      <c r="G544" s="9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6.5" x14ac:dyDescent="0.25">
      <c r="A545" s="66"/>
      <c r="B545" s="9"/>
      <c r="C545" s="8"/>
      <c r="D545" s="8"/>
      <c r="E545" s="8"/>
      <c r="F545" s="8"/>
      <c r="G545" s="9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6.5" x14ac:dyDescent="0.25">
      <c r="A546" s="66"/>
      <c r="B546" s="9"/>
      <c r="C546" s="8"/>
      <c r="D546" s="8"/>
      <c r="E546" s="8"/>
      <c r="F546" s="8"/>
      <c r="G546" s="9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6.5" x14ac:dyDescent="0.25">
      <c r="A547" s="66"/>
      <c r="B547" s="9"/>
      <c r="C547" s="8"/>
      <c r="D547" s="8"/>
      <c r="E547" s="8"/>
      <c r="F547" s="8"/>
      <c r="G547" s="9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6.5" x14ac:dyDescent="0.25">
      <c r="A548" s="66"/>
      <c r="B548" s="9"/>
      <c r="C548" s="8"/>
      <c r="D548" s="8"/>
      <c r="E548" s="8"/>
      <c r="F548" s="8"/>
      <c r="G548" s="9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6.5" x14ac:dyDescent="0.25">
      <c r="A549" s="66"/>
      <c r="B549" s="9"/>
      <c r="C549" s="8"/>
      <c r="D549" s="8"/>
      <c r="E549" s="8"/>
      <c r="F549" s="8"/>
      <c r="G549" s="9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6.5" x14ac:dyDescent="0.25">
      <c r="A550" s="66"/>
      <c r="B550" s="9"/>
      <c r="C550" s="8"/>
      <c r="D550" s="8"/>
      <c r="E550" s="8"/>
      <c r="F550" s="8"/>
      <c r="G550" s="9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6.5" x14ac:dyDescent="0.25">
      <c r="A551" s="66"/>
      <c r="B551" s="9"/>
      <c r="C551" s="8"/>
      <c r="D551" s="8"/>
      <c r="E551" s="8"/>
      <c r="F551" s="8"/>
      <c r="G551" s="9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6.5" x14ac:dyDescent="0.25">
      <c r="A552" s="66"/>
      <c r="B552" s="9"/>
      <c r="C552" s="8"/>
      <c r="D552" s="8"/>
      <c r="E552" s="8"/>
      <c r="F552" s="8"/>
      <c r="G552" s="9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6.5" x14ac:dyDescent="0.25">
      <c r="A553" s="66"/>
      <c r="B553" s="9"/>
      <c r="C553" s="8"/>
      <c r="D553" s="8"/>
      <c r="E553" s="8"/>
      <c r="F553" s="8"/>
      <c r="G553" s="9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6.5" x14ac:dyDescent="0.25">
      <c r="A554" s="66"/>
      <c r="B554" s="9"/>
      <c r="C554" s="8"/>
      <c r="D554" s="8"/>
      <c r="E554" s="8"/>
      <c r="F554" s="8"/>
      <c r="G554" s="9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6.5" x14ac:dyDescent="0.25">
      <c r="A555" s="66"/>
      <c r="B555" s="9"/>
      <c r="C555" s="8"/>
      <c r="D555" s="8"/>
      <c r="E555" s="8"/>
      <c r="F555" s="8"/>
      <c r="G555" s="9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6.5" x14ac:dyDescent="0.25">
      <c r="A556" s="66"/>
      <c r="B556" s="9"/>
      <c r="C556" s="8"/>
      <c r="D556" s="8"/>
      <c r="E556" s="8"/>
      <c r="F556" s="8"/>
      <c r="G556" s="9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6.5" x14ac:dyDescent="0.25">
      <c r="A557" s="66"/>
      <c r="B557" s="9"/>
      <c r="C557" s="8"/>
      <c r="D557" s="8"/>
      <c r="E557" s="8"/>
      <c r="F557" s="8"/>
      <c r="G557" s="9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6.5" x14ac:dyDescent="0.25">
      <c r="A558" s="66"/>
      <c r="B558" s="9"/>
      <c r="C558" s="8"/>
      <c r="D558" s="8"/>
      <c r="E558" s="8"/>
      <c r="F558" s="8"/>
      <c r="G558" s="9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6.5" x14ac:dyDescent="0.25">
      <c r="A559" s="66"/>
      <c r="B559" s="9"/>
      <c r="C559" s="8"/>
      <c r="D559" s="8"/>
      <c r="E559" s="8"/>
      <c r="F559" s="8"/>
      <c r="G559" s="9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6.5" x14ac:dyDescent="0.25">
      <c r="A560" s="66"/>
      <c r="B560" s="9"/>
      <c r="C560" s="8"/>
      <c r="D560" s="8"/>
      <c r="E560" s="8"/>
      <c r="F560" s="8"/>
      <c r="G560" s="9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6.5" x14ac:dyDescent="0.25">
      <c r="A561" s="66"/>
      <c r="B561" s="9"/>
      <c r="C561" s="8"/>
      <c r="D561" s="8"/>
      <c r="E561" s="8"/>
      <c r="F561" s="8"/>
      <c r="G561" s="9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6.5" x14ac:dyDescent="0.25">
      <c r="A562" s="66"/>
      <c r="B562" s="9"/>
      <c r="C562" s="8"/>
      <c r="D562" s="8"/>
      <c r="E562" s="8"/>
      <c r="F562" s="8"/>
      <c r="G562" s="9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6.5" x14ac:dyDescent="0.25">
      <c r="A563" s="66"/>
      <c r="B563" s="9"/>
      <c r="C563" s="8"/>
      <c r="D563" s="8"/>
      <c r="E563" s="8"/>
      <c r="F563" s="8"/>
      <c r="G563" s="9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6.5" x14ac:dyDescent="0.25">
      <c r="A564" s="66"/>
      <c r="B564" s="9"/>
      <c r="C564" s="8"/>
      <c r="D564" s="8"/>
      <c r="E564" s="8"/>
      <c r="F564" s="8"/>
      <c r="G564" s="9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6.5" x14ac:dyDescent="0.25">
      <c r="A565" s="66"/>
      <c r="B565" s="9"/>
      <c r="C565" s="8"/>
      <c r="D565" s="8"/>
      <c r="E565" s="8"/>
      <c r="F565" s="8"/>
      <c r="G565" s="9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6.5" x14ac:dyDescent="0.25">
      <c r="A566" s="66"/>
      <c r="B566" s="9"/>
      <c r="C566" s="8"/>
      <c r="D566" s="8"/>
      <c r="E566" s="8"/>
      <c r="F566" s="8"/>
      <c r="G566" s="9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6.5" x14ac:dyDescent="0.25">
      <c r="A567" s="66"/>
      <c r="B567" s="9"/>
      <c r="C567" s="8"/>
      <c r="D567" s="8"/>
      <c r="E567" s="8"/>
      <c r="F567" s="8"/>
      <c r="G567" s="9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6.5" x14ac:dyDescent="0.25">
      <c r="A568" s="66"/>
      <c r="B568" s="9"/>
      <c r="C568" s="8"/>
      <c r="D568" s="8"/>
      <c r="E568" s="8"/>
      <c r="F568" s="8"/>
      <c r="G568" s="9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6.5" x14ac:dyDescent="0.25">
      <c r="A569" s="66"/>
      <c r="B569" s="9"/>
      <c r="C569" s="8"/>
      <c r="D569" s="8"/>
      <c r="E569" s="8"/>
      <c r="F569" s="8"/>
      <c r="G569" s="9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6.5" x14ac:dyDescent="0.25">
      <c r="A570" s="66"/>
      <c r="B570" s="9"/>
      <c r="C570" s="8"/>
      <c r="D570" s="8"/>
      <c r="E570" s="8"/>
      <c r="F570" s="8"/>
      <c r="G570" s="9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6.5" x14ac:dyDescent="0.25">
      <c r="A571" s="66"/>
      <c r="B571" s="9"/>
      <c r="C571" s="8"/>
      <c r="D571" s="8"/>
      <c r="E571" s="8"/>
      <c r="F571" s="8"/>
      <c r="G571" s="9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6.5" x14ac:dyDescent="0.25">
      <c r="A572" s="66"/>
      <c r="B572" s="9"/>
      <c r="C572" s="8"/>
      <c r="D572" s="8"/>
      <c r="E572" s="8"/>
      <c r="F572" s="8"/>
      <c r="G572" s="9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6.5" x14ac:dyDescent="0.25">
      <c r="A573" s="66"/>
      <c r="B573" s="9"/>
      <c r="C573" s="8"/>
      <c r="D573" s="8"/>
      <c r="E573" s="8"/>
      <c r="F573" s="8"/>
      <c r="G573" s="9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6.5" x14ac:dyDescent="0.25">
      <c r="A574" s="66"/>
      <c r="B574" s="9"/>
      <c r="C574" s="8"/>
      <c r="D574" s="8"/>
      <c r="E574" s="8"/>
      <c r="F574" s="8"/>
      <c r="G574" s="9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6.5" x14ac:dyDescent="0.25">
      <c r="A575" s="66"/>
      <c r="B575" s="9"/>
      <c r="C575" s="8"/>
      <c r="D575" s="8"/>
      <c r="E575" s="8"/>
      <c r="F575" s="8"/>
      <c r="G575" s="9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6.5" x14ac:dyDescent="0.25">
      <c r="A576" s="66"/>
      <c r="B576" s="9"/>
      <c r="C576" s="8"/>
      <c r="D576" s="8"/>
      <c r="E576" s="8"/>
      <c r="F576" s="8"/>
      <c r="G576" s="9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6.5" x14ac:dyDescent="0.25">
      <c r="A577" s="66"/>
      <c r="B577" s="9"/>
      <c r="C577" s="8"/>
      <c r="D577" s="8"/>
      <c r="E577" s="8"/>
      <c r="F577" s="8"/>
      <c r="G577" s="9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6.5" x14ac:dyDescent="0.25">
      <c r="A578" s="66"/>
      <c r="B578" s="9"/>
      <c r="C578" s="8"/>
      <c r="D578" s="8"/>
      <c r="E578" s="8"/>
      <c r="F578" s="8"/>
      <c r="G578" s="9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6.5" x14ac:dyDescent="0.25">
      <c r="A579" s="66"/>
      <c r="B579" s="9"/>
      <c r="C579" s="8"/>
      <c r="D579" s="8"/>
      <c r="E579" s="8"/>
      <c r="F579" s="8"/>
      <c r="G579" s="9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6.5" x14ac:dyDescent="0.25">
      <c r="A580" s="66"/>
      <c r="B580" s="9"/>
      <c r="C580" s="8"/>
      <c r="D580" s="8"/>
      <c r="E580" s="8"/>
      <c r="F580" s="8"/>
      <c r="G580" s="9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6.5" x14ac:dyDescent="0.25">
      <c r="A581" s="66"/>
      <c r="B581" s="9"/>
      <c r="C581" s="8"/>
      <c r="D581" s="8"/>
      <c r="E581" s="8"/>
      <c r="F581" s="8"/>
      <c r="G581" s="9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6.5" x14ac:dyDescent="0.25">
      <c r="A582" s="66"/>
      <c r="B582" s="9"/>
      <c r="C582" s="8"/>
      <c r="D582" s="8"/>
      <c r="E582" s="8"/>
      <c r="F582" s="8"/>
      <c r="G582" s="9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6.5" x14ac:dyDescent="0.25">
      <c r="A583" s="66"/>
      <c r="B583" s="9"/>
      <c r="C583" s="8"/>
      <c r="D583" s="8"/>
      <c r="E583" s="8"/>
      <c r="F583" s="8"/>
      <c r="G583" s="9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6.5" x14ac:dyDescent="0.25">
      <c r="A584" s="66"/>
      <c r="B584" s="9"/>
      <c r="C584" s="8"/>
      <c r="D584" s="8"/>
      <c r="E584" s="8"/>
      <c r="F584" s="8"/>
      <c r="G584" s="9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6.5" x14ac:dyDescent="0.25">
      <c r="A585" s="66"/>
      <c r="B585" s="9"/>
      <c r="C585" s="8"/>
      <c r="D585" s="8"/>
      <c r="E585" s="8"/>
      <c r="F585" s="8"/>
      <c r="G585" s="9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6.5" x14ac:dyDescent="0.25">
      <c r="A586" s="66"/>
      <c r="B586" s="9"/>
      <c r="C586" s="8"/>
      <c r="D586" s="8"/>
      <c r="E586" s="8"/>
      <c r="F586" s="8"/>
      <c r="G586" s="9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6.5" x14ac:dyDescent="0.25">
      <c r="A587" s="66"/>
      <c r="B587" s="9"/>
      <c r="C587" s="8"/>
      <c r="D587" s="8"/>
      <c r="E587" s="8"/>
      <c r="F587" s="8"/>
      <c r="G587" s="9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6.5" x14ac:dyDescent="0.25">
      <c r="A588" s="66"/>
      <c r="B588" s="9"/>
      <c r="C588" s="8"/>
      <c r="D588" s="8"/>
      <c r="E588" s="8"/>
      <c r="F588" s="8"/>
      <c r="G588" s="9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6.5" x14ac:dyDescent="0.25">
      <c r="A589" s="66"/>
      <c r="B589" s="9"/>
      <c r="C589" s="8"/>
      <c r="D589" s="8"/>
      <c r="E589" s="8"/>
      <c r="F589" s="8"/>
      <c r="G589" s="9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6.5" x14ac:dyDescent="0.25">
      <c r="A590" s="66"/>
      <c r="B590" s="9"/>
      <c r="C590" s="8"/>
      <c r="D590" s="8"/>
      <c r="E590" s="8"/>
      <c r="F590" s="8"/>
      <c r="G590" s="9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6.5" x14ac:dyDescent="0.25">
      <c r="A591" s="66"/>
      <c r="B591" s="9"/>
      <c r="C591" s="8"/>
      <c r="D591" s="8"/>
      <c r="E591" s="8"/>
      <c r="F591" s="8"/>
      <c r="G591" s="9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6.5" x14ac:dyDescent="0.25">
      <c r="A592" s="66"/>
      <c r="B592" s="9"/>
      <c r="C592" s="8"/>
      <c r="D592" s="8"/>
      <c r="E592" s="8"/>
      <c r="F592" s="8"/>
      <c r="G592" s="9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6.5" x14ac:dyDescent="0.25">
      <c r="A593" s="66"/>
      <c r="B593" s="9"/>
      <c r="C593" s="8"/>
      <c r="D593" s="8"/>
      <c r="E593" s="8"/>
      <c r="F593" s="8"/>
      <c r="G593" s="9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6.5" x14ac:dyDescent="0.25">
      <c r="A594" s="66"/>
      <c r="B594" s="9"/>
      <c r="C594" s="8"/>
      <c r="D594" s="8"/>
      <c r="E594" s="8"/>
      <c r="F594" s="8"/>
      <c r="G594" s="9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6.5" x14ac:dyDescent="0.25">
      <c r="A595" s="66"/>
      <c r="B595" s="9"/>
      <c r="C595" s="8"/>
      <c r="D595" s="8"/>
      <c r="E595" s="8"/>
      <c r="F595" s="8"/>
      <c r="G595" s="9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6.5" x14ac:dyDescent="0.25">
      <c r="A596" s="66"/>
      <c r="B596" s="9"/>
      <c r="C596" s="8"/>
      <c r="D596" s="8"/>
      <c r="E596" s="8"/>
      <c r="F596" s="8"/>
      <c r="G596" s="9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6.5" x14ac:dyDescent="0.25">
      <c r="A597" s="66"/>
      <c r="B597" s="9"/>
      <c r="C597" s="8"/>
      <c r="D597" s="8"/>
      <c r="E597" s="8"/>
      <c r="F597" s="8"/>
      <c r="G597" s="9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6.5" x14ac:dyDescent="0.25">
      <c r="A598" s="66"/>
      <c r="B598" s="9"/>
      <c r="C598" s="8"/>
      <c r="D598" s="8"/>
      <c r="E598" s="8"/>
      <c r="F598" s="8"/>
      <c r="G598" s="9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6.5" x14ac:dyDescent="0.25">
      <c r="A599" s="66"/>
      <c r="B599" s="9"/>
      <c r="C599" s="8"/>
      <c r="D599" s="8"/>
      <c r="E599" s="8"/>
      <c r="F599" s="8"/>
      <c r="G599" s="9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6.5" x14ac:dyDescent="0.25">
      <c r="A600" s="66"/>
      <c r="B600" s="9"/>
      <c r="C600" s="8"/>
      <c r="D600" s="8"/>
      <c r="E600" s="8"/>
      <c r="F600" s="8"/>
      <c r="G600" s="9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6.5" x14ac:dyDescent="0.25">
      <c r="A601" s="66"/>
      <c r="B601" s="9"/>
      <c r="C601" s="8"/>
      <c r="D601" s="8"/>
      <c r="E601" s="8"/>
      <c r="F601" s="8"/>
      <c r="G601" s="9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6.5" x14ac:dyDescent="0.25">
      <c r="A602" s="66"/>
      <c r="B602" s="9"/>
      <c r="C602" s="8"/>
      <c r="D602" s="8"/>
      <c r="E602" s="8"/>
      <c r="F602" s="8"/>
      <c r="G602" s="9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6.5" x14ac:dyDescent="0.25">
      <c r="A603" s="66"/>
      <c r="B603" s="9"/>
      <c r="C603" s="8"/>
      <c r="D603" s="8"/>
      <c r="E603" s="8"/>
      <c r="F603" s="8"/>
      <c r="G603" s="9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6.5" x14ac:dyDescent="0.25">
      <c r="A604" s="66"/>
      <c r="B604" s="9"/>
      <c r="C604" s="8"/>
      <c r="D604" s="8"/>
      <c r="E604" s="8"/>
      <c r="F604" s="8"/>
      <c r="G604" s="9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6.5" x14ac:dyDescent="0.25">
      <c r="A605" s="66"/>
      <c r="B605" s="9"/>
      <c r="C605" s="8"/>
      <c r="D605" s="8"/>
      <c r="E605" s="8"/>
      <c r="F605" s="8"/>
      <c r="G605" s="9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6.5" x14ac:dyDescent="0.25">
      <c r="A606" s="66"/>
      <c r="B606" s="9"/>
      <c r="C606" s="8"/>
      <c r="D606" s="8"/>
      <c r="E606" s="8"/>
      <c r="F606" s="8"/>
      <c r="G606" s="9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6.5" x14ac:dyDescent="0.25">
      <c r="A607" s="66"/>
      <c r="B607" s="9"/>
      <c r="C607" s="8"/>
      <c r="D607" s="8"/>
      <c r="E607" s="8"/>
      <c r="F607" s="8"/>
      <c r="G607" s="9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6.5" x14ac:dyDescent="0.25">
      <c r="A608" s="66"/>
      <c r="B608" s="9"/>
      <c r="C608" s="8"/>
      <c r="D608" s="8"/>
      <c r="E608" s="8"/>
      <c r="F608" s="8"/>
      <c r="G608" s="9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6.5" x14ac:dyDescent="0.25">
      <c r="A609" s="66"/>
      <c r="B609" s="9"/>
      <c r="C609" s="8"/>
      <c r="D609" s="8"/>
      <c r="E609" s="8"/>
      <c r="F609" s="8"/>
      <c r="G609" s="9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6.5" x14ac:dyDescent="0.25">
      <c r="A610" s="66"/>
      <c r="B610" s="9"/>
      <c r="C610" s="8"/>
      <c r="D610" s="8"/>
      <c r="E610" s="8"/>
      <c r="F610" s="8"/>
      <c r="G610" s="9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6.5" x14ac:dyDescent="0.25">
      <c r="A611" s="66"/>
      <c r="B611" s="9"/>
      <c r="C611" s="8"/>
      <c r="D611" s="8"/>
      <c r="E611" s="8"/>
      <c r="F611" s="8"/>
      <c r="G611" s="9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6.5" x14ac:dyDescent="0.25">
      <c r="A612" s="66"/>
      <c r="B612" s="9"/>
      <c r="C612" s="8"/>
      <c r="D612" s="8"/>
      <c r="E612" s="8"/>
      <c r="F612" s="8"/>
      <c r="G612" s="9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6.5" x14ac:dyDescent="0.25">
      <c r="A613" s="66"/>
      <c r="B613" s="9"/>
      <c r="C613" s="8"/>
      <c r="D613" s="8"/>
      <c r="E613" s="8"/>
      <c r="F613" s="8"/>
      <c r="G613" s="9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6.5" x14ac:dyDescent="0.25">
      <c r="A614" s="66"/>
      <c r="B614" s="9"/>
      <c r="C614" s="8"/>
      <c r="D614" s="8"/>
      <c r="E614" s="8"/>
      <c r="F614" s="8"/>
      <c r="G614" s="9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6.5" x14ac:dyDescent="0.25">
      <c r="A615" s="66"/>
      <c r="B615" s="9"/>
      <c r="C615" s="8"/>
      <c r="D615" s="8"/>
      <c r="E615" s="8"/>
      <c r="F615" s="8"/>
      <c r="G615" s="9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6.5" x14ac:dyDescent="0.25">
      <c r="A616" s="66"/>
      <c r="B616" s="9"/>
      <c r="C616" s="8"/>
      <c r="D616" s="8"/>
      <c r="E616" s="8"/>
      <c r="F616" s="8"/>
      <c r="G616" s="9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6.5" x14ac:dyDescent="0.25">
      <c r="A617" s="66"/>
      <c r="B617" s="9"/>
      <c r="C617" s="8"/>
      <c r="D617" s="8"/>
      <c r="E617" s="8"/>
      <c r="F617" s="8"/>
      <c r="G617" s="9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6.5" x14ac:dyDescent="0.25">
      <c r="A618" s="66"/>
      <c r="B618" s="9"/>
      <c r="C618" s="8"/>
      <c r="D618" s="8"/>
      <c r="E618" s="8"/>
      <c r="F618" s="8"/>
      <c r="G618" s="9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6.5" x14ac:dyDescent="0.25">
      <c r="A619" s="66"/>
      <c r="B619" s="9"/>
      <c r="C619" s="8"/>
      <c r="D619" s="8"/>
      <c r="E619" s="8"/>
      <c r="F619" s="8"/>
      <c r="G619" s="9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6.5" x14ac:dyDescent="0.25">
      <c r="A620" s="66"/>
      <c r="B620" s="9"/>
      <c r="C620" s="8"/>
      <c r="D620" s="8"/>
      <c r="E620" s="8"/>
      <c r="F620" s="8"/>
      <c r="G620" s="9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6.5" x14ac:dyDescent="0.25">
      <c r="A621" s="66"/>
      <c r="B621" s="9"/>
      <c r="C621" s="8"/>
      <c r="D621" s="8"/>
      <c r="E621" s="8"/>
      <c r="F621" s="8"/>
      <c r="G621" s="9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6.5" x14ac:dyDescent="0.25">
      <c r="A622" s="66"/>
      <c r="B622" s="9"/>
      <c r="C622" s="8"/>
      <c r="D622" s="8"/>
      <c r="E622" s="8"/>
      <c r="F622" s="8"/>
      <c r="G622" s="9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6.5" x14ac:dyDescent="0.25">
      <c r="A623" s="66"/>
      <c r="B623" s="9"/>
      <c r="C623" s="8"/>
      <c r="D623" s="8"/>
      <c r="E623" s="8"/>
      <c r="F623" s="8"/>
      <c r="G623" s="9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6.5" x14ac:dyDescent="0.25">
      <c r="A624" s="66"/>
      <c r="B624" s="9"/>
      <c r="C624" s="8"/>
      <c r="D624" s="8"/>
      <c r="E624" s="8"/>
      <c r="F624" s="8"/>
      <c r="G624" s="9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6.5" x14ac:dyDescent="0.25">
      <c r="A625" s="66"/>
      <c r="B625" s="9"/>
      <c r="C625" s="8"/>
      <c r="D625" s="8"/>
      <c r="E625" s="8"/>
      <c r="F625" s="8"/>
      <c r="G625" s="9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6.5" x14ac:dyDescent="0.25">
      <c r="A626" s="66"/>
      <c r="B626" s="9"/>
      <c r="C626" s="8"/>
      <c r="D626" s="8"/>
      <c r="E626" s="8"/>
      <c r="F626" s="8"/>
      <c r="G626" s="9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6.5" x14ac:dyDescent="0.25">
      <c r="A627" s="66"/>
      <c r="B627" s="9"/>
      <c r="C627" s="8"/>
      <c r="D627" s="8"/>
      <c r="E627" s="8"/>
      <c r="F627" s="8"/>
      <c r="G627" s="9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6.5" x14ac:dyDescent="0.25">
      <c r="A628" s="66"/>
      <c r="B628" s="9"/>
      <c r="C628" s="8"/>
      <c r="D628" s="8"/>
      <c r="E628" s="8"/>
      <c r="F628" s="8"/>
      <c r="G628" s="9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6.5" x14ac:dyDescent="0.25">
      <c r="A629" s="66"/>
      <c r="B629" s="9"/>
      <c r="C629" s="8"/>
      <c r="D629" s="8"/>
      <c r="E629" s="8"/>
      <c r="F629" s="8"/>
      <c r="G629" s="9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6.5" x14ac:dyDescent="0.25">
      <c r="A630" s="66"/>
      <c r="B630" s="9"/>
      <c r="C630" s="8"/>
      <c r="D630" s="8"/>
      <c r="E630" s="8"/>
      <c r="F630" s="8"/>
      <c r="G630" s="9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6.5" x14ac:dyDescent="0.25">
      <c r="A631" s="66"/>
      <c r="B631" s="9"/>
      <c r="C631" s="8"/>
      <c r="D631" s="8"/>
      <c r="E631" s="8"/>
      <c r="F631" s="8"/>
      <c r="G631" s="9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6.5" x14ac:dyDescent="0.25">
      <c r="A632" s="66"/>
      <c r="B632" s="9"/>
      <c r="C632" s="8"/>
      <c r="D632" s="8"/>
      <c r="E632" s="8"/>
      <c r="F632" s="8"/>
      <c r="G632" s="9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6.5" x14ac:dyDescent="0.25">
      <c r="A633" s="66"/>
      <c r="B633" s="9"/>
      <c r="C633" s="8"/>
      <c r="D633" s="8"/>
      <c r="E633" s="8"/>
      <c r="F633" s="8"/>
      <c r="G633" s="9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6.5" x14ac:dyDescent="0.25">
      <c r="A634" s="66"/>
      <c r="B634" s="9"/>
      <c r="C634" s="8"/>
      <c r="D634" s="8"/>
      <c r="E634" s="8"/>
      <c r="F634" s="8"/>
      <c r="G634" s="9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6.5" x14ac:dyDescent="0.25">
      <c r="A635" s="66"/>
      <c r="B635" s="9"/>
      <c r="C635" s="8"/>
      <c r="D635" s="8"/>
      <c r="E635" s="8"/>
      <c r="F635" s="8"/>
      <c r="G635" s="9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6.5" x14ac:dyDescent="0.25">
      <c r="A636" s="66"/>
      <c r="B636" s="9"/>
      <c r="C636" s="8"/>
      <c r="D636" s="8"/>
      <c r="E636" s="8"/>
      <c r="F636" s="8"/>
      <c r="G636" s="9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6.5" x14ac:dyDescent="0.25">
      <c r="A637" s="66"/>
      <c r="B637" s="9"/>
      <c r="C637" s="8"/>
      <c r="D637" s="8"/>
      <c r="E637" s="8"/>
      <c r="F637" s="8"/>
      <c r="G637" s="9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6.5" x14ac:dyDescent="0.25">
      <c r="A638" s="66"/>
      <c r="B638" s="9"/>
      <c r="C638" s="8"/>
      <c r="D638" s="8"/>
      <c r="E638" s="8"/>
      <c r="F638" s="8"/>
      <c r="G638" s="9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6.5" x14ac:dyDescent="0.25">
      <c r="A639" s="66"/>
      <c r="B639" s="9"/>
      <c r="C639" s="8"/>
      <c r="D639" s="8"/>
      <c r="E639" s="8"/>
      <c r="F639" s="8"/>
      <c r="G639" s="9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6.5" x14ac:dyDescent="0.25">
      <c r="A640" s="66"/>
      <c r="B640" s="9"/>
      <c r="C640" s="8"/>
      <c r="D640" s="8"/>
      <c r="E640" s="8"/>
      <c r="F640" s="8"/>
      <c r="G640" s="9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6.5" x14ac:dyDescent="0.25">
      <c r="A641" s="66"/>
      <c r="B641" s="9"/>
      <c r="C641" s="8"/>
      <c r="D641" s="8"/>
      <c r="E641" s="8"/>
      <c r="F641" s="8"/>
      <c r="G641" s="9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6.5" x14ac:dyDescent="0.25">
      <c r="A642" s="66"/>
      <c r="B642" s="9"/>
      <c r="C642" s="8"/>
      <c r="D642" s="8"/>
      <c r="E642" s="8"/>
      <c r="F642" s="8"/>
      <c r="G642" s="9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6.5" x14ac:dyDescent="0.25">
      <c r="A643" s="66"/>
      <c r="B643" s="9"/>
      <c r="C643" s="8"/>
      <c r="D643" s="8"/>
      <c r="E643" s="8"/>
      <c r="F643" s="8"/>
      <c r="G643" s="9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6.5" x14ac:dyDescent="0.25">
      <c r="A644" s="66"/>
      <c r="B644" s="9"/>
      <c r="C644" s="8"/>
      <c r="D644" s="8"/>
      <c r="E644" s="8"/>
      <c r="F644" s="8"/>
      <c r="G644" s="9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6.5" x14ac:dyDescent="0.25">
      <c r="A645" s="66"/>
      <c r="B645" s="9"/>
      <c r="C645" s="8"/>
      <c r="D645" s="8"/>
      <c r="E645" s="8"/>
      <c r="F645" s="8"/>
      <c r="G645" s="9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6.5" x14ac:dyDescent="0.25">
      <c r="A646" s="66"/>
      <c r="B646" s="9"/>
      <c r="C646" s="8"/>
      <c r="D646" s="8"/>
      <c r="E646" s="8"/>
      <c r="F646" s="8"/>
      <c r="G646" s="9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6.5" x14ac:dyDescent="0.25">
      <c r="A647" s="66"/>
      <c r="B647" s="9"/>
      <c r="C647" s="8"/>
      <c r="D647" s="8"/>
      <c r="E647" s="8"/>
      <c r="F647" s="8"/>
      <c r="G647" s="9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6.5" x14ac:dyDescent="0.25">
      <c r="A648" s="66"/>
      <c r="B648" s="9"/>
      <c r="C648" s="8"/>
      <c r="D648" s="8"/>
      <c r="E648" s="8"/>
      <c r="F648" s="8"/>
      <c r="G648" s="9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6.5" x14ac:dyDescent="0.25">
      <c r="A649" s="66"/>
      <c r="B649" s="9"/>
      <c r="C649" s="8"/>
      <c r="D649" s="8"/>
      <c r="E649" s="8"/>
      <c r="F649" s="8"/>
      <c r="G649" s="9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6.5" x14ac:dyDescent="0.25">
      <c r="A650" s="66"/>
      <c r="B650" s="9"/>
      <c r="C650" s="8"/>
      <c r="D650" s="8"/>
      <c r="E650" s="8"/>
      <c r="F650" s="8"/>
      <c r="G650" s="9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6.5" x14ac:dyDescent="0.25">
      <c r="A651" s="66"/>
      <c r="B651" s="9"/>
      <c r="C651" s="8"/>
      <c r="D651" s="8"/>
      <c r="E651" s="8"/>
      <c r="F651" s="8"/>
      <c r="G651" s="9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6.5" x14ac:dyDescent="0.25">
      <c r="A652" s="66"/>
      <c r="B652" s="9"/>
      <c r="C652" s="8"/>
      <c r="D652" s="8"/>
      <c r="E652" s="8"/>
      <c r="F652" s="8"/>
      <c r="G652" s="9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6.5" x14ac:dyDescent="0.25">
      <c r="A653" s="66"/>
      <c r="B653" s="9"/>
      <c r="C653" s="8"/>
      <c r="D653" s="8"/>
      <c r="E653" s="8"/>
      <c r="F653" s="8"/>
      <c r="G653" s="9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6.5" x14ac:dyDescent="0.25">
      <c r="A654" s="66"/>
      <c r="B654" s="9"/>
      <c r="C654" s="8"/>
      <c r="D654" s="8"/>
      <c r="E654" s="8"/>
      <c r="F654" s="8"/>
      <c r="G654" s="9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6.5" x14ac:dyDescent="0.25">
      <c r="A655" s="66"/>
      <c r="B655" s="9"/>
      <c r="C655" s="8"/>
      <c r="D655" s="8"/>
      <c r="E655" s="8"/>
      <c r="F655" s="8"/>
      <c r="G655" s="9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6.5" x14ac:dyDescent="0.25">
      <c r="A656" s="66"/>
      <c r="B656" s="9"/>
      <c r="C656" s="8"/>
      <c r="D656" s="8"/>
      <c r="E656" s="8"/>
      <c r="F656" s="8"/>
      <c r="G656" s="9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6.5" x14ac:dyDescent="0.25">
      <c r="A657" s="66"/>
      <c r="B657" s="9"/>
      <c r="C657" s="8"/>
      <c r="D657" s="8"/>
      <c r="E657" s="8"/>
      <c r="F657" s="8"/>
      <c r="G657" s="9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6.5" x14ac:dyDescent="0.25">
      <c r="A658" s="66"/>
      <c r="B658" s="9"/>
      <c r="C658" s="8"/>
      <c r="D658" s="8"/>
      <c r="E658" s="8"/>
      <c r="F658" s="8"/>
      <c r="G658" s="9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6.5" x14ac:dyDescent="0.25">
      <c r="A659" s="66"/>
      <c r="B659" s="9"/>
      <c r="C659" s="8"/>
      <c r="D659" s="8"/>
      <c r="E659" s="8"/>
      <c r="F659" s="8"/>
      <c r="G659" s="9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6.5" x14ac:dyDescent="0.25">
      <c r="A660" s="66"/>
      <c r="B660" s="9"/>
      <c r="C660" s="8"/>
      <c r="D660" s="8"/>
      <c r="E660" s="8"/>
      <c r="F660" s="8"/>
      <c r="G660" s="9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6.5" x14ac:dyDescent="0.25">
      <c r="A661" s="66"/>
      <c r="B661" s="9"/>
      <c r="C661" s="8"/>
      <c r="D661" s="8"/>
      <c r="E661" s="8"/>
      <c r="F661" s="8"/>
      <c r="G661" s="9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6.5" x14ac:dyDescent="0.25">
      <c r="A662" s="66"/>
      <c r="B662" s="9"/>
      <c r="C662" s="8"/>
      <c r="D662" s="8"/>
      <c r="E662" s="8"/>
      <c r="F662" s="8"/>
      <c r="G662" s="9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6.5" x14ac:dyDescent="0.25">
      <c r="A663" s="66"/>
      <c r="B663" s="9"/>
      <c r="C663" s="8"/>
      <c r="D663" s="8"/>
      <c r="E663" s="8"/>
      <c r="F663" s="8"/>
      <c r="G663" s="9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6.5" x14ac:dyDescent="0.25">
      <c r="A664" s="66"/>
      <c r="B664" s="9"/>
      <c r="C664" s="8"/>
      <c r="D664" s="8"/>
      <c r="E664" s="8"/>
      <c r="F664" s="8"/>
      <c r="G664" s="9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6.5" x14ac:dyDescent="0.25">
      <c r="A665" s="66"/>
      <c r="B665" s="9"/>
      <c r="C665" s="8"/>
      <c r="D665" s="8"/>
      <c r="E665" s="8"/>
      <c r="F665" s="8"/>
      <c r="G665" s="9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6.5" x14ac:dyDescent="0.25">
      <c r="A666" s="66"/>
      <c r="B666" s="9"/>
      <c r="C666" s="8"/>
      <c r="D666" s="8"/>
      <c r="E666" s="8"/>
      <c r="F666" s="8"/>
      <c r="G666" s="9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6.5" x14ac:dyDescent="0.25">
      <c r="A667" s="66"/>
      <c r="B667" s="9"/>
      <c r="C667" s="8"/>
      <c r="D667" s="8"/>
      <c r="E667" s="8"/>
      <c r="F667" s="8"/>
      <c r="G667" s="9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6.5" x14ac:dyDescent="0.25">
      <c r="A668" s="66"/>
      <c r="B668" s="9"/>
      <c r="C668" s="8"/>
      <c r="D668" s="8"/>
      <c r="E668" s="8"/>
      <c r="F668" s="8"/>
      <c r="G668" s="9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6.5" x14ac:dyDescent="0.25">
      <c r="A669" s="66"/>
      <c r="B669" s="9"/>
      <c r="C669" s="8"/>
      <c r="D669" s="8"/>
      <c r="E669" s="8"/>
      <c r="F669" s="8"/>
      <c r="G669" s="9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6.5" x14ac:dyDescent="0.25">
      <c r="A670" s="66"/>
      <c r="B670" s="9"/>
      <c r="C670" s="8"/>
      <c r="D670" s="8"/>
      <c r="E670" s="8"/>
      <c r="F670" s="8"/>
      <c r="G670" s="9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6.5" x14ac:dyDescent="0.25">
      <c r="A671" s="66"/>
      <c r="B671" s="9"/>
      <c r="C671" s="8"/>
      <c r="D671" s="8"/>
      <c r="E671" s="8"/>
      <c r="F671" s="8"/>
      <c r="G671" s="9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6.5" x14ac:dyDescent="0.25">
      <c r="A672" s="66"/>
      <c r="B672" s="9"/>
      <c r="C672" s="8"/>
      <c r="D672" s="8"/>
      <c r="E672" s="8"/>
      <c r="F672" s="8"/>
      <c r="G672" s="9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6.5" x14ac:dyDescent="0.25">
      <c r="A673" s="66"/>
      <c r="B673" s="9"/>
      <c r="C673" s="8"/>
      <c r="D673" s="8"/>
      <c r="E673" s="8"/>
      <c r="F673" s="8"/>
      <c r="G673" s="9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6.5" x14ac:dyDescent="0.25">
      <c r="A674" s="66"/>
      <c r="B674" s="9"/>
      <c r="C674" s="8"/>
      <c r="D674" s="8"/>
      <c r="E674" s="8"/>
      <c r="F674" s="8"/>
      <c r="G674" s="9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6.5" x14ac:dyDescent="0.25">
      <c r="A675" s="66"/>
      <c r="B675" s="9"/>
      <c r="C675" s="8"/>
      <c r="D675" s="8"/>
      <c r="E675" s="8"/>
      <c r="F675" s="8"/>
      <c r="G675" s="9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6.5" x14ac:dyDescent="0.25">
      <c r="A676" s="66"/>
      <c r="B676" s="9"/>
      <c r="C676" s="8"/>
      <c r="D676" s="8"/>
      <c r="E676" s="8"/>
      <c r="F676" s="8"/>
      <c r="G676" s="9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6.5" x14ac:dyDescent="0.25">
      <c r="A677" s="66"/>
      <c r="B677" s="9"/>
      <c r="C677" s="8"/>
      <c r="D677" s="8"/>
      <c r="E677" s="8"/>
      <c r="F677" s="8"/>
      <c r="G677" s="9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6.5" x14ac:dyDescent="0.25">
      <c r="A678" s="66"/>
      <c r="B678" s="9"/>
      <c r="C678" s="8"/>
      <c r="D678" s="8"/>
      <c r="E678" s="8"/>
      <c r="F678" s="8"/>
      <c r="G678" s="9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6.5" x14ac:dyDescent="0.25">
      <c r="A679" s="66"/>
      <c r="B679" s="9"/>
      <c r="C679" s="8"/>
      <c r="D679" s="8"/>
      <c r="E679" s="8"/>
      <c r="F679" s="8"/>
      <c r="G679" s="9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6.5" x14ac:dyDescent="0.25">
      <c r="A680" s="66"/>
      <c r="B680" s="9"/>
      <c r="C680" s="8"/>
      <c r="D680" s="8"/>
      <c r="E680" s="8"/>
      <c r="F680" s="8"/>
      <c r="G680" s="9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6.5" x14ac:dyDescent="0.25">
      <c r="A681" s="66"/>
      <c r="B681" s="9"/>
      <c r="C681" s="8"/>
      <c r="D681" s="8"/>
      <c r="E681" s="8"/>
      <c r="F681" s="8"/>
      <c r="G681" s="9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6.5" x14ac:dyDescent="0.25">
      <c r="A682" s="66"/>
      <c r="B682" s="9"/>
      <c r="C682" s="8"/>
      <c r="D682" s="8"/>
      <c r="E682" s="8"/>
      <c r="F682" s="8"/>
      <c r="G682" s="9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6.5" x14ac:dyDescent="0.25">
      <c r="A683" s="66"/>
      <c r="B683" s="9"/>
      <c r="C683" s="8"/>
      <c r="D683" s="8"/>
      <c r="E683" s="8"/>
      <c r="F683" s="8"/>
      <c r="G683" s="9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6.5" x14ac:dyDescent="0.25">
      <c r="A684" s="66"/>
      <c r="B684" s="9"/>
      <c r="C684" s="8"/>
      <c r="D684" s="8"/>
      <c r="E684" s="8"/>
      <c r="F684" s="8"/>
      <c r="G684" s="9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6.5" x14ac:dyDescent="0.25">
      <c r="A685" s="66"/>
      <c r="B685" s="9"/>
      <c r="C685" s="8"/>
      <c r="D685" s="8"/>
      <c r="E685" s="8"/>
      <c r="F685" s="8"/>
      <c r="G685" s="9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6.5" x14ac:dyDescent="0.25">
      <c r="A686" s="66"/>
      <c r="B686" s="9"/>
      <c r="C686" s="8"/>
      <c r="D686" s="8"/>
      <c r="E686" s="8"/>
      <c r="F686" s="8"/>
      <c r="G686" s="9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6.5" x14ac:dyDescent="0.25">
      <c r="A687" s="66"/>
      <c r="B687" s="9"/>
      <c r="C687" s="8"/>
      <c r="D687" s="8"/>
      <c r="E687" s="8"/>
      <c r="F687" s="8"/>
      <c r="G687" s="9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6.5" x14ac:dyDescent="0.25">
      <c r="A688" s="66"/>
      <c r="B688" s="9"/>
      <c r="C688" s="8"/>
      <c r="D688" s="8"/>
      <c r="E688" s="8"/>
      <c r="F688" s="8"/>
      <c r="G688" s="9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6.5" x14ac:dyDescent="0.25">
      <c r="A689" s="66"/>
      <c r="B689" s="9"/>
      <c r="C689" s="8"/>
      <c r="D689" s="8"/>
      <c r="E689" s="8"/>
      <c r="F689" s="8"/>
      <c r="G689" s="9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6.5" x14ac:dyDescent="0.25">
      <c r="A690" s="66"/>
      <c r="B690" s="9"/>
      <c r="C690" s="8"/>
      <c r="D690" s="8"/>
      <c r="E690" s="8"/>
      <c r="F690" s="8"/>
      <c r="G690" s="9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6.5" x14ac:dyDescent="0.25">
      <c r="A691" s="66"/>
      <c r="B691" s="9"/>
      <c r="C691" s="8"/>
      <c r="D691" s="8"/>
      <c r="E691" s="8"/>
      <c r="F691" s="8"/>
      <c r="G691" s="9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6.5" x14ac:dyDescent="0.25">
      <c r="A692" s="66"/>
      <c r="B692" s="9"/>
      <c r="C692" s="8"/>
      <c r="D692" s="8"/>
      <c r="E692" s="8"/>
      <c r="F692" s="8"/>
      <c r="G692" s="9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6.5" x14ac:dyDescent="0.25">
      <c r="A693" s="66"/>
      <c r="B693" s="9"/>
      <c r="C693" s="8"/>
      <c r="D693" s="8"/>
      <c r="E693" s="8"/>
      <c r="F693" s="8"/>
      <c r="G693" s="9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6.5" x14ac:dyDescent="0.25">
      <c r="A694" s="66"/>
      <c r="B694" s="9"/>
      <c r="C694" s="8"/>
      <c r="D694" s="8"/>
      <c r="E694" s="8"/>
      <c r="F694" s="8"/>
      <c r="G694" s="9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6.5" x14ac:dyDescent="0.25">
      <c r="A695" s="66"/>
      <c r="B695" s="9"/>
      <c r="C695" s="8"/>
      <c r="D695" s="8"/>
      <c r="E695" s="8"/>
      <c r="F695" s="8"/>
      <c r="G695" s="9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6.5" x14ac:dyDescent="0.25">
      <c r="A696" s="66"/>
      <c r="B696" s="9"/>
      <c r="C696" s="8"/>
      <c r="D696" s="8"/>
      <c r="E696" s="8"/>
      <c r="F696" s="8"/>
      <c r="G696" s="9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6.5" x14ac:dyDescent="0.25">
      <c r="A697" s="66"/>
      <c r="B697" s="9"/>
      <c r="C697" s="8"/>
      <c r="D697" s="8"/>
      <c r="E697" s="8"/>
      <c r="F697" s="8"/>
      <c r="G697" s="9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6.5" x14ac:dyDescent="0.25">
      <c r="A698" s="66"/>
      <c r="B698" s="9"/>
      <c r="C698" s="8"/>
      <c r="D698" s="8"/>
      <c r="E698" s="8"/>
      <c r="F698" s="8"/>
      <c r="G698" s="9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6.5" x14ac:dyDescent="0.25">
      <c r="A699" s="66"/>
      <c r="B699" s="9"/>
      <c r="C699" s="8"/>
      <c r="D699" s="8"/>
      <c r="E699" s="8"/>
      <c r="F699" s="8"/>
      <c r="G699" s="9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6.5" x14ac:dyDescent="0.25">
      <c r="A700" s="66"/>
      <c r="B700" s="9"/>
      <c r="C700" s="8"/>
      <c r="D700" s="8"/>
      <c r="E700" s="8"/>
      <c r="F700" s="8"/>
      <c r="G700" s="9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6.5" x14ac:dyDescent="0.25">
      <c r="A701" s="66"/>
      <c r="B701" s="9"/>
      <c r="C701" s="8"/>
      <c r="D701" s="8"/>
      <c r="E701" s="8"/>
      <c r="F701" s="8"/>
      <c r="G701" s="9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6.5" x14ac:dyDescent="0.25">
      <c r="A702" s="66"/>
      <c r="B702" s="9"/>
      <c r="C702" s="8"/>
      <c r="D702" s="8"/>
      <c r="E702" s="8"/>
      <c r="F702" s="8"/>
      <c r="G702" s="9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6.5" x14ac:dyDescent="0.25">
      <c r="A703" s="66"/>
      <c r="B703" s="9"/>
      <c r="C703" s="8"/>
      <c r="D703" s="8"/>
      <c r="E703" s="8"/>
      <c r="F703" s="8"/>
      <c r="G703" s="9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6.5" x14ac:dyDescent="0.25">
      <c r="A704" s="66"/>
      <c r="B704" s="9"/>
      <c r="C704" s="8"/>
      <c r="D704" s="8"/>
      <c r="E704" s="8"/>
      <c r="F704" s="8"/>
      <c r="G704" s="9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6.5" x14ac:dyDescent="0.25">
      <c r="A705" s="66"/>
      <c r="B705" s="9"/>
      <c r="C705" s="8"/>
      <c r="D705" s="8"/>
      <c r="E705" s="8"/>
      <c r="F705" s="8"/>
      <c r="G705" s="9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6.5" x14ac:dyDescent="0.25">
      <c r="A706" s="66"/>
      <c r="B706" s="9"/>
      <c r="C706" s="8"/>
      <c r="D706" s="8"/>
      <c r="E706" s="8"/>
      <c r="F706" s="8"/>
      <c r="G706" s="9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6.5" x14ac:dyDescent="0.25">
      <c r="A707" s="66"/>
      <c r="B707" s="9"/>
      <c r="C707" s="8"/>
      <c r="D707" s="8"/>
      <c r="E707" s="8"/>
      <c r="F707" s="8"/>
      <c r="G707" s="9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6.5" x14ac:dyDescent="0.25">
      <c r="A708" s="66"/>
      <c r="B708" s="9"/>
      <c r="C708" s="8"/>
      <c r="D708" s="8"/>
      <c r="E708" s="8"/>
      <c r="F708" s="8"/>
      <c r="G708" s="9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6.5" x14ac:dyDescent="0.25">
      <c r="A709" s="66"/>
      <c r="B709" s="9"/>
      <c r="C709" s="8"/>
      <c r="D709" s="8"/>
      <c r="E709" s="8"/>
      <c r="F709" s="8"/>
      <c r="G709" s="9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6.5" x14ac:dyDescent="0.25">
      <c r="A710" s="66"/>
      <c r="B710" s="9"/>
      <c r="C710" s="8"/>
      <c r="D710" s="8"/>
      <c r="E710" s="8"/>
      <c r="F710" s="8"/>
      <c r="G710" s="9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6.5" x14ac:dyDescent="0.25">
      <c r="A711" s="66"/>
      <c r="B711" s="9"/>
      <c r="C711" s="8"/>
      <c r="D711" s="8"/>
      <c r="E711" s="8"/>
      <c r="F711" s="8"/>
      <c r="G711" s="9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6.5" x14ac:dyDescent="0.25">
      <c r="A712" s="66"/>
      <c r="B712" s="9"/>
      <c r="C712" s="8"/>
      <c r="D712" s="8"/>
      <c r="E712" s="8"/>
      <c r="F712" s="8"/>
      <c r="G712" s="9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6.5" x14ac:dyDescent="0.25">
      <c r="A713" s="66"/>
      <c r="B713" s="9"/>
      <c r="C713" s="8"/>
      <c r="D713" s="8"/>
      <c r="E713" s="8"/>
      <c r="F713" s="8"/>
      <c r="G713" s="9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6.5" x14ac:dyDescent="0.25">
      <c r="A714" s="66"/>
      <c r="B714" s="9"/>
      <c r="C714" s="8"/>
      <c r="D714" s="8"/>
      <c r="E714" s="8"/>
      <c r="F714" s="8"/>
      <c r="G714" s="9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6.5" x14ac:dyDescent="0.25">
      <c r="A715" s="66"/>
      <c r="B715" s="9"/>
      <c r="C715" s="8"/>
      <c r="D715" s="8"/>
      <c r="E715" s="8"/>
      <c r="F715" s="8"/>
      <c r="G715" s="9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6.5" x14ac:dyDescent="0.25">
      <c r="A716" s="66"/>
      <c r="B716" s="9"/>
      <c r="C716" s="8"/>
      <c r="D716" s="8"/>
      <c r="E716" s="8"/>
      <c r="F716" s="8"/>
      <c r="G716" s="9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6.5" x14ac:dyDescent="0.25">
      <c r="A717" s="66"/>
      <c r="B717" s="9"/>
      <c r="C717" s="8"/>
      <c r="D717" s="8"/>
      <c r="E717" s="8"/>
      <c r="F717" s="8"/>
      <c r="G717" s="9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6.5" x14ac:dyDescent="0.25">
      <c r="A718" s="66"/>
      <c r="B718" s="9"/>
      <c r="C718" s="8"/>
      <c r="D718" s="8"/>
      <c r="E718" s="8"/>
      <c r="F718" s="8"/>
      <c r="G718" s="9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6.5" x14ac:dyDescent="0.25">
      <c r="A719" s="66"/>
      <c r="B719" s="9"/>
      <c r="C719" s="8"/>
      <c r="D719" s="8"/>
      <c r="E719" s="8"/>
      <c r="F719" s="8"/>
      <c r="G719" s="9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6.5" x14ac:dyDescent="0.25">
      <c r="A720" s="66"/>
      <c r="B720" s="9"/>
      <c r="C720" s="8"/>
      <c r="D720" s="8"/>
      <c r="E720" s="8"/>
      <c r="F720" s="8"/>
      <c r="G720" s="9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6.5" x14ac:dyDescent="0.25">
      <c r="A721" s="66"/>
      <c r="B721" s="9"/>
      <c r="C721" s="8"/>
      <c r="D721" s="8"/>
      <c r="E721" s="8"/>
      <c r="F721" s="8"/>
      <c r="G721" s="9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6.5" x14ac:dyDescent="0.25">
      <c r="A722" s="66"/>
      <c r="B722" s="9"/>
      <c r="C722" s="8"/>
      <c r="D722" s="8"/>
      <c r="E722" s="8"/>
      <c r="F722" s="8"/>
      <c r="G722" s="9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6.5" x14ac:dyDescent="0.25">
      <c r="A723" s="66"/>
      <c r="B723" s="9"/>
      <c r="C723" s="8"/>
      <c r="D723" s="8"/>
      <c r="E723" s="8"/>
      <c r="F723" s="8"/>
      <c r="G723" s="9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6.5" x14ac:dyDescent="0.25">
      <c r="A724" s="66"/>
      <c r="B724" s="9"/>
      <c r="C724" s="8"/>
      <c r="D724" s="8"/>
      <c r="E724" s="8"/>
      <c r="F724" s="8"/>
      <c r="G724" s="9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6.5" x14ac:dyDescent="0.25">
      <c r="A725" s="66"/>
      <c r="B725" s="9"/>
      <c r="C725" s="8"/>
      <c r="D725" s="8"/>
      <c r="E725" s="8"/>
      <c r="F725" s="8"/>
      <c r="G725" s="9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6.5" x14ac:dyDescent="0.25">
      <c r="A726" s="66"/>
      <c r="B726" s="9"/>
      <c r="C726" s="8"/>
      <c r="D726" s="8"/>
      <c r="E726" s="8"/>
      <c r="F726" s="8"/>
      <c r="G726" s="9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6.5" x14ac:dyDescent="0.25">
      <c r="A727" s="66"/>
      <c r="B727" s="9"/>
      <c r="C727" s="8"/>
      <c r="D727" s="8"/>
      <c r="E727" s="8"/>
      <c r="F727" s="8"/>
      <c r="G727" s="9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6.5" x14ac:dyDescent="0.25">
      <c r="A728" s="66"/>
      <c r="B728" s="9"/>
      <c r="C728" s="8"/>
      <c r="D728" s="8"/>
      <c r="E728" s="8"/>
      <c r="F728" s="8"/>
      <c r="G728" s="9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6.5" x14ac:dyDescent="0.25">
      <c r="A729" s="66"/>
      <c r="B729" s="9"/>
      <c r="C729" s="8"/>
      <c r="D729" s="8"/>
      <c r="E729" s="8"/>
      <c r="F729" s="8"/>
      <c r="G729" s="9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6.5" x14ac:dyDescent="0.25">
      <c r="A730" s="66"/>
      <c r="B730" s="9"/>
      <c r="C730" s="8"/>
      <c r="D730" s="8"/>
      <c r="E730" s="8"/>
      <c r="F730" s="8"/>
      <c r="G730" s="9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6.5" x14ac:dyDescent="0.25">
      <c r="A731" s="66"/>
      <c r="B731" s="9"/>
      <c r="C731" s="8"/>
      <c r="D731" s="8"/>
      <c r="E731" s="8"/>
      <c r="F731" s="8"/>
      <c r="G731" s="9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6.5" x14ac:dyDescent="0.25">
      <c r="A732" s="66"/>
      <c r="B732" s="9"/>
      <c r="C732" s="8"/>
      <c r="D732" s="8"/>
      <c r="E732" s="8"/>
      <c r="F732" s="8"/>
      <c r="G732" s="9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6.5" x14ac:dyDescent="0.25">
      <c r="A733" s="66"/>
      <c r="B733" s="9"/>
      <c r="C733" s="8"/>
      <c r="D733" s="8"/>
      <c r="E733" s="8"/>
      <c r="F733" s="8"/>
      <c r="G733" s="9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6.5" x14ac:dyDescent="0.25">
      <c r="A734" s="66"/>
      <c r="B734" s="9"/>
      <c r="C734" s="8"/>
      <c r="D734" s="8"/>
      <c r="E734" s="8"/>
      <c r="F734" s="8"/>
      <c r="G734" s="9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6.5" x14ac:dyDescent="0.25">
      <c r="A735" s="66"/>
      <c r="B735" s="9"/>
      <c r="C735" s="8"/>
      <c r="D735" s="8"/>
      <c r="E735" s="8"/>
      <c r="F735" s="8"/>
      <c r="G735" s="9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6.5" x14ac:dyDescent="0.25">
      <c r="A736" s="66"/>
      <c r="B736" s="9"/>
      <c r="C736" s="8"/>
      <c r="D736" s="8"/>
      <c r="E736" s="8"/>
      <c r="F736" s="8"/>
      <c r="G736" s="9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6.5" x14ac:dyDescent="0.25">
      <c r="A737" s="66"/>
      <c r="B737" s="9"/>
      <c r="C737" s="8"/>
      <c r="D737" s="8"/>
      <c r="E737" s="8"/>
      <c r="F737" s="8"/>
      <c r="G737" s="9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6.5" x14ac:dyDescent="0.25">
      <c r="A738" s="66"/>
      <c r="B738" s="9"/>
      <c r="C738" s="8"/>
      <c r="D738" s="8"/>
      <c r="E738" s="8"/>
      <c r="F738" s="8"/>
      <c r="G738" s="9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6.5" x14ac:dyDescent="0.25">
      <c r="A739" s="66"/>
      <c r="B739" s="9"/>
      <c r="C739" s="8"/>
      <c r="D739" s="8"/>
      <c r="E739" s="8"/>
      <c r="F739" s="8"/>
      <c r="G739" s="9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6.5" x14ac:dyDescent="0.25">
      <c r="A740" s="66"/>
      <c r="B740" s="9"/>
      <c r="C740" s="8"/>
      <c r="D740" s="8"/>
      <c r="E740" s="8"/>
      <c r="F740" s="8"/>
      <c r="G740" s="9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6.5" x14ac:dyDescent="0.25">
      <c r="A741" s="66"/>
      <c r="B741" s="9"/>
      <c r="C741" s="8"/>
      <c r="D741" s="8"/>
      <c r="E741" s="8"/>
      <c r="F741" s="8"/>
      <c r="G741" s="9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6.5" x14ac:dyDescent="0.25">
      <c r="A742" s="66"/>
      <c r="B742" s="9"/>
      <c r="C742" s="8"/>
      <c r="D742" s="8"/>
      <c r="E742" s="8"/>
      <c r="F742" s="8"/>
      <c r="G742" s="9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6.5" x14ac:dyDescent="0.25">
      <c r="A743" s="66"/>
      <c r="B743" s="9"/>
      <c r="C743" s="8"/>
      <c r="D743" s="8"/>
      <c r="E743" s="8"/>
      <c r="F743" s="8"/>
      <c r="G743" s="9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6.5" x14ac:dyDescent="0.25">
      <c r="A744" s="66"/>
      <c r="B744" s="9"/>
      <c r="C744" s="8"/>
      <c r="D744" s="8"/>
      <c r="E744" s="8"/>
      <c r="F744" s="8"/>
      <c r="G744" s="9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6.5" x14ac:dyDescent="0.25">
      <c r="A745" s="66"/>
      <c r="B745" s="9"/>
      <c r="C745" s="8"/>
      <c r="D745" s="8"/>
      <c r="E745" s="8"/>
      <c r="F745" s="8"/>
      <c r="G745" s="9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6.5" x14ac:dyDescent="0.25">
      <c r="A746" s="66"/>
      <c r="B746" s="9"/>
      <c r="C746" s="8"/>
      <c r="D746" s="8"/>
      <c r="E746" s="8"/>
      <c r="F746" s="8"/>
      <c r="G746" s="9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6.5" x14ac:dyDescent="0.25">
      <c r="A747" s="66"/>
      <c r="B747" s="9"/>
      <c r="C747" s="8"/>
      <c r="D747" s="8"/>
      <c r="E747" s="8"/>
      <c r="F747" s="8"/>
      <c r="G747" s="9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6.5" x14ac:dyDescent="0.25">
      <c r="A748" s="66"/>
      <c r="B748" s="9"/>
      <c r="C748" s="8"/>
      <c r="D748" s="8"/>
      <c r="E748" s="8"/>
      <c r="F748" s="8"/>
      <c r="G748" s="9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6.5" x14ac:dyDescent="0.25">
      <c r="A749" s="66"/>
      <c r="B749" s="9"/>
      <c r="C749" s="8"/>
      <c r="D749" s="8"/>
      <c r="E749" s="8"/>
      <c r="F749" s="8"/>
      <c r="G749" s="9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6.5" x14ac:dyDescent="0.25">
      <c r="A750" s="66"/>
      <c r="B750" s="9"/>
      <c r="C750" s="8"/>
      <c r="D750" s="8"/>
      <c r="E750" s="8"/>
      <c r="F750" s="8"/>
      <c r="G750" s="9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6.5" x14ac:dyDescent="0.25">
      <c r="A751" s="66"/>
      <c r="B751" s="9"/>
      <c r="C751" s="8"/>
      <c r="D751" s="8"/>
      <c r="E751" s="8"/>
      <c r="F751" s="8"/>
      <c r="G751" s="9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6.5" x14ac:dyDescent="0.25">
      <c r="A752" s="66"/>
      <c r="B752" s="9"/>
      <c r="C752" s="8"/>
      <c r="D752" s="8"/>
      <c r="E752" s="8"/>
      <c r="F752" s="8"/>
      <c r="G752" s="9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6.5" x14ac:dyDescent="0.25">
      <c r="A753" s="66"/>
      <c r="B753" s="9"/>
      <c r="C753" s="8"/>
      <c r="D753" s="8"/>
      <c r="E753" s="8"/>
      <c r="F753" s="8"/>
      <c r="G753" s="9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6.5" x14ac:dyDescent="0.25">
      <c r="A754" s="66"/>
      <c r="B754" s="9"/>
      <c r="C754" s="8"/>
      <c r="D754" s="8"/>
      <c r="E754" s="8"/>
      <c r="F754" s="8"/>
      <c r="G754" s="9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6.5" x14ac:dyDescent="0.25">
      <c r="A755" s="66"/>
      <c r="B755" s="9"/>
      <c r="C755" s="8"/>
      <c r="D755" s="8"/>
      <c r="E755" s="8"/>
      <c r="F755" s="8"/>
      <c r="G755" s="9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6.5" x14ac:dyDescent="0.25">
      <c r="A756" s="66"/>
      <c r="B756" s="9"/>
      <c r="C756" s="8"/>
      <c r="D756" s="8"/>
      <c r="E756" s="8"/>
      <c r="F756" s="8"/>
      <c r="G756" s="9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6.5" x14ac:dyDescent="0.25">
      <c r="A757" s="66"/>
      <c r="B757" s="9"/>
      <c r="C757" s="8"/>
      <c r="D757" s="8"/>
      <c r="E757" s="8"/>
      <c r="F757" s="8"/>
      <c r="G757" s="9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6.5" x14ac:dyDescent="0.25">
      <c r="A758" s="66"/>
      <c r="B758" s="9"/>
      <c r="C758" s="8"/>
      <c r="D758" s="8"/>
      <c r="E758" s="8"/>
      <c r="F758" s="8"/>
      <c r="G758" s="9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6.5" x14ac:dyDescent="0.25">
      <c r="A759" s="66"/>
      <c r="B759" s="9"/>
      <c r="C759" s="8"/>
      <c r="D759" s="8"/>
      <c r="E759" s="8"/>
      <c r="F759" s="8"/>
      <c r="G759" s="9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6.5" x14ac:dyDescent="0.25">
      <c r="A760" s="66"/>
      <c r="B760" s="9"/>
      <c r="C760" s="8"/>
      <c r="D760" s="8"/>
      <c r="E760" s="8"/>
      <c r="F760" s="8"/>
      <c r="G760" s="9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6.5" x14ac:dyDescent="0.25">
      <c r="A761" s="66"/>
      <c r="B761" s="9"/>
      <c r="C761" s="8"/>
      <c r="D761" s="8"/>
      <c r="E761" s="8"/>
      <c r="F761" s="8"/>
      <c r="G761" s="9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6.5" x14ac:dyDescent="0.25">
      <c r="A762" s="66"/>
      <c r="B762" s="9"/>
      <c r="C762" s="8"/>
      <c r="D762" s="8"/>
      <c r="E762" s="8"/>
      <c r="F762" s="8"/>
      <c r="G762" s="9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6.5" x14ac:dyDescent="0.25">
      <c r="A763" s="66"/>
      <c r="B763" s="9"/>
      <c r="C763" s="8"/>
      <c r="D763" s="8"/>
      <c r="E763" s="8"/>
      <c r="F763" s="8"/>
      <c r="G763" s="9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6.5" x14ac:dyDescent="0.25">
      <c r="A764" s="66"/>
      <c r="B764" s="9"/>
      <c r="C764" s="8"/>
      <c r="D764" s="8"/>
      <c r="E764" s="8"/>
      <c r="F764" s="8"/>
      <c r="G764" s="9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6.5" x14ac:dyDescent="0.25">
      <c r="A765" s="66"/>
      <c r="B765" s="9"/>
      <c r="C765" s="8"/>
      <c r="D765" s="8"/>
      <c r="E765" s="8"/>
      <c r="F765" s="8"/>
      <c r="G765" s="9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6.5" x14ac:dyDescent="0.25">
      <c r="A766" s="66"/>
      <c r="B766" s="9"/>
      <c r="C766" s="8"/>
      <c r="D766" s="8"/>
      <c r="E766" s="8"/>
      <c r="F766" s="8"/>
      <c r="G766" s="9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6.5" x14ac:dyDescent="0.25">
      <c r="A767" s="66"/>
      <c r="B767" s="9"/>
      <c r="C767" s="8"/>
      <c r="D767" s="8"/>
      <c r="E767" s="8"/>
      <c r="F767" s="8"/>
      <c r="G767" s="9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6.5" x14ac:dyDescent="0.25">
      <c r="A768" s="66"/>
      <c r="B768" s="9"/>
      <c r="C768" s="8"/>
      <c r="D768" s="8"/>
      <c r="E768" s="8"/>
      <c r="F768" s="8"/>
      <c r="G768" s="9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6.5" x14ac:dyDescent="0.25">
      <c r="A769" s="66"/>
      <c r="B769" s="9"/>
      <c r="C769" s="8"/>
      <c r="D769" s="8"/>
      <c r="E769" s="8"/>
      <c r="F769" s="8"/>
      <c r="G769" s="9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6.5" x14ac:dyDescent="0.25">
      <c r="A770" s="66"/>
      <c r="B770" s="9"/>
      <c r="C770" s="8"/>
      <c r="D770" s="8"/>
      <c r="E770" s="8"/>
      <c r="F770" s="8"/>
      <c r="G770" s="9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6.5" x14ac:dyDescent="0.25">
      <c r="A771" s="66"/>
      <c r="B771" s="9"/>
      <c r="C771" s="8"/>
      <c r="D771" s="8"/>
      <c r="E771" s="8"/>
      <c r="F771" s="8"/>
      <c r="G771" s="9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6.5" x14ac:dyDescent="0.25">
      <c r="A772" s="66"/>
      <c r="B772" s="9"/>
      <c r="C772" s="8"/>
      <c r="D772" s="8"/>
      <c r="E772" s="8"/>
      <c r="F772" s="8"/>
      <c r="G772" s="9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6.5" x14ac:dyDescent="0.25">
      <c r="A773" s="66"/>
      <c r="B773" s="9"/>
      <c r="C773" s="8"/>
      <c r="D773" s="8"/>
      <c r="E773" s="8"/>
      <c r="F773" s="8"/>
      <c r="G773" s="9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6.5" x14ac:dyDescent="0.25">
      <c r="A774" s="66"/>
      <c r="B774" s="9"/>
      <c r="C774" s="8"/>
      <c r="D774" s="8"/>
      <c r="E774" s="8"/>
      <c r="F774" s="8"/>
      <c r="G774" s="9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6.5" x14ac:dyDescent="0.25">
      <c r="A775" s="66"/>
      <c r="B775" s="9"/>
      <c r="C775" s="8"/>
      <c r="D775" s="8"/>
      <c r="E775" s="8"/>
      <c r="F775" s="8"/>
      <c r="G775" s="9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6.5" x14ac:dyDescent="0.25">
      <c r="A776" s="66"/>
      <c r="B776" s="9"/>
      <c r="C776" s="8"/>
      <c r="D776" s="8"/>
      <c r="E776" s="8"/>
      <c r="F776" s="8"/>
      <c r="G776" s="9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6.5" x14ac:dyDescent="0.25">
      <c r="A777" s="66"/>
      <c r="B777" s="9"/>
      <c r="C777" s="8"/>
      <c r="D777" s="8"/>
      <c r="E777" s="8"/>
      <c r="F777" s="8"/>
      <c r="G777" s="9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6.5" x14ac:dyDescent="0.25">
      <c r="A778" s="66"/>
      <c r="B778" s="9"/>
      <c r="C778" s="8"/>
      <c r="D778" s="8"/>
      <c r="E778" s="8"/>
      <c r="F778" s="8"/>
      <c r="G778" s="9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6.5" x14ac:dyDescent="0.25">
      <c r="A779" s="66"/>
      <c r="B779" s="9"/>
      <c r="C779" s="8"/>
      <c r="D779" s="8"/>
      <c r="E779" s="8"/>
      <c r="F779" s="8"/>
      <c r="G779" s="9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6.5" x14ac:dyDescent="0.25">
      <c r="A780" s="66"/>
      <c r="B780" s="9"/>
      <c r="C780" s="8"/>
      <c r="D780" s="8"/>
      <c r="E780" s="8"/>
      <c r="F780" s="8"/>
      <c r="G780" s="9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6.5" x14ac:dyDescent="0.25">
      <c r="A781" s="66"/>
      <c r="B781" s="9"/>
      <c r="C781" s="8"/>
      <c r="D781" s="8"/>
      <c r="E781" s="8"/>
      <c r="F781" s="8"/>
      <c r="G781" s="9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6.5" x14ac:dyDescent="0.25">
      <c r="A782" s="66"/>
      <c r="B782" s="9"/>
      <c r="C782" s="8"/>
      <c r="D782" s="8"/>
      <c r="E782" s="8"/>
      <c r="F782" s="8"/>
      <c r="G782" s="9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6.5" x14ac:dyDescent="0.25">
      <c r="A783" s="66"/>
      <c r="B783" s="9"/>
      <c r="C783" s="8"/>
      <c r="D783" s="8"/>
      <c r="E783" s="8"/>
      <c r="F783" s="8"/>
      <c r="G783" s="9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6.5" x14ac:dyDescent="0.25">
      <c r="A784" s="66"/>
      <c r="B784" s="9"/>
      <c r="C784" s="8"/>
      <c r="D784" s="8"/>
      <c r="E784" s="8"/>
      <c r="F784" s="8"/>
      <c r="G784" s="9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6.5" x14ac:dyDescent="0.25">
      <c r="A785" s="66"/>
      <c r="B785" s="9"/>
      <c r="C785" s="8"/>
      <c r="D785" s="8"/>
      <c r="E785" s="8"/>
      <c r="F785" s="8"/>
      <c r="G785" s="9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6.5" x14ac:dyDescent="0.25">
      <c r="A786" s="66"/>
      <c r="B786" s="9"/>
      <c r="C786" s="8"/>
      <c r="D786" s="8"/>
      <c r="E786" s="8"/>
      <c r="F786" s="8"/>
      <c r="G786" s="9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6.5" x14ac:dyDescent="0.25">
      <c r="A787" s="66"/>
      <c r="B787" s="9"/>
      <c r="C787" s="8"/>
      <c r="D787" s="8"/>
      <c r="E787" s="8"/>
      <c r="F787" s="8"/>
      <c r="G787" s="9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6.5" x14ac:dyDescent="0.25">
      <c r="A788" s="66"/>
      <c r="B788" s="9"/>
      <c r="C788" s="8"/>
      <c r="D788" s="8"/>
      <c r="E788" s="8"/>
      <c r="F788" s="8"/>
      <c r="G788" s="9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6.5" x14ac:dyDescent="0.25">
      <c r="A789" s="66"/>
      <c r="B789" s="9"/>
      <c r="C789" s="8"/>
      <c r="D789" s="8"/>
      <c r="E789" s="8"/>
      <c r="F789" s="8"/>
      <c r="G789" s="9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6.5" x14ac:dyDescent="0.25">
      <c r="A790" s="66"/>
      <c r="B790" s="9"/>
      <c r="C790" s="8"/>
      <c r="D790" s="8"/>
      <c r="E790" s="8"/>
      <c r="F790" s="8"/>
      <c r="G790" s="9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6.5" x14ac:dyDescent="0.25">
      <c r="A791" s="66"/>
      <c r="B791" s="9"/>
      <c r="C791" s="8"/>
      <c r="D791" s="8"/>
      <c r="E791" s="8"/>
      <c r="F791" s="8"/>
      <c r="G791" s="9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6.5" x14ac:dyDescent="0.25">
      <c r="A792" s="66"/>
      <c r="B792" s="9"/>
      <c r="C792" s="8"/>
      <c r="D792" s="8"/>
      <c r="E792" s="8"/>
      <c r="F792" s="8"/>
      <c r="G792" s="9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6.5" x14ac:dyDescent="0.25">
      <c r="A793" s="66"/>
      <c r="B793" s="9"/>
      <c r="C793" s="8"/>
      <c r="D793" s="8"/>
      <c r="E793" s="8"/>
      <c r="F793" s="8"/>
      <c r="G793" s="9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6.5" x14ac:dyDescent="0.25">
      <c r="A794" s="66"/>
      <c r="B794" s="9"/>
      <c r="C794" s="8"/>
      <c r="D794" s="8"/>
      <c r="E794" s="8"/>
      <c r="F794" s="8"/>
      <c r="G794" s="9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6.5" x14ac:dyDescent="0.25">
      <c r="A795" s="66"/>
      <c r="B795" s="9"/>
      <c r="C795" s="8"/>
      <c r="D795" s="8"/>
      <c r="E795" s="8"/>
      <c r="F795" s="8"/>
      <c r="G795" s="9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6.5" x14ac:dyDescent="0.25">
      <c r="A796" s="66"/>
      <c r="B796" s="9"/>
      <c r="C796" s="8"/>
      <c r="D796" s="8"/>
      <c r="E796" s="8"/>
      <c r="F796" s="8"/>
      <c r="G796" s="9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6.5" x14ac:dyDescent="0.25">
      <c r="A797" s="66"/>
      <c r="B797" s="9"/>
      <c r="C797" s="8"/>
      <c r="D797" s="8"/>
      <c r="E797" s="8"/>
      <c r="F797" s="8"/>
      <c r="G797" s="9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6.5" x14ac:dyDescent="0.25">
      <c r="A798" s="66"/>
      <c r="B798" s="9"/>
      <c r="C798" s="8"/>
      <c r="D798" s="8"/>
      <c r="E798" s="8"/>
      <c r="F798" s="8"/>
      <c r="G798" s="9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6.5" x14ac:dyDescent="0.25">
      <c r="A799" s="66"/>
      <c r="B799" s="9"/>
      <c r="C799" s="8"/>
      <c r="D799" s="8"/>
      <c r="E799" s="8"/>
      <c r="F799" s="8"/>
      <c r="G799" s="9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6.5" x14ac:dyDescent="0.25">
      <c r="A800" s="66"/>
      <c r="B800" s="9"/>
      <c r="C800" s="8"/>
      <c r="D800" s="8"/>
      <c r="E800" s="8"/>
      <c r="F800" s="8"/>
      <c r="G800" s="9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6.5" x14ac:dyDescent="0.25">
      <c r="A801" s="66"/>
      <c r="B801" s="9"/>
      <c r="C801" s="8"/>
      <c r="D801" s="8"/>
      <c r="E801" s="8"/>
      <c r="F801" s="8"/>
      <c r="G801" s="9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6.5" x14ac:dyDescent="0.25">
      <c r="A802" s="66"/>
      <c r="B802" s="9"/>
      <c r="C802" s="8"/>
      <c r="D802" s="8"/>
      <c r="E802" s="8"/>
      <c r="F802" s="8"/>
      <c r="G802" s="9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6.5" x14ac:dyDescent="0.25">
      <c r="A803" s="66"/>
      <c r="B803" s="9"/>
      <c r="C803" s="8"/>
      <c r="D803" s="8"/>
      <c r="E803" s="8"/>
      <c r="F803" s="8"/>
      <c r="G803" s="9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6.5" x14ac:dyDescent="0.25">
      <c r="A804" s="66"/>
      <c r="B804" s="9"/>
      <c r="C804" s="8"/>
      <c r="D804" s="8"/>
      <c r="E804" s="8"/>
      <c r="F804" s="8"/>
      <c r="G804" s="9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6.5" x14ac:dyDescent="0.25">
      <c r="A805" s="66"/>
      <c r="B805" s="9"/>
      <c r="C805" s="8"/>
      <c r="D805" s="8"/>
      <c r="E805" s="8"/>
      <c r="F805" s="8"/>
      <c r="G805" s="9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6.5" x14ac:dyDescent="0.25">
      <c r="A806" s="66"/>
      <c r="B806" s="9"/>
      <c r="C806" s="8"/>
      <c r="D806" s="8"/>
      <c r="E806" s="8"/>
      <c r="F806" s="8"/>
      <c r="G806" s="9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6.5" x14ac:dyDescent="0.25">
      <c r="A807" s="66"/>
      <c r="B807" s="9"/>
      <c r="C807" s="8"/>
      <c r="D807" s="8"/>
      <c r="E807" s="8"/>
      <c r="F807" s="8"/>
      <c r="G807" s="9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6.5" x14ac:dyDescent="0.25">
      <c r="A808" s="66"/>
      <c r="B808" s="9"/>
      <c r="C808" s="8"/>
      <c r="D808" s="8"/>
      <c r="E808" s="8"/>
      <c r="F808" s="8"/>
      <c r="G808" s="9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6.5" x14ac:dyDescent="0.25">
      <c r="A809" s="66"/>
      <c r="B809" s="9"/>
      <c r="C809" s="8"/>
      <c r="D809" s="8"/>
      <c r="E809" s="8"/>
      <c r="F809" s="8"/>
      <c r="G809" s="9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6.5" x14ac:dyDescent="0.25">
      <c r="A810" s="66"/>
      <c r="B810" s="9"/>
      <c r="C810" s="8"/>
      <c r="D810" s="8"/>
      <c r="E810" s="8"/>
      <c r="F810" s="8"/>
      <c r="G810" s="9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6.5" x14ac:dyDescent="0.25">
      <c r="A811" s="66"/>
      <c r="B811" s="9"/>
      <c r="C811" s="8"/>
      <c r="D811" s="8"/>
      <c r="E811" s="8"/>
      <c r="F811" s="8"/>
      <c r="G811" s="9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6.5" x14ac:dyDescent="0.25">
      <c r="A812" s="66"/>
      <c r="B812" s="9"/>
      <c r="C812" s="8"/>
      <c r="D812" s="8"/>
      <c r="E812" s="8"/>
      <c r="F812" s="8"/>
      <c r="G812" s="9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6.5" x14ac:dyDescent="0.25">
      <c r="A813" s="66"/>
      <c r="B813" s="9"/>
      <c r="C813" s="8"/>
      <c r="D813" s="8"/>
      <c r="E813" s="8"/>
      <c r="F813" s="8"/>
      <c r="G813" s="9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6.5" x14ac:dyDescent="0.25">
      <c r="A814" s="66"/>
      <c r="B814" s="9"/>
      <c r="C814" s="8"/>
      <c r="D814" s="8"/>
      <c r="E814" s="8"/>
      <c r="F814" s="8"/>
      <c r="G814" s="9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6.5" x14ac:dyDescent="0.25">
      <c r="A815" s="66"/>
      <c r="B815" s="9"/>
      <c r="C815" s="8"/>
      <c r="D815" s="8"/>
      <c r="E815" s="8"/>
      <c r="F815" s="8"/>
      <c r="G815" s="9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6.5" x14ac:dyDescent="0.25">
      <c r="A816" s="66"/>
      <c r="B816" s="9"/>
      <c r="C816" s="8"/>
      <c r="D816" s="8"/>
      <c r="E816" s="8"/>
      <c r="F816" s="8"/>
      <c r="G816" s="9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6.5" x14ac:dyDescent="0.25">
      <c r="A817" s="66"/>
      <c r="B817" s="9"/>
      <c r="C817" s="8"/>
      <c r="D817" s="8"/>
      <c r="E817" s="8"/>
      <c r="F817" s="8"/>
      <c r="G817" s="9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6.5" x14ac:dyDescent="0.25">
      <c r="A818" s="66"/>
      <c r="B818" s="9"/>
      <c r="C818" s="8"/>
      <c r="D818" s="8"/>
      <c r="E818" s="8"/>
      <c r="F818" s="8"/>
      <c r="G818" s="9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6.5" x14ac:dyDescent="0.25">
      <c r="A819" s="66"/>
      <c r="B819" s="9"/>
      <c r="C819" s="8"/>
      <c r="D819" s="8"/>
      <c r="E819" s="8"/>
      <c r="F819" s="8"/>
      <c r="G819" s="9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6.5" x14ac:dyDescent="0.25">
      <c r="A820" s="66"/>
      <c r="B820" s="9"/>
      <c r="C820" s="8"/>
      <c r="D820" s="8"/>
      <c r="E820" s="8"/>
      <c r="F820" s="8"/>
      <c r="G820" s="9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6.5" x14ac:dyDescent="0.25">
      <c r="A821" s="66"/>
      <c r="B821" s="9"/>
      <c r="C821" s="8"/>
      <c r="D821" s="8"/>
      <c r="E821" s="8"/>
      <c r="F821" s="8"/>
      <c r="G821" s="9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6.5" x14ac:dyDescent="0.25">
      <c r="A822" s="66"/>
      <c r="B822" s="9"/>
      <c r="C822" s="8"/>
      <c r="D822" s="8"/>
      <c r="E822" s="8"/>
      <c r="F822" s="8"/>
      <c r="G822" s="9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6.5" x14ac:dyDescent="0.25">
      <c r="A823" s="66"/>
      <c r="B823" s="9"/>
      <c r="C823" s="8"/>
      <c r="D823" s="8"/>
      <c r="E823" s="8"/>
      <c r="F823" s="8"/>
      <c r="G823" s="9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6.5" x14ac:dyDescent="0.25">
      <c r="A824" s="66"/>
      <c r="B824" s="9"/>
      <c r="C824" s="8"/>
      <c r="D824" s="8"/>
      <c r="E824" s="8"/>
      <c r="F824" s="8"/>
      <c r="G824" s="9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6.5" x14ac:dyDescent="0.25">
      <c r="A825" s="66"/>
      <c r="B825" s="9"/>
      <c r="C825" s="8"/>
      <c r="D825" s="8"/>
      <c r="E825" s="8"/>
      <c r="F825" s="8"/>
      <c r="G825" s="9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6.5" x14ac:dyDescent="0.25">
      <c r="A826" s="66"/>
      <c r="B826" s="9"/>
      <c r="C826" s="8"/>
      <c r="D826" s="8"/>
      <c r="E826" s="8"/>
      <c r="F826" s="8"/>
      <c r="G826" s="9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6.5" x14ac:dyDescent="0.25">
      <c r="A827" s="66"/>
      <c r="B827" s="9"/>
      <c r="C827" s="8"/>
      <c r="D827" s="8"/>
      <c r="E827" s="8"/>
      <c r="F827" s="8"/>
      <c r="G827" s="9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6.5" x14ac:dyDescent="0.25">
      <c r="A828" s="66"/>
      <c r="B828" s="9"/>
      <c r="C828" s="8"/>
      <c r="D828" s="8"/>
      <c r="E828" s="8"/>
      <c r="F828" s="8"/>
      <c r="G828" s="9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6.5" x14ac:dyDescent="0.25">
      <c r="A829" s="66"/>
      <c r="B829" s="9"/>
      <c r="C829" s="8"/>
      <c r="D829" s="8"/>
      <c r="E829" s="8"/>
      <c r="F829" s="8"/>
      <c r="G829" s="9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6.5" x14ac:dyDescent="0.25">
      <c r="A830" s="66"/>
      <c r="B830" s="9"/>
      <c r="C830" s="8"/>
      <c r="D830" s="8"/>
      <c r="E830" s="8"/>
      <c r="F830" s="8"/>
      <c r="G830" s="9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6.5" x14ac:dyDescent="0.25">
      <c r="A831" s="66"/>
      <c r="B831" s="9"/>
      <c r="C831" s="8"/>
      <c r="D831" s="8"/>
      <c r="E831" s="8"/>
      <c r="F831" s="8"/>
      <c r="G831" s="9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6.5" x14ac:dyDescent="0.25">
      <c r="A832" s="66"/>
      <c r="B832" s="9"/>
      <c r="C832" s="8"/>
      <c r="D832" s="8"/>
      <c r="E832" s="8"/>
      <c r="F832" s="8"/>
      <c r="G832" s="9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6.5" x14ac:dyDescent="0.25">
      <c r="A833" s="66"/>
      <c r="B833" s="9"/>
      <c r="C833" s="8"/>
      <c r="D833" s="8"/>
      <c r="E833" s="8"/>
      <c r="F833" s="8"/>
      <c r="G833" s="9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6.5" x14ac:dyDescent="0.25">
      <c r="A834" s="66"/>
      <c r="B834" s="9"/>
      <c r="C834" s="8"/>
      <c r="D834" s="8"/>
      <c r="E834" s="8"/>
      <c r="F834" s="8"/>
      <c r="G834" s="9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6.5" x14ac:dyDescent="0.25">
      <c r="A835" s="66"/>
      <c r="B835" s="9"/>
      <c r="C835" s="8"/>
      <c r="D835" s="8"/>
      <c r="E835" s="8"/>
      <c r="F835" s="8"/>
      <c r="G835" s="9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6.5" x14ac:dyDescent="0.25">
      <c r="A836" s="66"/>
      <c r="B836" s="9"/>
      <c r="C836" s="8"/>
      <c r="D836" s="8"/>
      <c r="E836" s="8"/>
      <c r="F836" s="8"/>
      <c r="G836" s="9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6.5" x14ac:dyDescent="0.25">
      <c r="A837" s="66"/>
      <c r="B837" s="9"/>
      <c r="C837" s="8"/>
      <c r="D837" s="8"/>
      <c r="E837" s="8"/>
      <c r="F837" s="8"/>
      <c r="G837" s="9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6.5" x14ac:dyDescent="0.25">
      <c r="A838" s="66"/>
      <c r="B838" s="9"/>
      <c r="C838" s="8"/>
      <c r="D838" s="8"/>
      <c r="E838" s="8"/>
      <c r="F838" s="8"/>
      <c r="G838" s="9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6.5" x14ac:dyDescent="0.25">
      <c r="A839" s="66"/>
      <c r="B839" s="9"/>
      <c r="C839" s="8"/>
      <c r="D839" s="8"/>
      <c r="E839" s="8"/>
      <c r="F839" s="8"/>
      <c r="G839" s="9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6.5" x14ac:dyDescent="0.25">
      <c r="A840" s="66"/>
      <c r="B840" s="9"/>
      <c r="C840" s="8"/>
      <c r="D840" s="8"/>
      <c r="E840" s="8"/>
      <c r="F840" s="8"/>
      <c r="G840" s="9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6.5" x14ac:dyDescent="0.25">
      <c r="A841" s="66"/>
      <c r="B841" s="9"/>
      <c r="C841" s="8"/>
      <c r="D841" s="8"/>
      <c r="E841" s="8"/>
      <c r="F841" s="8"/>
      <c r="G841" s="9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6.5" x14ac:dyDescent="0.25">
      <c r="A842" s="66"/>
      <c r="B842" s="9"/>
      <c r="C842" s="8"/>
      <c r="D842" s="8"/>
      <c r="E842" s="8"/>
      <c r="F842" s="8"/>
      <c r="G842" s="9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6.5" x14ac:dyDescent="0.25">
      <c r="A843" s="66"/>
      <c r="B843" s="9"/>
      <c r="C843" s="8"/>
      <c r="D843" s="8"/>
      <c r="E843" s="8"/>
      <c r="F843" s="8"/>
      <c r="G843" s="9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6.5" x14ac:dyDescent="0.25">
      <c r="A844" s="66"/>
      <c r="B844" s="9"/>
      <c r="C844" s="8"/>
      <c r="D844" s="8"/>
      <c r="E844" s="8"/>
      <c r="F844" s="8"/>
      <c r="G844" s="9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6.5" x14ac:dyDescent="0.25">
      <c r="A845" s="66"/>
      <c r="B845" s="9"/>
      <c r="C845" s="8"/>
      <c r="D845" s="8"/>
      <c r="E845" s="8"/>
      <c r="F845" s="8"/>
      <c r="G845" s="9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6.5" x14ac:dyDescent="0.25">
      <c r="A846" s="66"/>
      <c r="B846" s="9"/>
      <c r="C846" s="8"/>
      <c r="D846" s="8"/>
      <c r="E846" s="8"/>
      <c r="F846" s="8"/>
      <c r="G846" s="9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6.5" x14ac:dyDescent="0.25">
      <c r="A847" s="66"/>
      <c r="B847" s="9"/>
      <c r="C847" s="8"/>
      <c r="D847" s="8"/>
      <c r="E847" s="8"/>
      <c r="F847" s="8"/>
      <c r="G847" s="9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6.5" x14ac:dyDescent="0.25">
      <c r="A848" s="66"/>
      <c r="B848" s="9"/>
      <c r="C848" s="8"/>
      <c r="D848" s="8"/>
      <c r="E848" s="8"/>
      <c r="F848" s="8"/>
      <c r="G848" s="9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6.5" x14ac:dyDescent="0.25">
      <c r="A849" s="66"/>
      <c r="B849" s="9"/>
      <c r="C849" s="8"/>
      <c r="D849" s="8"/>
      <c r="E849" s="8"/>
      <c r="F849" s="8"/>
      <c r="G849" s="9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6.5" x14ac:dyDescent="0.25">
      <c r="A850" s="66"/>
      <c r="B850" s="9"/>
      <c r="C850" s="8"/>
      <c r="D850" s="8"/>
      <c r="E850" s="8"/>
      <c r="F850" s="8"/>
      <c r="G850" s="9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6.5" x14ac:dyDescent="0.25">
      <c r="A851" s="66"/>
      <c r="B851" s="9"/>
      <c r="C851" s="8"/>
      <c r="D851" s="8"/>
      <c r="E851" s="8"/>
      <c r="F851" s="8"/>
      <c r="G851" s="9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6.5" x14ac:dyDescent="0.25">
      <c r="A852" s="66"/>
      <c r="B852" s="9"/>
      <c r="C852" s="8"/>
      <c r="D852" s="8"/>
      <c r="E852" s="8"/>
      <c r="F852" s="8"/>
      <c r="G852" s="9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6.5" x14ac:dyDescent="0.25">
      <c r="A853" s="66"/>
      <c r="B853" s="9"/>
      <c r="C853" s="8"/>
      <c r="D853" s="8"/>
      <c r="E853" s="8"/>
      <c r="F853" s="8"/>
      <c r="G853" s="9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6.5" x14ac:dyDescent="0.25">
      <c r="A854" s="66"/>
      <c r="B854" s="9"/>
      <c r="C854" s="8"/>
      <c r="D854" s="8"/>
      <c r="E854" s="8"/>
      <c r="F854" s="8"/>
      <c r="G854" s="9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6.5" x14ac:dyDescent="0.25">
      <c r="A855" s="66"/>
      <c r="B855" s="9"/>
      <c r="C855" s="8"/>
      <c r="D855" s="8"/>
      <c r="E855" s="8"/>
      <c r="F855" s="8"/>
      <c r="G855" s="9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6.5" x14ac:dyDescent="0.25">
      <c r="A856" s="66"/>
      <c r="B856" s="9"/>
      <c r="C856" s="8"/>
      <c r="D856" s="8"/>
      <c r="E856" s="8"/>
      <c r="F856" s="8"/>
      <c r="G856" s="9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6.5" x14ac:dyDescent="0.25">
      <c r="A857" s="66"/>
      <c r="B857" s="9"/>
      <c r="C857" s="8"/>
      <c r="D857" s="8"/>
      <c r="E857" s="8"/>
      <c r="F857" s="8"/>
      <c r="G857" s="9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6.5" x14ac:dyDescent="0.25">
      <c r="A858" s="66"/>
      <c r="B858" s="9"/>
      <c r="C858" s="8"/>
      <c r="D858" s="8"/>
      <c r="E858" s="8"/>
      <c r="F858" s="8"/>
      <c r="G858" s="9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6.5" x14ac:dyDescent="0.25">
      <c r="A859" s="66"/>
      <c r="B859" s="9"/>
      <c r="C859" s="8"/>
      <c r="D859" s="8"/>
      <c r="E859" s="8"/>
      <c r="F859" s="8"/>
      <c r="G859" s="9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6.5" x14ac:dyDescent="0.25">
      <c r="A860" s="66"/>
      <c r="B860" s="9"/>
      <c r="C860" s="8"/>
      <c r="D860" s="8"/>
      <c r="E860" s="8"/>
      <c r="F860" s="8"/>
      <c r="G860" s="9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6.5" x14ac:dyDescent="0.25">
      <c r="A861" s="66"/>
      <c r="B861" s="9"/>
      <c r="C861" s="8"/>
      <c r="D861" s="8"/>
      <c r="E861" s="8"/>
      <c r="F861" s="8"/>
      <c r="G861" s="9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6.5" x14ac:dyDescent="0.25">
      <c r="A862" s="66"/>
      <c r="B862" s="9"/>
      <c r="C862" s="8"/>
      <c r="D862" s="8"/>
      <c r="E862" s="8"/>
      <c r="F862" s="8"/>
      <c r="G862" s="9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6.5" x14ac:dyDescent="0.25">
      <c r="A863" s="66"/>
      <c r="B863" s="9"/>
      <c r="C863" s="8"/>
      <c r="D863" s="8"/>
      <c r="E863" s="8"/>
      <c r="F863" s="8"/>
      <c r="G863" s="9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6.5" x14ac:dyDescent="0.25">
      <c r="A864" s="66"/>
      <c r="B864" s="9"/>
      <c r="C864" s="8"/>
      <c r="D864" s="8"/>
      <c r="E864" s="8"/>
      <c r="F864" s="8"/>
      <c r="G864" s="9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6.5" x14ac:dyDescent="0.25">
      <c r="A865" s="66"/>
      <c r="B865" s="9"/>
      <c r="C865" s="8"/>
      <c r="D865" s="8"/>
      <c r="E865" s="8"/>
      <c r="F865" s="8"/>
      <c r="G865" s="9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6.5" x14ac:dyDescent="0.25">
      <c r="A866" s="66"/>
      <c r="B866" s="9"/>
      <c r="C866" s="8"/>
      <c r="D866" s="8"/>
      <c r="E866" s="8"/>
      <c r="F866" s="8"/>
      <c r="G866" s="9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6.5" x14ac:dyDescent="0.25">
      <c r="A867" s="66"/>
      <c r="B867" s="9"/>
      <c r="C867" s="8"/>
      <c r="D867" s="8"/>
      <c r="E867" s="8"/>
      <c r="F867" s="8"/>
      <c r="G867" s="9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6.5" x14ac:dyDescent="0.25">
      <c r="A868" s="66"/>
      <c r="B868" s="9"/>
      <c r="C868" s="8"/>
      <c r="D868" s="8"/>
      <c r="E868" s="8"/>
      <c r="F868" s="8"/>
      <c r="G868" s="9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6.5" x14ac:dyDescent="0.25">
      <c r="A869" s="66"/>
      <c r="B869" s="9"/>
      <c r="C869" s="8"/>
      <c r="D869" s="8"/>
      <c r="E869" s="8"/>
      <c r="F869" s="8"/>
      <c r="G869" s="9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6.5" x14ac:dyDescent="0.25">
      <c r="A870" s="66"/>
      <c r="B870" s="9"/>
      <c r="C870" s="8"/>
      <c r="D870" s="8"/>
      <c r="E870" s="8"/>
      <c r="F870" s="8"/>
      <c r="G870" s="9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6.5" x14ac:dyDescent="0.25">
      <c r="A871" s="66"/>
      <c r="B871" s="9"/>
      <c r="C871" s="8"/>
      <c r="D871" s="8"/>
      <c r="E871" s="8"/>
      <c r="F871" s="8"/>
      <c r="G871" s="9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6.5" x14ac:dyDescent="0.25">
      <c r="A872" s="66"/>
      <c r="B872" s="9"/>
      <c r="C872" s="8"/>
      <c r="D872" s="8"/>
      <c r="E872" s="8"/>
      <c r="F872" s="8"/>
      <c r="G872" s="9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6.5" x14ac:dyDescent="0.25">
      <c r="A873" s="66"/>
      <c r="B873" s="9"/>
      <c r="C873" s="8"/>
      <c r="D873" s="8"/>
      <c r="E873" s="8"/>
      <c r="F873" s="8"/>
      <c r="G873" s="9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6.5" x14ac:dyDescent="0.25">
      <c r="A874" s="66"/>
      <c r="B874" s="9"/>
      <c r="C874" s="8"/>
      <c r="D874" s="8"/>
      <c r="E874" s="8"/>
      <c r="F874" s="8"/>
      <c r="G874" s="9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6.5" x14ac:dyDescent="0.25">
      <c r="A875" s="66"/>
      <c r="B875" s="9"/>
      <c r="C875" s="8"/>
      <c r="D875" s="8"/>
      <c r="E875" s="8"/>
      <c r="F875" s="8"/>
      <c r="G875" s="9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6.5" x14ac:dyDescent="0.25">
      <c r="A876" s="66"/>
      <c r="B876" s="9"/>
      <c r="C876" s="8"/>
      <c r="D876" s="8"/>
      <c r="E876" s="8"/>
      <c r="F876" s="8"/>
      <c r="G876" s="9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6.5" x14ac:dyDescent="0.25">
      <c r="A877" s="66"/>
      <c r="B877" s="9"/>
      <c r="C877" s="8"/>
      <c r="D877" s="8"/>
      <c r="E877" s="8"/>
      <c r="F877" s="8"/>
      <c r="G877" s="9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6.5" x14ac:dyDescent="0.25">
      <c r="A878" s="66"/>
      <c r="B878" s="9"/>
      <c r="C878" s="8"/>
      <c r="D878" s="8"/>
      <c r="E878" s="8"/>
      <c r="F878" s="8"/>
      <c r="G878" s="9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6.5" x14ac:dyDescent="0.25">
      <c r="A879" s="66"/>
      <c r="B879" s="9"/>
      <c r="C879" s="8"/>
      <c r="D879" s="8"/>
      <c r="E879" s="8"/>
      <c r="F879" s="8"/>
      <c r="G879" s="9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6.5" x14ac:dyDescent="0.25">
      <c r="A880" s="66"/>
      <c r="B880" s="9"/>
      <c r="C880" s="8"/>
      <c r="D880" s="8"/>
      <c r="E880" s="8"/>
      <c r="F880" s="8"/>
      <c r="G880" s="9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6.5" x14ac:dyDescent="0.25">
      <c r="A881" s="66"/>
      <c r="B881" s="9"/>
      <c r="C881" s="8"/>
      <c r="D881" s="8"/>
      <c r="E881" s="8"/>
      <c r="F881" s="8"/>
      <c r="G881" s="9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6.5" x14ac:dyDescent="0.25">
      <c r="A882" s="66"/>
      <c r="B882" s="9"/>
      <c r="C882" s="8"/>
      <c r="D882" s="8"/>
      <c r="E882" s="8"/>
      <c r="F882" s="8"/>
      <c r="G882" s="9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6.5" x14ac:dyDescent="0.25">
      <c r="A883" s="66"/>
      <c r="B883" s="9"/>
      <c r="C883" s="8"/>
      <c r="D883" s="8"/>
      <c r="E883" s="8"/>
      <c r="F883" s="8"/>
      <c r="G883" s="9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6.5" x14ac:dyDescent="0.25">
      <c r="A884" s="66"/>
      <c r="B884" s="9"/>
      <c r="C884" s="8"/>
      <c r="D884" s="8"/>
      <c r="E884" s="8"/>
      <c r="F884" s="8"/>
      <c r="G884" s="9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6.5" x14ac:dyDescent="0.25">
      <c r="A885" s="66"/>
      <c r="B885" s="9"/>
      <c r="C885" s="8"/>
      <c r="D885" s="8"/>
      <c r="E885" s="8"/>
      <c r="F885" s="8"/>
      <c r="G885" s="9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6.5" x14ac:dyDescent="0.25">
      <c r="A886" s="66"/>
      <c r="B886" s="9"/>
      <c r="C886" s="8"/>
      <c r="D886" s="8"/>
      <c r="E886" s="8"/>
      <c r="F886" s="8"/>
      <c r="G886" s="9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6.5" x14ac:dyDescent="0.25">
      <c r="A887" s="66"/>
      <c r="B887" s="9"/>
      <c r="C887" s="8"/>
      <c r="D887" s="8"/>
      <c r="E887" s="8"/>
      <c r="F887" s="8"/>
      <c r="G887" s="9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6.5" x14ac:dyDescent="0.25">
      <c r="A888" s="66"/>
      <c r="B888" s="9"/>
      <c r="C888" s="8"/>
      <c r="D888" s="8"/>
      <c r="E888" s="8"/>
      <c r="F888" s="8"/>
      <c r="G888" s="9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6.5" x14ac:dyDescent="0.25">
      <c r="A889" s="66"/>
      <c r="B889" s="9"/>
      <c r="C889" s="8"/>
      <c r="D889" s="8"/>
      <c r="E889" s="8"/>
      <c r="F889" s="8"/>
      <c r="G889" s="9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6.5" x14ac:dyDescent="0.25">
      <c r="A890" s="66"/>
      <c r="B890" s="9"/>
      <c r="C890" s="8"/>
      <c r="D890" s="8"/>
      <c r="E890" s="8"/>
      <c r="F890" s="8"/>
      <c r="G890" s="9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6.5" x14ac:dyDescent="0.25">
      <c r="A891" s="66"/>
      <c r="B891" s="9"/>
      <c r="C891" s="8"/>
      <c r="D891" s="8"/>
      <c r="E891" s="8"/>
      <c r="F891" s="8"/>
      <c r="G891" s="9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6.5" x14ac:dyDescent="0.25">
      <c r="A892" s="66"/>
      <c r="B892" s="9"/>
      <c r="C892" s="8"/>
      <c r="D892" s="8"/>
      <c r="E892" s="8"/>
      <c r="F892" s="8"/>
      <c r="G892" s="9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6.5" x14ac:dyDescent="0.25">
      <c r="A893" s="66"/>
      <c r="B893" s="9"/>
      <c r="C893" s="8"/>
      <c r="D893" s="8"/>
      <c r="E893" s="8"/>
      <c r="F893" s="8"/>
      <c r="G893" s="9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6.5" x14ac:dyDescent="0.25">
      <c r="A894" s="66"/>
      <c r="B894" s="9"/>
      <c r="C894" s="8"/>
      <c r="D894" s="8"/>
      <c r="E894" s="8"/>
      <c r="F894" s="8"/>
      <c r="G894" s="9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6.5" x14ac:dyDescent="0.25">
      <c r="A895" s="66"/>
      <c r="B895" s="9"/>
      <c r="C895" s="8"/>
      <c r="D895" s="8"/>
      <c r="E895" s="8"/>
      <c r="F895" s="8"/>
      <c r="G895" s="9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6.5" x14ac:dyDescent="0.25">
      <c r="A896" s="66"/>
      <c r="B896" s="9"/>
      <c r="C896" s="8"/>
      <c r="D896" s="8"/>
      <c r="E896" s="8"/>
      <c r="F896" s="8"/>
      <c r="G896" s="9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6.5" x14ac:dyDescent="0.25">
      <c r="A897" s="66"/>
      <c r="B897" s="9"/>
      <c r="C897" s="8"/>
      <c r="D897" s="8"/>
      <c r="E897" s="8"/>
      <c r="F897" s="8"/>
      <c r="G897" s="9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6.5" x14ac:dyDescent="0.25">
      <c r="A898" s="66"/>
      <c r="B898" s="9"/>
      <c r="C898" s="8"/>
      <c r="D898" s="8"/>
      <c r="E898" s="8"/>
      <c r="F898" s="8"/>
      <c r="G898" s="9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6.5" x14ac:dyDescent="0.25">
      <c r="A899" s="66"/>
      <c r="B899" s="9"/>
      <c r="C899" s="8"/>
      <c r="D899" s="8"/>
      <c r="E899" s="8"/>
      <c r="F899" s="8"/>
      <c r="G899" s="9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6.5" x14ac:dyDescent="0.25">
      <c r="A900" s="66"/>
      <c r="B900" s="9"/>
      <c r="C900" s="8"/>
      <c r="D900" s="8"/>
      <c r="E900" s="8"/>
      <c r="F900" s="8"/>
      <c r="G900" s="9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6.5" x14ac:dyDescent="0.25">
      <c r="A901" s="66"/>
      <c r="B901" s="9"/>
      <c r="C901" s="8"/>
      <c r="D901" s="8"/>
      <c r="E901" s="8"/>
      <c r="F901" s="8"/>
      <c r="G901" s="9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6.5" x14ac:dyDescent="0.25">
      <c r="A902" s="66"/>
      <c r="B902" s="9"/>
      <c r="C902" s="8"/>
      <c r="D902" s="8"/>
      <c r="E902" s="8"/>
      <c r="F902" s="8"/>
      <c r="G902" s="9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6.5" x14ac:dyDescent="0.25">
      <c r="A903" s="66"/>
      <c r="B903" s="9"/>
      <c r="C903" s="8"/>
      <c r="D903" s="8"/>
      <c r="E903" s="8"/>
      <c r="F903" s="8"/>
      <c r="G903" s="9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6.5" x14ac:dyDescent="0.25">
      <c r="A904" s="66"/>
      <c r="B904" s="9"/>
      <c r="C904" s="8"/>
      <c r="D904" s="8"/>
      <c r="E904" s="8"/>
      <c r="F904" s="8"/>
      <c r="G904" s="9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6.5" x14ac:dyDescent="0.25">
      <c r="A905" s="66"/>
      <c r="B905" s="9"/>
      <c r="C905" s="8"/>
      <c r="D905" s="8"/>
      <c r="E905" s="8"/>
      <c r="F905" s="8"/>
      <c r="G905" s="9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6.5" x14ac:dyDescent="0.25">
      <c r="A906" s="66"/>
      <c r="B906" s="9"/>
      <c r="C906" s="8"/>
      <c r="D906" s="8"/>
      <c r="E906" s="8"/>
      <c r="F906" s="8"/>
      <c r="G906" s="9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6.5" x14ac:dyDescent="0.25">
      <c r="A907" s="66"/>
      <c r="B907" s="9"/>
      <c r="C907" s="8"/>
      <c r="D907" s="8"/>
      <c r="E907" s="8"/>
      <c r="F907" s="8"/>
      <c r="G907" s="9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6.5" x14ac:dyDescent="0.25">
      <c r="A908" s="66"/>
      <c r="B908" s="9"/>
      <c r="C908" s="8"/>
      <c r="D908" s="8"/>
      <c r="E908" s="8"/>
      <c r="F908" s="8"/>
      <c r="G908" s="9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6.5" x14ac:dyDescent="0.25">
      <c r="A909" s="66"/>
      <c r="B909" s="9"/>
      <c r="C909" s="8"/>
      <c r="D909" s="8"/>
      <c r="E909" s="8"/>
      <c r="F909" s="8"/>
      <c r="G909" s="9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6.5" x14ac:dyDescent="0.25">
      <c r="A910" s="66"/>
      <c r="B910" s="9"/>
      <c r="C910" s="8"/>
      <c r="D910" s="8"/>
      <c r="E910" s="8"/>
      <c r="F910" s="8"/>
      <c r="G910" s="9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6.5" x14ac:dyDescent="0.25">
      <c r="A911" s="66"/>
      <c r="B911" s="9"/>
      <c r="C911" s="8"/>
      <c r="D911" s="8"/>
      <c r="E911" s="8"/>
      <c r="F911" s="8"/>
      <c r="G911" s="9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6.5" x14ac:dyDescent="0.25">
      <c r="A912" s="66"/>
      <c r="B912" s="9"/>
      <c r="C912" s="8"/>
      <c r="D912" s="8"/>
      <c r="E912" s="8"/>
      <c r="F912" s="8"/>
      <c r="G912" s="9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6.5" x14ac:dyDescent="0.25">
      <c r="A913" s="66"/>
      <c r="B913" s="9"/>
      <c r="C913" s="8"/>
      <c r="D913" s="8"/>
      <c r="E913" s="8"/>
      <c r="F913" s="8"/>
      <c r="G913" s="9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6.5" x14ac:dyDescent="0.25">
      <c r="A914" s="66"/>
      <c r="B914" s="9"/>
      <c r="C914" s="8"/>
      <c r="D914" s="8"/>
      <c r="E914" s="8"/>
      <c r="F914" s="8"/>
      <c r="G914" s="9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6.5" x14ac:dyDescent="0.25">
      <c r="A915" s="66"/>
      <c r="B915" s="9"/>
      <c r="C915" s="8"/>
      <c r="D915" s="8"/>
      <c r="E915" s="8"/>
      <c r="F915" s="8"/>
      <c r="G915" s="9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6.5" x14ac:dyDescent="0.25">
      <c r="A916" s="66"/>
      <c r="B916" s="9"/>
      <c r="C916" s="8"/>
      <c r="D916" s="8"/>
      <c r="E916" s="8"/>
      <c r="F916" s="8"/>
      <c r="G916" s="9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6.5" x14ac:dyDescent="0.25">
      <c r="A917" s="66"/>
      <c r="B917" s="9"/>
      <c r="C917" s="8"/>
      <c r="D917" s="8"/>
      <c r="E917" s="8"/>
      <c r="F917" s="8"/>
      <c r="G917" s="9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6.5" x14ac:dyDescent="0.25">
      <c r="A918" s="66"/>
      <c r="B918" s="9"/>
      <c r="C918" s="8"/>
      <c r="D918" s="8"/>
      <c r="E918" s="8"/>
      <c r="F918" s="8"/>
      <c r="G918" s="9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6.5" x14ac:dyDescent="0.25">
      <c r="A919" s="66"/>
      <c r="B919" s="9"/>
      <c r="C919" s="8"/>
      <c r="D919" s="8"/>
      <c r="E919" s="8"/>
      <c r="F919" s="8"/>
      <c r="G919" s="9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6.5" x14ac:dyDescent="0.25">
      <c r="A920" s="66"/>
      <c r="B920" s="9"/>
      <c r="C920" s="8"/>
      <c r="D920" s="8"/>
      <c r="E920" s="8"/>
      <c r="F920" s="8"/>
      <c r="G920" s="9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6.5" x14ac:dyDescent="0.25">
      <c r="A921" s="66"/>
      <c r="B921" s="9"/>
      <c r="C921" s="8"/>
      <c r="D921" s="8"/>
      <c r="E921" s="8"/>
      <c r="F921" s="8"/>
      <c r="G921" s="9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6.5" x14ac:dyDescent="0.25">
      <c r="A922" s="66"/>
      <c r="B922" s="9"/>
      <c r="C922" s="8"/>
      <c r="D922" s="8"/>
      <c r="E922" s="8"/>
      <c r="F922" s="8"/>
      <c r="G922" s="9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6.5" x14ac:dyDescent="0.25">
      <c r="A923" s="66"/>
      <c r="B923" s="9"/>
      <c r="C923" s="8"/>
      <c r="D923" s="8"/>
      <c r="E923" s="8"/>
      <c r="F923" s="8"/>
      <c r="G923" s="9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6.5" x14ac:dyDescent="0.25">
      <c r="A924" s="66"/>
      <c r="B924" s="9"/>
      <c r="C924" s="8"/>
      <c r="D924" s="8"/>
      <c r="E924" s="8"/>
      <c r="F924" s="8"/>
      <c r="G924" s="9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6.5" x14ac:dyDescent="0.25">
      <c r="A925" s="66"/>
      <c r="B925" s="9"/>
      <c r="C925" s="8"/>
      <c r="D925" s="8"/>
      <c r="E925" s="8"/>
      <c r="F925" s="8"/>
      <c r="G925" s="9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6.5" x14ac:dyDescent="0.25">
      <c r="A926" s="66"/>
      <c r="B926" s="9"/>
      <c r="C926" s="8"/>
      <c r="D926" s="8"/>
      <c r="E926" s="8"/>
      <c r="F926" s="8"/>
      <c r="G926" s="9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6.5" x14ac:dyDescent="0.25">
      <c r="A927" s="66"/>
      <c r="B927" s="9"/>
      <c r="C927" s="8"/>
      <c r="D927" s="8"/>
      <c r="E927" s="8"/>
      <c r="F927" s="8"/>
      <c r="G927" s="9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6.5" x14ac:dyDescent="0.25">
      <c r="A928" s="66"/>
      <c r="B928" s="9"/>
      <c r="C928" s="8"/>
      <c r="D928" s="8"/>
      <c r="E928" s="8"/>
      <c r="F928" s="8"/>
      <c r="G928" s="9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6.5" x14ac:dyDescent="0.25">
      <c r="A929" s="66"/>
      <c r="B929" s="9"/>
      <c r="C929" s="8"/>
      <c r="D929" s="8"/>
      <c r="E929" s="8"/>
      <c r="F929" s="8"/>
      <c r="G929" s="9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6.5" x14ac:dyDescent="0.25">
      <c r="A930" s="66"/>
      <c r="B930" s="9"/>
      <c r="C930" s="8"/>
      <c r="D930" s="8"/>
      <c r="E930" s="8"/>
      <c r="F930" s="8"/>
      <c r="G930" s="9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6.5" x14ac:dyDescent="0.25">
      <c r="A931" s="66"/>
      <c r="B931" s="9"/>
      <c r="C931" s="8"/>
      <c r="D931" s="8"/>
      <c r="E931" s="8"/>
      <c r="F931" s="8"/>
      <c r="G931" s="9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6.5" x14ac:dyDescent="0.25">
      <c r="A932" s="66"/>
      <c r="B932" s="9"/>
      <c r="C932" s="8"/>
      <c r="D932" s="8"/>
      <c r="E932" s="8"/>
      <c r="F932" s="8"/>
      <c r="G932" s="9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6.5" x14ac:dyDescent="0.25">
      <c r="A933" s="66"/>
      <c r="B933" s="9"/>
      <c r="C933" s="8"/>
      <c r="D933" s="8"/>
      <c r="E933" s="8"/>
      <c r="F933" s="8"/>
      <c r="G933" s="9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6.5" x14ac:dyDescent="0.25">
      <c r="A934" s="66"/>
      <c r="B934" s="9"/>
      <c r="C934" s="8"/>
      <c r="D934" s="8"/>
      <c r="E934" s="8"/>
      <c r="F934" s="8"/>
      <c r="G934" s="9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6.5" x14ac:dyDescent="0.25">
      <c r="A935" s="66"/>
      <c r="B935" s="9"/>
      <c r="C935" s="8"/>
      <c r="D935" s="8"/>
      <c r="E935" s="8"/>
      <c r="F935" s="8"/>
      <c r="G935" s="9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6.5" x14ac:dyDescent="0.25">
      <c r="A936" s="66"/>
      <c r="B936" s="9"/>
      <c r="C936" s="8"/>
      <c r="D936" s="8"/>
      <c r="E936" s="8"/>
      <c r="F936" s="8"/>
      <c r="G936" s="9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6.5" x14ac:dyDescent="0.25">
      <c r="A937" s="66"/>
      <c r="B937" s="9"/>
      <c r="C937" s="8"/>
      <c r="D937" s="8"/>
      <c r="E937" s="8"/>
      <c r="F937" s="8"/>
      <c r="G937" s="9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6.5" x14ac:dyDescent="0.25">
      <c r="A938" s="66"/>
      <c r="B938" s="9"/>
      <c r="C938" s="8"/>
      <c r="D938" s="8"/>
      <c r="E938" s="8"/>
      <c r="F938" s="8"/>
      <c r="G938" s="9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6.5" x14ac:dyDescent="0.25">
      <c r="A939" s="66"/>
      <c r="B939" s="9"/>
      <c r="C939" s="8"/>
      <c r="D939" s="8"/>
      <c r="E939" s="8"/>
      <c r="F939" s="8"/>
      <c r="G939" s="9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6.5" x14ac:dyDescent="0.25">
      <c r="A940" s="66"/>
      <c r="B940" s="9"/>
      <c r="C940" s="8"/>
      <c r="D940" s="8"/>
      <c r="E940" s="8"/>
      <c r="F940" s="8"/>
      <c r="G940" s="9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6.5" x14ac:dyDescent="0.25">
      <c r="A941" s="66"/>
      <c r="B941" s="9"/>
      <c r="C941" s="8"/>
      <c r="D941" s="8"/>
      <c r="E941" s="8"/>
      <c r="F941" s="8"/>
      <c r="G941" s="9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6.5" x14ac:dyDescent="0.25">
      <c r="A942" s="66"/>
      <c r="B942" s="9"/>
      <c r="C942" s="8"/>
      <c r="D942" s="8"/>
      <c r="E942" s="8"/>
      <c r="F942" s="8"/>
      <c r="G942" s="9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6.5" x14ac:dyDescent="0.25">
      <c r="A943" s="66"/>
      <c r="B943" s="9"/>
      <c r="C943" s="8"/>
      <c r="D943" s="8"/>
      <c r="E943" s="8"/>
      <c r="F943" s="8"/>
      <c r="G943" s="9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6.5" x14ac:dyDescent="0.25">
      <c r="A944" s="66"/>
      <c r="B944" s="9"/>
      <c r="C944" s="8"/>
      <c r="D944" s="8"/>
      <c r="E944" s="8"/>
      <c r="F944" s="8"/>
      <c r="G944" s="9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6.5" x14ac:dyDescent="0.25">
      <c r="A945" s="66"/>
      <c r="B945" s="9"/>
      <c r="C945" s="8"/>
      <c r="D945" s="8"/>
      <c r="E945" s="8"/>
      <c r="F945" s="8"/>
      <c r="G945" s="9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6.5" x14ac:dyDescent="0.25">
      <c r="A946" s="66"/>
      <c r="B946" s="9"/>
      <c r="C946" s="8"/>
      <c r="D946" s="8"/>
      <c r="E946" s="8"/>
      <c r="F946" s="8"/>
      <c r="G946" s="9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6.5" x14ac:dyDescent="0.25">
      <c r="A947" s="66"/>
      <c r="B947" s="9"/>
      <c r="C947" s="8"/>
      <c r="D947" s="8"/>
      <c r="E947" s="8"/>
      <c r="F947" s="8"/>
      <c r="G947" s="9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6.5" x14ac:dyDescent="0.25">
      <c r="A948" s="66"/>
      <c r="B948" s="9"/>
      <c r="C948" s="8"/>
      <c r="D948" s="8"/>
      <c r="E948" s="8"/>
      <c r="F948" s="8"/>
      <c r="G948" s="9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6.5" x14ac:dyDescent="0.25">
      <c r="A949" s="66"/>
      <c r="B949" s="9"/>
      <c r="C949" s="8"/>
      <c r="D949" s="8"/>
      <c r="E949" s="8"/>
      <c r="F949" s="8"/>
      <c r="G949" s="9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6.5" x14ac:dyDescent="0.25">
      <c r="A950" s="66"/>
      <c r="B950" s="9"/>
      <c r="C950" s="8"/>
      <c r="D950" s="8"/>
      <c r="E950" s="8"/>
      <c r="F950" s="8"/>
      <c r="G950" s="9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6.5" x14ac:dyDescent="0.25">
      <c r="A951" s="66"/>
      <c r="B951" s="9"/>
      <c r="C951" s="8"/>
      <c r="D951" s="8"/>
      <c r="E951" s="8"/>
      <c r="F951" s="8"/>
      <c r="G951" s="9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6.5" x14ac:dyDescent="0.25">
      <c r="A952" s="66"/>
      <c r="B952" s="9"/>
      <c r="C952" s="8"/>
      <c r="D952" s="8"/>
      <c r="E952" s="8"/>
      <c r="F952" s="8"/>
      <c r="G952" s="9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6.5" x14ac:dyDescent="0.25">
      <c r="A953" s="66"/>
      <c r="B953" s="9"/>
      <c r="C953" s="8"/>
      <c r="D953" s="8"/>
      <c r="E953" s="8"/>
      <c r="F953" s="8"/>
      <c r="G953" s="9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6.5" x14ac:dyDescent="0.25">
      <c r="A954" s="66"/>
      <c r="B954" s="9"/>
      <c r="C954" s="8"/>
      <c r="D954" s="8"/>
      <c r="E954" s="8"/>
      <c r="F954" s="8"/>
      <c r="G954" s="9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6.5" x14ac:dyDescent="0.25">
      <c r="A955" s="66"/>
      <c r="B955" s="9"/>
      <c r="C955" s="8"/>
      <c r="D955" s="8"/>
      <c r="E955" s="8"/>
      <c r="F955" s="8"/>
      <c r="G955" s="9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6.5" x14ac:dyDescent="0.25">
      <c r="A956" s="66"/>
      <c r="B956" s="9"/>
      <c r="C956" s="8"/>
      <c r="D956" s="8"/>
      <c r="E956" s="8"/>
      <c r="F956" s="8"/>
      <c r="G956" s="9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6.5" x14ac:dyDescent="0.25">
      <c r="A957" s="66"/>
      <c r="B957" s="9"/>
      <c r="C957" s="8"/>
      <c r="D957" s="8"/>
      <c r="E957" s="8"/>
      <c r="F957" s="8"/>
      <c r="G957" s="9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6.5" x14ac:dyDescent="0.25">
      <c r="A958" s="66"/>
      <c r="B958" s="9"/>
      <c r="C958" s="8"/>
      <c r="D958" s="8"/>
      <c r="E958" s="8"/>
      <c r="F958" s="8"/>
      <c r="G958" s="9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6.5" x14ac:dyDescent="0.25">
      <c r="A959" s="66"/>
      <c r="B959" s="9"/>
      <c r="C959" s="8"/>
      <c r="D959" s="8"/>
      <c r="E959" s="8"/>
      <c r="F959" s="8"/>
      <c r="G959" s="9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6.5" x14ac:dyDescent="0.25">
      <c r="A960" s="66"/>
      <c r="B960" s="9"/>
      <c r="C960" s="8"/>
      <c r="D960" s="8"/>
      <c r="E960" s="8"/>
      <c r="F960" s="8"/>
      <c r="G960" s="9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6.5" x14ac:dyDescent="0.25">
      <c r="A961" s="66"/>
      <c r="B961" s="9"/>
      <c r="C961" s="8"/>
      <c r="D961" s="8"/>
      <c r="E961" s="8"/>
      <c r="F961" s="8"/>
      <c r="G961" s="9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6.5" x14ac:dyDescent="0.25">
      <c r="A962" s="66"/>
      <c r="B962" s="9"/>
      <c r="C962" s="8"/>
      <c r="D962" s="8"/>
      <c r="E962" s="8"/>
      <c r="F962" s="8"/>
      <c r="G962" s="9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6.5" x14ac:dyDescent="0.25">
      <c r="A963" s="66"/>
      <c r="B963" s="9"/>
      <c r="C963" s="8"/>
      <c r="D963" s="8"/>
      <c r="E963" s="8"/>
      <c r="F963" s="8"/>
      <c r="G963" s="9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6.5" x14ac:dyDescent="0.25">
      <c r="A964" s="66"/>
      <c r="B964" s="9"/>
      <c r="C964" s="8"/>
      <c r="D964" s="8"/>
      <c r="E964" s="8"/>
      <c r="F964" s="8"/>
      <c r="G964" s="9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6.5" x14ac:dyDescent="0.25">
      <c r="A965" s="66"/>
      <c r="B965" s="9"/>
      <c r="C965" s="8"/>
      <c r="D965" s="8"/>
      <c r="E965" s="8"/>
      <c r="F965" s="8"/>
      <c r="G965" s="9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6.5" x14ac:dyDescent="0.25">
      <c r="A966" s="66"/>
      <c r="B966" s="9"/>
      <c r="C966" s="8"/>
      <c r="D966" s="8"/>
      <c r="E966" s="8"/>
      <c r="F966" s="8"/>
      <c r="G966" s="9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6.5" x14ac:dyDescent="0.25">
      <c r="A967" s="66"/>
      <c r="B967" s="9"/>
      <c r="C967" s="8"/>
      <c r="D967" s="8"/>
      <c r="E967" s="8"/>
      <c r="F967" s="8"/>
      <c r="G967" s="9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6.5" x14ac:dyDescent="0.25">
      <c r="A968" s="66"/>
      <c r="B968" s="9"/>
      <c r="C968" s="8"/>
      <c r="D968" s="8"/>
      <c r="E968" s="8"/>
      <c r="F968" s="8"/>
      <c r="G968" s="9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6.5" x14ac:dyDescent="0.25">
      <c r="A969" s="66"/>
      <c r="B969" s="9"/>
      <c r="C969" s="8"/>
      <c r="D969" s="8"/>
      <c r="E969" s="8"/>
      <c r="F969" s="8"/>
      <c r="G969" s="9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6.5" x14ac:dyDescent="0.25">
      <c r="A970" s="66"/>
      <c r="B970" s="9"/>
      <c r="C970" s="8"/>
      <c r="D970" s="8"/>
      <c r="E970" s="8"/>
      <c r="F970" s="8"/>
      <c r="G970" s="9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6.5" x14ac:dyDescent="0.25">
      <c r="A971" s="66"/>
      <c r="B971" s="9"/>
      <c r="C971" s="8"/>
      <c r="D971" s="8"/>
      <c r="E971" s="8"/>
      <c r="F971" s="8"/>
      <c r="G971" s="9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6.5" x14ac:dyDescent="0.25">
      <c r="A972" s="66"/>
      <c r="B972" s="9"/>
      <c r="C972" s="8"/>
      <c r="D972" s="8"/>
      <c r="E972" s="8"/>
      <c r="F972" s="8"/>
      <c r="G972" s="9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6.5" x14ac:dyDescent="0.25">
      <c r="A973" s="66"/>
      <c r="B973" s="9"/>
      <c r="C973" s="8"/>
      <c r="D973" s="8"/>
      <c r="E973" s="8"/>
      <c r="F973" s="8"/>
      <c r="G973" s="9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6.5" x14ac:dyDescent="0.25">
      <c r="A974" s="66"/>
      <c r="B974" s="9"/>
      <c r="C974" s="8"/>
      <c r="D974" s="8"/>
      <c r="E974" s="8"/>
      <c r="F974" s="8"/>
      <c r="G974" s="9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6.5" x14ac:dyDescent="0.25">
      <c r="A975" s="66"/>
      <c r="B975" s="9"/>
      <c r="C975" s="8"/>
      <c r="D975" s="8"/>
      <c r="E975" s="8"/>
      <c r="F975" s="8"/>
      <c r="G975" s="9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6.5" x14ac:dyDescent="0.25">
      <c r="A976" s="66"/>
      <c r="B976" s="9"/>
      <c r="C976" s="8"/>
      <c r="D976" s="8"/>
      <c r="E976" s="8"/>
      <c r="F976" s="8"/>
      <c r="G976" s="9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6.5" x14ac:dyDescent="0.25">
      <c r="A977" s="66"/>
      <c r="B977" s="9"/>
      <c r="C977" s="8"/>
      <c r="D977" s="8"/>
      <c r="E977" s="8"/>
      <c r="F977" s="8"/>
      <c r="G977" s="9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6.5" x14ac:dyDescent="0.25">
      <c r="A978" s="66"/>
      <c r="B978" s="9"/>
      <c r="C978" s="8"/>
      <c r="D978" s="8"/>
      <c r="E978" s="8"/>
      <c r="F978" s="8"/>
      <c r="G978" s="9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6.5" x14ac:dyDescent="0.25">
      <c r="A979" s="66"/>
      <c r="B979" s="9"/>
      <c r="C979" s="8"/>
      <c r="D979" s="8"/>
      <c r="E979" s="8"/>
      <c r="F979" s="8"/>
      <c r="G979" s="9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6.5" x14ac:dyDescent="0.25">
      <c r="A980" s="66"/>
      <c r="B980" s="9"/>
      <c r="C980" s="8"/>
      <c r="D980" s="8"/>
      <c r="E980" s="8"/>
      <c r="F980" s="8"/>
      <c r="G980" s="9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6.5" x14ac:dyDescent="0.25">
      <c r="A981" s="66"/>
      <c r="B981" s="9"/>
      <c r="C981" s="8"/>
      <c r="D981" s="8"/>
      <c r="E981" s="8"/>
      <c r="F981" s="8"/>
      <c r="G981" s="9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6.5" x14ac:dyDescent="0.25">
      <c r="A982" s="66"/>
      <c r="B982" s="9"/>
      <c r="C982" s="8"/>
      <c r="D982" s="8"/>
      <c r="E982" s="8"/>
      <c r="F982" s="8"/>
      <c r="G982" s="9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6.5" x14ac:dyDescent="0.25">
      <c r="A983" s="66"/>
      <c r="B983" s="9"/>
      <c r="C983" s="8"/>
      <c r="D983" s="8"/>
      <c r="E983" s="8"/>
      <c r="F983" s="8"/>
      <c r="G983" s="9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6.5" x14ac:dyDescent="0.25">
      <c r="A984" s="66"/>
      <c r="B984" s="9"/>
      <c r="C984" s="8"/>
      <c r="D984" s="8"/>
      <c r="E984" s="8"/>
      <c r="F984" s="8"/>
      <c r="G984" s="9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6.5" x14ac:dyDescent="0.25">
      <c r="A985" s="66"/>
      <c r="B985" s="9"/>
      <c r="C985" s="8"/>
      <c r="D985" s="8"/>
      <c r="E985" s="8"/>
      <c r="F985" s="8"/>
      <c r="G985" s="9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6.5" x14ac:dyDescent="0.25">
      <c r="A986" s="66"/>
      <c r="B986" s="9"/>
      <c r="C986" s="8"/>
      <c r="D986" s="8"/>
      <c r="E986" s="8"/>
      <c r="F986" s="8"/>
      <c r="G986" s="9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6.5" x14ac:dyDescent="0.25">
      <c r="A987" s="66"/>
      <c r="B987" s="9"/>
      <c r="C987" s="8"/>
      <c r="D987" s="8"/>
      <c r="E987" s="8"/>
      <c r="F987" s="8"/>
      <c r="G987" s="9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6.5" x14ac:dyDescent="0.25">
      <c r="A988" s="66"/>
      <c r="B988" s="9"/>
      <c r="C988" s="8"/>
      <c r="D988" s="8"/>
      <c r="E988" s="8"/>
      <c r="F988" s="8"/>
      <c r="G988" s="9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6.5" x14ac:dyDescent="0.25">
      <c r="A989" s="66"/>
      <c r="B989" s="9"/>
      <c r="C989" s="8"/>
      <c r="D989" s="8"/>
      <c r="E989" s="8"/>
      <c r="F989" s="8"/>
      <c r="G989" s="9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6.5" x14ac:dyDescent="0.25">
      <c r="A990" s="66"/>
      <c r="B990" s="9"/>
      <c r="C990" s="8"/>
      <c r="D990" s="8"/>
      <c r="E990" s="8"/>
      <c r="F990" s="8"/>
      <c r="G990" s="9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6.5" x14ac:dyDescent="0.25">
      <c r="A991" s="66"/>
      <c r="B991" s="9"/>
      <c r="C991" s="8"/>
      <c r="D991" s="8"/>
      <c r="E991" s="8"/>
      <c r="F991" s="8"/>
      <c r="G991" s="9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6.5" x14ac:dyDescent="0.25">
      <c r="A992" s="66"/>
      <c r="B992" s="9"/>
      <c r="C992" s="8"/>
      <c r="D992" s="8"/>
      <c r="E992" s="8"/>
      <c r="F992" s="8"/>
      <c r="G992" s="9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6.5" x14ac:dyDescent="0.25">
      <c r="A993" s="66"/>
      <c r="B993" s="9"/>
      <c r="C993" s="8"/>
      <c r="D993" s="8"/>
      <c r="E993" s="8"/>
      <c r="F993" s="8"/>
      <c r="G993" s="9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6.5" x14ac:dyDescent="0.25">
      <c r="A994" s="66"/>
      <c r="B994" s="9"/>
      <c r="C994" s="8"/>
      <c r="D994" s="8"/>
      <c r="E994" s="8"/>
      <c r="F994" s="8"/>
      <c r="G994" s="9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6.5" x14ac:dyDescent="0.25">
      <c r="A995" s="66"/>
      <c r="B995" s="9"/>
      <c r="C995" s="8"/>
      <c r="D995" s="8"/>
      <c r="E995" s="8"/>
      <c r="F995" s="8"/>
      <c r="G995" s="9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6.5" x14ac:dyDescent="0.25">
      <c r="A996" s="66"/>
      <c r="B996" s="9"/>
      <c r="C996" s="8"/>
      <c r="D996" s="8"/>
      <c r="E996" s="8"/>
      <c r="F996" s="8"/>
      <c r="G996" s="9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6.5" x14ac:dyDescent="0.25">
      <c r="A997" s="66"/>
      <c r="B997" s="9"/>
      <c r="C997" s="8"/>
      <c r="D997" s="8"/>
      <c r="E997" s="8"/>
      <c r="F997" s="8"/>
      <c r="G997" s="9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6.5" x14ac:dyDescent="0.25">
      <c r="A998" s="66"/>
      <c r="B998" s="9"/>
      <c r="C998" s="8"/>
      <c r="D998" s="8"/>
      <c r="E998" s="8"/>
      <c r="F998" s="8"/>
      <c r="G998" s="9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6.5" x14ac:dyDescent="0.25">
      <c r="A999" s="66"/>
      <c r="B999" s="9"/>
      <c r="C999" s="8"/>
      <c r="D999" s="8"/>
      <c r="E999" s="8"/>
      <c r="F999" s="8"/>
      <c r="G999" s="9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6.5" x14ac:dyDescent="0.25">
      <c r="A1000" s="66"/>
      <c r="B1000" s="9"/>
      <c r="C1000" s="8"/>
      <c r="D1000" s="8"/>
      <c r="E1000" s="8"/>
      <c r="F1000" s="8"/>
      <c r="G1000" s="9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20">
    <mergeCell ref="A1:B1"/>
    <mergeCell ref="D1:F1"/>
    <mergeCell ref="A2:F2"/>
    <mergeCell ref="A3:F3"/>
    <mergeCell ref="I27:I28"/>
    <mergeCell ref="I33:I34"/>
    <mergeCell ref="G36:K36"/>
    <mergeCell ref="G51:I51"/>
    <mergeCell ref="J51:L51"/>
    <mergeCell ref="G52:I52"/>
    <mergeCell ref="G53:I53"/>
    <mergeCell ref="G54:I54"/>
    <mergeCell ref="G55:I55"/>
    <mergeCell ref="G43:H43"/>
    <mergeCell ref="G44:H44"/>
    <mergeCell ref="G45:H45"/>
    <mergeCell ref="G47:I47"/>
    <mergeCell ref="G48:I48"/>
    <mergeCell ref="G49:I49"/>
    <mergeCell ref="G50:I50"/>
  </mergeCells>
  <pageMargins left="0.59055118110236227" right="0.31496062992125984" top="0.39370078740157483" bottom="0.27559055118110237" header="0" footer="0"/>
  <pageSetup paperSize="9" scale="90" orientation="landscape"/>
  <headerFooter>
    <oddFooter>&amp;R        &amp;P/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84"/>
  <sheetViews>
    <sheetView zoomScale="107" zoomScaleNormal="107" workbookViewId="0">
      <pane ySplit="8" topLeftCell="A15" activePane="bottomLeft" state="frozen"/>
      <selection pane="bottomLeft" activeCell="A5" sqref="A5:I5"/>
    </sheetView>
  </sheetViews>
  <sheetFormatPr defaultColWidth="11.21875" defaultRowHeight="15" customHeight="1" x14ac:dyDescent="0.25"/>
  <cols>
    <col min="1" max="1" width="7.88671875" style="330" customWidth="1"/>
    <col min="2" max="2" width="30.6640625" style="330" customWidth="1"/>
    <col min="3" max="3" width="11.109375" style="330" customWidth="1"/>
    <col min="4" max="4" width="17.5546875" style="330" customWidth="1"/>
    <col min="5" max="5" width="16.6640625" style="330" customWidth="1"/>
    <col min="6" max="9" width="12.21875" style="330" customWidth="1"/>
    <col min="10" max="10" width="8.88671875" style="125" customWidth="1"/>
    <col min="11" max="11" width="17.77734375" style="125" customWidth="1"/>
    <col min="12" max="13" width="8.88671875" style="125" customWidth="1"/>
    <col min="14" max="16384" width="11.21875" style="125"/>
  </cols>
  <sheetData>
    <row r="1" spans="1:17" ht="15" customHeight="1" x14ac:dyDescent="0.25">
      <c r="H1" s="409"/>
      <c r="I1" s="409"/>
    </row>
    <row r="2" spans="1:17" ht="16.5" x14ac:dyDescent="0.25">
      <c r="A2" s="410"/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</row>
    <row r="3" spans="1:17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</row>
    <row r="4" spans="1:17" ht="16.5" x14ac:dyDescent="0.25">
      <c r="A4" s="405" t="s">
        <v>223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</row>
    <row r="5" spans="1:17" ht="16.5" x14ac:dyDescent="0.25">
      <c r="A5" s="417" t="str">
        <f>'PL 01'!A3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</row>
    <row r="6" spans="1:17" ht="16.5" x14ac:dyDescent="0.25">
      <c r="A6" s="376"/>
      <c r="B6" s="376"/>
      <c r="C6" s="376"/>
      <c r="D6" s="377"/>
      <c r="E6" s="377"/>
      <c r="F6" s="377"/>
      <c r="G6" s="377"/>
      <c r="H6" s="377"/>
      <c r="I6" s="377"/>
      <c r="J6" s="127"/>
      <c r="K6" s="127"/>
      <c r="L6" s="127"/>
      <c r="M6" s="127"/>
    </row>
    <row r="7" spans="1:17" ht="37.15" customHeight="1" x14ac:dyDescent="0.25">
      <c r="A7" s="412" t="s">
        <v>10</v>
      </c>
      <c r="B7" s="412" t="s">
        <v>1</v>
      </c>
      <c r="C7" s="412" t="s">
        <v>11</v>
      </c>
      <c r="D7" s="414" t="s">
        <v>222</v>
      </c>
      <c r="E7" s="403" t="s">
        <v>256</v>
      </c>
      <c r="F7" s="403"/>
      <c r="G7" s="403"/>
      <c r="H7" s="416"/>
      <c r="I7" s="403" t="s">
        <v>217</v>
      </c>
      <c r="J7" s="127"/>
      <c r="K7" s="153" t="s">
        <v>215</v>
      </c>
      <c r="L7" s="172">
        <v>70</v>
      </c>
      <c r="M7" s="130"/>
      <c r="N7" s="154"/>
      <c r="O7" s="154"/>
    </row>
    <row r="8" spans="1:17" ht="37.15" customHeight="1" x14ac:dyDescent="0.25">
      <c r="A8" s="413"/>
      <c r="B8" s="413"/>
      <c r="C8" s="413"/>
      <c r="D8" s="415"/>
      <c r="E8" s="331" t="s">
        <v>257</v>
      </c>
      <c r="F8" s="331" t="s">
        <v>261</v>
      </c>
      <c r="G8" s="331" t="s">
        <v>263</v>
      </c>
      <c r="H8" s="378" t="s">
        <v>258</v>
      </c>
      <c r="I8" s="403"/>
      <c r="J8" s="127"/>
      <c r="K8" s="153" t="s">
        <v>216</v>
      </c>
      <c r="L8" s="172">
        <v>238</v>
      </c>
      <c r="M8" s="130"/>
      <c r="N8" s="154"/>
      <c r="O8" s="154"/>
    </row>
    <row r="9" spans="1:17" s="131" customFormat="1" ht="32.450000000000003" customHeight="1" x14ac:dyDescent="0.25">
      <c r="A9" s="3" t="s">
        <v>12</v>
      </c>
      <c r="B9" s="335" t="s">
        <v>13</v>
      </c>
      <c r="C9" s="3" t="s">
        <v>6</v>
      </c>
      <c r="D9" s="291">
        <f>D13+D28+D37+D43+D46+D67</f>
        <v>108.93</v>
      </c>
      <c r="E9" s="292">
        <f t="shared" ref="E9:G9" si="0">E13+E28+E37+E43+E46+E67</f>
        <v>147.83000000000001</v>
      </c>
      <c r="F9" s="292">
        <f t="shared" si="0"/>
        <v>105.42</v>
      </c>
      <c r="G9" s="292">
        <f t="shared" si="0"/>
        <v>105.42</v>
      </c>
      <c r="H9" s="293">
        <f>F9/E9*100</f>
        <v>71.311641750659533</v>
      </c>
      <c r="I9" s="294"/>
      <c r="J9" s="213"/>
      <c r="K9" s="213"/>
      <c r="L9" s="213"/>
      <c r="M9" s="213"/>
    </row>
    <row r="10" spans="1:17" s="131" customFormat="1" ht="32.450000000000003" customHeight="1" x14ac:dyDescent="0.25">
      <c r="A10" s="3">
        <v>1</v>
      </c>
      <c r="B10" s="335" t="s">
        <v>14</v>
      </c>
      <c r="C10" s="3" t="s">
        <v>6</v>
      </c>
      <c r="D10" s="291">
        <f>D13+D28</f>
        <v>1</v>
      </c>
      <c r="E10" s="291">
        <f t="shared" ref="E10:G10" si="1">E13+E28</f>
        <v>30.36</v>
      </c>
      <c r="F10" s="291">
        <f t="shared" si="1"/>
        <v>2.34</v>
      </c>
      <c r="G10" s="291">
        <f t="shared" si="1"/>
        <v>2.34</v>
      </c>
      <c r="H10" s="293">
        <f>F10/E10*100</f>
        <v>7.7075098814229248</v>
      </c>
      <c r="I10" s="294"/>
      <c r="J10" s="213"/>
      <c r="K10" s="213"/>
      <c r="L10" s="213"/>
      <c r="M10" s="213"/>
    </row>
    <row r="11" spans="1:17" s="131" customFormat="1" ht="32.450000000000003" customHeight="1" x14ac:dyDescent="0.25">
      <c r="A11" s="3"/>
      <c r="B11" s="335" t="s">
        <v>16</v>
      </c>
      <c r="C11" s="3" t="s">
        <v>17</v>
      </c>
      <c r="D11" s="296">
        <f>D15+D30</f>
        <v>3.6850000000000001</v>
      </c>
      <c r="E11" s="296">
        <f t="shared" ref="E11:G11" si="2">E15+E30</f>
        <v>115.12368000000001</v>
      </c>
      <c r="F11" s="296">
        <f t="shared" si="2"/>
        <v>0</v>
      </c>
      <c r="G11" s="296">
        <f t="shared" si="2"/>
        <v>0</v>
      </c>
      <c r="H11" s="293"/>
      <c r="I11" s="298"/>
      <c r="J11" s="213"/>
      <c r="K11" s="213"/>
      <c r="L11" s="213"/>
      <c r="M11" s="213"/>
    </row>
    <row r="12" spans="1:17" s="131" customFormat="1" ht="32.450000000000003" customHeight="1" x14ac:dyDescent="0.25">
      <c r="A12" s="3"/>
      <c r="B12" s="335" t="s">
        <v>221</v>
      </c>
      <c r="C12" s="3" t="s">
        <v>17</v>
      </c>
      <c r="D12" s="296">
        <f>D15</f>
        <v>0</v>
      </c>
      <c r="E12" s="296">
        <f t="shared" ref="E12:G12" si="3">E15</f>
        <v>111.43368000000001</v>
      </c>
      <c r="F12" s="296">
        <f t="shared" si="3"/>
        <v>0</v>
      </c>
      <c r="G12" s="296">
        <f t="shared" si="3"/>
        <v>0</v>
      </c>
      <c r="H12" s="293"/>
      <c r="I12" s="298"/>
      <c r="J12" s="213"/>
      <c r="K12" s="213"/>
      <c r="L12" s="213"/>
      <c r="M12" s="213"/>
    </row>
    <row r="13" spans="1:17" ht="32.450000000000003" customHeight="1" x14ac:dyDescent="0.25">
      <c r="A13" s="3" t="s">
        <v>5</v>
      </c>
      <c r="B13" s="335" t="s">
        <v>19</v>
      </c>
      <c r="C13" s="3" t="s">
        <v>6</v>
      </c>
      <c r="D13" s="291">
        <f t="shared" ref="D13:G13" si="4">D16+D19</f>
        <v>0</v>
      </c>
      <c r="E13" s="291">
        <f t="shared" si="4"/>
        <v>29.36</v>
      </c>
      <c r="F13" s="291">
        <f t="shared" si="4"/>
        <v>2.34</v>
      </c>
      <c r="G13" s="291">
        <f t="shared" si="4"/>
        <v>2.34</v>
      </c>
      <c r="H13" s="293">
        <f t="shared" ref="H13:H74" si="5">F13/E13*100</f>
        <v>7.9700272479564029</v>
      </c>
      <c r="I13" s="294"/>
      <c r="J13" s="127"/>
      <c r="K13" s="127"/>
      <c r="L13" s="127"/>
      <c r="M13" s="127"/>
    </row>
    <row r="14" spans="1:17" ht="32.450000000000003" customHeight="1" x14ac:dyDescent="0.25">
      <c r="A14" s="3"/>
      <c r="B14" s="337" t="s">
        <v>218</v>
      </c>
      <c r="C14" s="5" t="s">
        <v>219</v>
      </c>
      <c r="D14" s="296"/>
      <c r="E14" s="296">
        <f>E15/E13*10</f>
        <v>37.954250681198914</v>
      </c>
      <c r="F14" s="296">
        <f t="shared" ref="F14:G14" si="6">F15/F13*10</f>
        <v>0</v>
      </c>
      <c r="G14" s="296">
        <f t="shared" si="6"/>
        <v>0</v>
      </c>
      <c r="H14" s="293"/>
      <c r="I14" s="298"/>
      <c r="J14" s="127"/>
      <c r="K14" s="127"/>
      <c r="L14" s="127"/>
      <c r="M14" s="127"/>
    </row>
    <row r="15" spans="1:17" ht="32.450000000000003" customHeight="1" x14ac:dyDescent="0.25">
      <c r="A15" s="3"/>
      <c r="B15" s="337" t="s">
        <v>220</v>
      </c>
      <c r="C15" s="5" t="s">
        <v>17</v>
      </c>
      <c r="D15" s="296">
        <f>D18+D21</f>
        <v>0</v>
      </c>
      <c r="E15" s="296">
        <f t="shared" ref="E15:G15" si="7">E18+E21</f>
        <v>111.43368000000001</v>
      </c>
      <c r="F15" s="296">
        <f t="shared" si="7"/>
        <v>0</v>
      </c>
      <c r="G15" s="296">
        <f t="shared" si="7"/>
        <v>0</v>
      </c>
      <c r="H15" s="293"/>
      <c r="I15" s="298"/>
      <c r="J15" s="127"/>
      <c r="K15" s="127"/>
      <c r="L15" s="127"/>
      <c r="M15" s="127"/>
    </row>
    <row r="16" spans="1:17" ht="32.450000000000003" customHeight="1" x14ac:dyDescent="0.25">
      <c r="A16" s="3" t="s">
        <v>20</v>
      </c>
      <c r="B16" s="335" t="s">
        <v>21</v>
      </c>
      <c r="C16" s="3" t="s">
        <v>6</v>
      </c>
      <c r="D16" s="291"/>
      <c r="E16" s="291">
        <v>2.34</v>
      </c>
      <c r="F16" s="291">
        <v>2.34</v>
      </c>
      <c r="G16" s="291">
        <v>2.34</v>
      </c>
      <c r="H16" s="293">
        <f t="shared" si="5"/>
        <v>100</v>
      </c>
      <c r="I16" s="298"/>
      <c r="J16" s="214"/>
      <c r="K16" s="214"/>
      <c r="L16" s="214"/>
      <c r="M16" s="214"/>
      <c r="N16" s="135"/>
      <c r="O16" s="135"/>
      <c r="P16" s="135"/>
      <c r="Q16" s="135"/>
    </row>
    <row r="17" spans="1:24" ht="32.450000000000003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/>
      <c r="G17" s="296">
        <v>0</v>
      </c>
      <c r="H17" s="293"/>
      <c r="I17" s="298"/>
      <c r="J17" s="214"/>
      <c r="K17" s="214"/>
      <c r="L17" s="214"/>
      <c r="M17" s="214"/>
      <c r="N17" s="135"/>
      <c r="O17" s="135"/>
      <c r="P17" s="135"/>
      <c r="Q17" s="135"/>
    </row>
    <row r="18" spans="1:24" ht="32.450000000000003" customHeight="1" x14ac:dyDescent="0.25">
      <c r="A18" s="3"/>
      <c r="B18" s="337" t="s">
        <v>220</v>
      </c>
      <c r="C18" s="5" t="s">
        <v>17</v>
      </c>
      <c r="D18" s="296">
        <f>D16*D17/10</f>
        <v>0</v>
      </c>
      <c r="E18" s="296">
        <f>E16*E17/10</f>
        <v>7.8390000000000004</v>
      </c>
      <c r="F18" s="296">
        <f t="shared" ref="F18:G18" si="8">F16*F17/10</f>
        <v>0</v>
      </c>
      <c r="G18" s="296">
        <f t="shared" si="8"/>
        <v>0</v>
      </c>
      <c r="H18" s="293"/>
      <c r="I18" s="298"/>
      <c r="J18" s="214"/>
      <c r="K18" s="214"/>
      <c r="L18" s="214"/>
      <c r="M18" s="214"/>
      <c r="N18" s="135"/>
      <c r="O18" s="135"/>
      <c r="P18" s="135"/>
      <c r="Q18" s="135"/>
    </row>
    <row r="19" spans="1:24" ht="32.450000000000003" customHeight="1" x14ac:dyDescent="0.25">
      <c r="A19" s="379" t="s">
        <v>22</v>
      </c>
      <c r="B19" s="380" t="s">
        <v>23</v>
      </c>
      <c r="C19" s="379" t="s">
        <v>6</v>
      </c>
      <c r="D19" s="291">
        <f>D22+D25</f>
        <v>0</v>
      </c>
      <c r="E19" s="291">
        <f>E22+E25</f>
        <v>27.02</v>
      </c>
      <c r="F19" s="291">
        <f t="shared" ref="F19:G19" si="9">F22+F25</f>
        <v>0</v>
      </c>
      <c r="G19" s="291">
        <f t="shared" si="9"/>
        <v>0</v>
      </c>
      <c r="H19" s="293">
        <f t="shared" si="5"/>
        <v>0</v>
      </c>
      <c r="I19" s="294"/>
      <c r="J19" s="128"/>
      <c r="K19" s="128"/>
      <c r="L19" s="128"/>
      <c r="M19" s="223"/>
      <c r="N19" s="133"/>
      <c r="O19" s="133"/>
      <c r="P19" s="133"/>
      <c r="Q19" s="133"/>
      <c r="R19" s="126"/>
      <c r="S19" s="133"/>
      <c r="T19" s="126"/>
    </row>
    <row r="20" spans="1:24" ht="32.450000000000003" customHeight="1" x14ac:dyDescent="0.25">
      <c r="A20" s="379"/>
      <c r="B20" s="337" t="s">
        <v>218</v>
      </c>
      <c r="C20" s="5" t="s">
        <v>219</v>
      </c>
      <c r="D20" s="296"/>
      <c r="E20" s="296">
        <f>E21/E19*10</f>
        <v>38.340000000000003</v>
      </c>
      <c r="F20" s="296"/>
      <c r="G20" s="296"/>
      <c r="H20" s="293">
        <f t="shared" si="5"/>
        <v>0</v>
      </c>
      <c r="I20" s="298"/>
      <c r="J20" s="128"/>
      <c r="K20" s="128"/>
      <c r="L20" s="128"/>
      <c r="M20" s="223"/>
      <c r="N20" s="133"/>
      <c r="O20" s="133"/>
      <c r="P20" s="133"/>
      <c r="Q20" s="133"/>
      <c r="R20" s="126"/>
      <c r="S20" s="133"/>
      <c r="T20" s="126"/>
    </row>
    <row r="21" spans="1:24" ht="32.450000000000003" customHeight="1" x14ac:dyDescent="0.25">
      <c r="A21" s="379"/>
      <c r="B21" s="337" t="s">
        <v>220</v>
      </c>
      <c r="C21" s="5" t="s">
        <v>17</v>
      </c>
      <c r="D21" s="296">
        <f>D24+D27</f>
        <v>0</v>
      </c>
      <c r="E21" s="296">
        <f t="shared" ref="E21:G21" si="10">E24+E27</f>
        <v>103.59468000000001</v>
      </c>
      <c r="F21" s="296">
        <f t="shared" si="10"/>
        <v>0</v>
      </c>
      <c r="G21" s="296">
        <f t="shared" si="10"/>
        <v>0</v>
      </c>
      <c r="H21" s="293">
        <f t="shared" si="5"/>
        <v>0</v>
      </c>
      <c r="I21" s="298"/>
      <c r="J21" s="128"/>
      <c r="K21" s="128"/>
      <c r="L21" s="128"/>
      <c r="M21" s="223"/>
      <c r="N21" s="133"/>
      <c r="O21" s="133"/>
      <c r="P21" s="133"/>
      <c r="Q21" s="133"/>
      <c r="R21" s="126"/>
      <c r="S21" s="133"/>
      <c r="T21" s="126"/>
    </row>
    <row r="22" spans="1:24" ht="32.450000000000003" customHeight="1" x14ac:dyDescent="0.25">
      <c r="A22" s="379" t="s">
        <v>24</v>
      </c>
      <c r="B22" s="380" t="s">
        <v>25</v>
      </c>
      <c r="C22" s="379" t="s">
        <v>6</v>
      </c>
      <c r="D22" s="291"/>
      <c r="E22" s="291">
        <v>27.02</v>
      </c>
      <c r="F22" s="296"/>
      <c r="G22" s="291"/>
      <c r="H22" s="293">
        <f t="shared" si="5"/>
        <v>0</v>
      </c>
      <c r="I22" s="298"/>
      <c r="J22" s="214"/>
      <c r="K22" s="214"/>
      <c r="L22" s="214"/>
      <c r="M22" s="254"/>
      <c r="N22" s="136"/>
      <c r="O22" s="136"/>
      <c r="P22" s="136"/>
      <c r="Q22" s="136"/>
      <c r="R22" s="135"/>
      <c r="S22" s="135"/>
      <c r="T22" s="126"/>
    </row>
    <row r="23" spans="1:24" ht="32.450000000000003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/>
      <c r="G23" s="296"/>
      <c r="H23" s="293">
        <f t="shared" si="5"/>
        <v>0</v>
      </c>
      <c r="I23" s="298"/>
      <c r="J23" s="214"/>
      <c r="K23" s="214"/>
      <c r="L23" s="214"/>
      <c r="M23" s="254"/>
      <c r="N23" s="136"/>
      <c r="O23" s="136"/>
      <c r="P23" s="136"/>
      <c r="Q23" s="136"/>
      <c r="R23" s="135"/>
      <c r="S23" s="135"/>
      <c r="T23" s="126"/>
    </row>
    <row r="24" spans="1:24" ht="32.450000000000003" customHeight="1" x14ac:dyDescent="0.25">
      <c r="A24" s="379"/>
      <c r="B24" s="337" t="s">
        <v>220</v>
      </c>
      <c r="C24" s="5" t="s">
        <v>17</v>
      </c>
      <c r="D24" s="296">
        <f>D22*D23/10</f>
        <v>0</v>
      </c>
      <c r="E24" s="296">
        <f>E22*E23/10</f>
        <v>103.59468000000001</v>
      </c>
      <c r="F24" s="296">
        <f t="shared" ref="F24:G24" si="11">F22*F23/10</f>
        <v>0</v>
      </c>
      <c r="G24" s="296">
        <f t="shared" si="11"/>
        <v>0</v>
      </c>
      <c r="H24" s="293">
        <f t="shared" si="5"/>
        <v>0</v>
      </c>
      <c r="I24" s="298"/>
      <c r="J24" s="214"/>
      <c r="K24" s="214"/>
      <c r="L24" s="214"/>
      <c r="M24" s="254"/>
      <c r="N24" s="136"/>
      <c r="O24" s="136"/>
      <c r="P24" s="136"/>
      <c r="Q24" s="136"/>
      <c r="R24" s="135"/>
      <c r="S24" s="135"/>
      <c r="T24" s="126"/>
    </row>
    <row r="25" spans="1:24" ht="32.450000000000003" customHeight="1" x14ac:dyDescent="0.25">
      <c r="A25" s="379" t="s">
        <v>24</v>
      </c>
      <c r="B25" s="380" t="s">
        <v>26</v>
      </c>
      <c r="C25" s="379" t="s">
        <v>6</v>
      </c>
      <c r="D25" s="291"/>
      <c r="E25" s="296"/>
      <c r="F25" s="296">
        <v>0</v>
      </c>
      <c r="G25" s="296">
        <v>0</v>
      </c>
      <c r="H25" s="293"/>
      <c r="I25" s="298"/>
      <c r="J25" s="128"/>
      <c r="K25" s="128"/>
      <c r="L25" s="128"/>
      <c r="M25" s="128"/>
      <c r="N25" s="126"/>
      <c r="O25" s="126"/>
    </row>
    <row r="26" spans="1:24" ht="32.450000000000003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15.2</v>
      </c>
      <c r="F26" s="296"/>
      <c r="G26" s="296"/>
      <c r="H26" s="293">
        <f t="shared" si="5"/>
        <v>0</v>
      </c>
      <c r="I26" s="298"/>
      <c r="J26" s="128"/>
      <c r="K26" s="128"/>
      <c r="L26" s="128"/>
      <c r="M26" s="128"/>
      <c r="N26" s="126"/>
      <c r="O26" s="126"/>
    </row>
    <row r="27" spans="1:24" ht="32.450000000000003" customHeight="1" x14ac:dyDescent="0.25">
      <c r="A27" s="379"/>
      <c r="B27" s="337" t="s">
        <v>220</v>
      </c>
      <c r="C27" s="5" t="s">
        <v>17</v>
      </c>
      <c r="D27" s="296">
        <f>D25*D26/10</f>
        <v>0</v>
      </c>
      <c r="E27" s="296">
        <f>E25*E26/10</f>
        <v>0</v>
      </c>
      <c r="F27" s="296">
        <f t="shared" ref="F27:G27" si="12">F25*F26/10</f>
        <v>0</v>
      </c>
      <c r="G27" s="296">
        <f t="shared" si="12"/>
        <v>0</v>
      </c>
      <c r="H27" s="293"/>
      <c r="I27" s="298"/>
      <c r="J27" s="128"/>
      <c r="K27" s="128"/>
      <c r="L27" s="128"/>
      <c r="M27" s="128"/>
      <c r="N27" s="126"/>
      <c r="O27" s="126"/>
    </row>
    <row r="28" spans="1:24" ht="32.450000000000003" customHeight="1" x14ac:dyDescent="0.25">
      <c r="A28" s="3" t="s">
        <v>7</v>
      </c>
      <c r="B28" s="335" t="s">
        <v>27</v>
      </c>
      <c r="C28" s="3" t="s">
        <v>6</v>
      </c>
      <c r="D28" s="291">
        <f>D31+D34</f>
        <v>1</v>
      </c>
      <c r="E28" s="291">
        <f t="shared" ref="E28:G28" si="13">E31+E34</f>
        <v>1</v>
      </c>
      <c r="F28" s="291">
        <f t="shared" si="13"/>
        <v>0</v>
      </c>
      <c r="G28" s="291">
        <f t="shared" si="13"/>
        <v>0</v>
      </c>
      <c r="H28" s="293">
        <f t="shared" si="5"/>
        <v>0</v>
      </c>
      <c r="I28" s="294"/>
      <c r="J28" s="155"/>
      <c r="K28" s="155"/>
      <c r="L28" s="155"/>
      <c r="M28" s="155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</row>
    <row r="29" spans="1:24" ht="32.450000000000003" customHeight="1" x14ac:dyDescent="0.25">
      <c r="A29" s="3"/>
      <c r="B29" s="337" t="s">
        <v>218</v>
      </c>
      <c r="C29" s="5" t="s">
        <v>219</v>
      </c>
      <c r="D29" s="296">
        <f>D30/D28*10</f>
        <v>36.85</v>
      </c>
      <c r="E29" s="296">
        <f>E30/E28*10</f>
        <v>36.9</v>
      </c>
      <c r="F29" s="296"/>
      <c r="G29" s="296"/>
      <c r="H29" s="293">
        <f t="shared" si="5"/>
        <v>0</v>
      </c>
      <c r="I29" s="298"/>
      <c r="J29" s="155"/>
      <c r="K29" s="155"/>
      <c r="L29" s="155"/>
      <c r="M29" s="155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</row>
    <row r="30" spans="1:24" ht="32.450000000000003" customHeight="1" x14ac:dyDescent="0.25">
      <c r="A30" s="3"/>
      <c r="B30" s="337" t="s">
        <v>220</v>
      </c>
      <c r="C30" s="5" t="s">
        <v>17</v>
      </c>
      <c r="D30" s="296">
        <f>D33+D36</f>
        <v>3.6850000000000001</v>
      </c>
      <c r="E30" s="296">
        <f t="shared" ref="E30:G30" si="14">E33+E36</f>
        <v>3.69</v>
      </c>
      <c r="F30" s="296">
        <f t="shared" si="14"/>
        <v>0</v>
      </c>
      <c r="G30" s="296">
        <f t="shared" si="14"/>
        <v>0</v>
      </c>
      <c r="H30" s="293">
        <f t="shared" si="5"/>
        <v>0</v>
      </c>
      <c r="I30" s="298"/>
      <c r="J30" s="155"/>
      <c r="K30" s="216"/>
      <c r="L30" s="155"/>
      <c r="M30" s="155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1:24" ht="32.450000000000003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>
        <v>0</v>
      </c>
      <c r="G31" s="291">
        <v>0</v>
      </c>
      <c r="H31" s="293"/>
      <c r="I31" s="294"/>
      <c r="J31" s="155"/>
      <c r="K31" s="155"/>
      <c r="L31" s="155"/>
      <c r="M31" s="155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</row>
    <row r="32" spans="1:24" ht="32.450000000000003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1"/>
      <c r="H32" s="293"/>
      <c r="I32" s="294"/>
      <c r="J32" s="155"/>
      <c r="K32" s="155"/>
      <c r="L32" s="155"/>
      <c r="M32" s="155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1:24" ht="32.450000000000003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1"/>
      <c r="H33" s="293"/>
      <c r="I33" s="294"/>
      <c r="J33" s="155"/>
      <c r="K33" s="155"/>
      <c r="L33" s="155"/>
      <c r="M33" s="155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</row>
    <row r="34" spans="1:24" ht="32.450000000000003" customHeight="1" x14ac:dyDescent="0.25">
      <c r="A34" s="379" t="s">
        <v>22</v>
      </c>
      <c r="B34" s="380" t="s">
        <v>29</v>
      </c>
      <c r="C34" s="379" t="s">
        <v>6</v>
      </c>
      <c r="D34" s="313">
        <v>1</v>
      </c>
      <c r="E34" s="313">
        <v>1</v>
      </c>
      <c r="F34" s="313">
        <v>0</v>
      </c>
      <c r="G34" s="313"/>
      <c r="H34" s="293">
        <f t="shared" si="5"/>
        <v>0</v>
      </c>
      <c r="I34" s="298"/>
      <c r="J34" s="155"/>
      <c r="K34" s="155"/>
      <c r="L34" s="155"/>
      <c r="M34" s="155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</row>
    <row r="35" spans="1:24" ht="32.450000000000003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/>
      <c r="G35" s="296"/>
      <c r="H35" s="293">
        <f t="shared" si="5"/>
        <v>0</v>
      </c>
      <c r="I35" s="298"/>
      <c r="J35" s="155"/>
      <c r="K35" s="155"/>
      <c r="L35" s="155"/>
      <c r="M35" s="155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</row>
    <row r="36" spans="1:24" ht="32.450000000000003" customHeight="1" x14ac:dyDescent="0.25">
      <c r="A36" s="379"/>
      <c r="B36" s="337" t="s">
        <v>220</v>
      </c>
      <c r="C36" s="5" t="s">
        <v>17</v>
      </c>
      <c r="D36" s="296">
        <f>D34*D35/10</f>
        <v>3.6850000000000001</v>
      </c>
      <c r="E36" s="296">
        <f t="shared" ref="E36:G36" si="15">E34*E35/10</f>
        <v>3.69</v>
      </c>
      <c r="F36" s="296">
        <f t="shared" si="15"/>
        <v>0</v>
      </c>
      <c r="G36" s="296">
        <f t="shared" si="15"/>
        <v>0</v>
      </c>
      <c r="H36" s="293">
        <f t="shared" si="5"/>
        <v>0</v>
      </c>
      <c r="I36" s="298"/>
      <c r="J36" s="155"/>
      <c r="K36" s="155"/>
      <c r="L36" s="155"/>
      <c r="M36" s="155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</row>
    <row r="37" spans="1:24" ht="32.450000000000003" customHeight="1" x14ac:dyDescent="0.25">
      <c r="A37" s="3">
        <v>2</v>
      </c>
      <c r="B37" s="335" t="s">
        <v>30</v>
      </c>
      <c r="C37" s="3" t="s">
        <v>6</v>
      </c>
      <c r="D37" s="291"/>
      <c r="E37" s="291">
        <v>1.85</v>
      </c>
      <c r="F37" s="291">
        <v>0</v>
      </c>
      <c r="G37" s="291"/>
      <c r="H37" s="293">
        <f t="shared" si="5"/>
        <v>0</v>
      </c>
      <c r="I37" s="294"/>
      <c r="J37" s="155"/>
      <c r="K37" s="134"/>
      <c r="L37" s="132"/>
      <c r="M37" s="134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</row>
    <row r="38" spans="1:24" ht="32.450000000000003" customHeight="1" x14ac:dyDescent="0.25">
      <c r="A38" s="3"/>
      <c r="B38" s="337" t="s">
        <v>218</v>
      </c>
      <c r="C38" s="5" t="s">
        <v>219</v>
      </c>
      <c r="D38" s="291"/>
      <c r="E38" s="296">
        <v>140</v>
      </c>
      <c r="F38" s="291"/>
      <c r="G38" s="291"/>
      <c r="H38" s="293">
        <f t="shared" si="5"/>
        <v>0</v>
      </c>
      <c r="I38" s="294"/>
      <c r="J38" s="155"/>
      <c r="K38" s="155"/>
      <c r="L38" s="155"/>
      <c r="M38" s="155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</row>
    <row r="39" spans="1:24" ht="32.450000000000003" customHeight="1" x14ac:dyDescent="0.25">
      <c r="A39" s="3"/>
      <c r="B39" s="337" t="s">
        <v>220</v>
      </c>
      <c r="C39" s="5" t="s">
        <v>17</v>
      </c>
      <c r="D39" s="296">
        <f>D37*D38/10</f>
        <v>0</v>
      </c>
      <c r="E39" s="296">
        <f>E37*E38/10</f>
        <v>25.9</v>
      </c>
      <c r="F39" s="296">
        <f t="shared" ref="F39:G39" si="16">F37*F38/10</f>
        <v>0</v>
      </c>
      <c r="G39" s="296">
        <f t="shared" si="16"/>
        <v>0</v>
      </c>
      <c r="H39" s="293">
        <f t="shared" si="5"/>
        <v>0</v>
      </c>
      <c r="I39" s="294"/>
      <c r="J39" s="155"/>
      <c r="K39" s="155"/>
      <c r="L39" s="155"/>
      <c r="M39" s="155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</row>
    <row r="40" spans="1:24" ht="32.450000000000003" customHeight="1" x14ac:dyDescent="0.25">
      <c r="A40" s="3">
        <v>3</v>
      </c>
      <c r="B40" s="333" t="s">
        <v>241</v>
      </c>
      <c r="C40" s="332" t="s">
        <v>6</v>
      </c>
      <c r="D40" s="294"/>
      <c r="E40" s="294">
        <v>0.5</v>
      </c>
      <c r="F40" s="291">
        <v>0</v>
      </c>
      <c r="G40" s="291"/>
      <c r="H40" s="293">
        <f t="shared" si="5"/>
        <v>0</v>
      </c>
      <c r="I40" s="294"/>
      <c r="J40" s="155"/>
      <c r="K40" s="155"/>
      <c r="L40" s="155"/>
      <c r="M40" s="155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</row>
    <row r="41" spans="1:24" ht="32.450000000000003" customHeight="1" x14ac:dyDescent="0.25">
      <c r="A41" s="3"/>
      <c r="B41" s="337" t="s">
        <v>218</v>
      </c>
      <c r="C41" s="5" t="s">
        <v>219</v>
      </c>
      <c r="D41" s="298"/>
      <c r="E41" s="298">
        <v>24.1</v>
      </c>
      <c r="F41" s="291"/>
      <c r="G41" s="291"/>
      <c r="H41" s="293">
        <f t="shared" si="5"/>
        <v>0</v>
      </c>
      <c r="I41" s="294"/>
      <c r="J41" s="155"/>
      <c r="K41" s="155"/>
      <c r="L41" s="155"/>
      <c r="M41" s="155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</row>
    <row r="42" spans="1:24" ht="32.450000000000003" customHeight="1" x14ac:dyDescent="0.25">
      <c r="A42" s="3"/>
      <c r="B42" s="346" t="s">
        <v>220</v>
      </c>
      <c r="C42" s="347" t="s">
        <v>17</v>
      </c>
      <c r="D42" s="298"/>
      <c r="E42" s="298">
        <f>E40*E41/10</f>
        <v>1.2050000000000001</v>
      </c>
      <c r="F42" s="298">
        <f t="shared" ref="F42:G42" si="17">F40*F41/10</f>
        <v>0</v>
      </c>
      <c r="G42" s="298">
        <f t="shared" si="17"/>
        <v>0</v>
      </c>
      <c r="H42" s="293">
        <f t="shared" si="5"/>
        <v>0</v>
      </c>
      <c r="I42" s="294"/>
      <c r="J42" s="155"/>
      <c r="K42" s="155"/>
      <c r="L42" s="155"/>
      <c r="M42" s="155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</row>
    <row r="43" spans="1:24" ht="32.450000000000003" customHeight="1" x14ac:dyDescent="0.25">
      <c r="A43" s="3">
        <v>4</v>
      </c>
      <c r="B43" s="335" t="s">
        <v>242</v>
      </c>
      <c r="C43" s="3" t="s">
        <v>6</v>
      </c>
      <c r="D43" s="291"/>
      <c r="E43" s="291">
        <v>0.5</v>
      </c>
      <c r="F43" s="291">
        <v>0.27</v>
      </c>
      <c r="G43" s="291">
        <f>F43</f>
        <v>0.27</v>
      </c>
      <c r="H43" s="293">
        <f t="shared" si="5"/>
        <v>54</v>
      </c>
      <c r="I43" s="294"/>
      <c r="J43" s="134"/>
      <c r="K43" s="132"/>
      <c r="L43" s="155"/>
      <c r="M43" s="155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</row>
    <row r="44" spans="1:24" ht="32.450000000000003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3">
        <f t="shared" si="5"/>
        <v>0</v>
      </c>
      <c r="I44" s="298"/>
      <c r="J44" s="155"/>
      <c r="K44" s="155"/>
      <c r="L44" s="155"/>
      <c r="M44" s="155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</row>
    <row r="45" spans="1:24" ht="32.450000000000003" customHeight="1" x14ac:dyDescent="0.25">
      <c r="A45" s="5"/>
      <c r="B45" s="346" t="s">
        <v>220</v>
      </c>
      <c r="C45" s="347" t="s">
        <v>17</v>
      </c>
      <c r="D45" s="296">
        <f>D43*D44/10</f>
        <v>0</v>
      </c>
      <c r="E45" s="296">
        <f>E43*E44/10</f>
        <v>4.9249999999999998</v>
      </c>
      <c r="F45" s="296">
        <f t="shared" ref="F45:G45" si="18">F43*F44/10</f>
        <v>0</v>
      </c>
      <c r="G45" s="296">
        <f t="shared" si="18"/>
        <v>0</v>
      </c>
      <c r="H45" s="293">
        <f t="shared" si="5"/>
        <v>0</v>
      </c>
      <c r="I45" s="298"/>
      <c r="J45" s="155"/>
      <c r="K45" s="155"/>
      <c r="L45" s="155"/>
      <c r="M45" s="155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</row>
    <row r="46" spans="1:24" ht="32.450000000000003" customHeight="1" x14ac:dyDescent="0.25">
      <c r="A46" s="3">
        <v>5</v>
      </c>
      <c r="B46" s="335" t="s">
        <v>32</v>
      </c>
      <c r="C46" s="3" t="s">
        <v>6</v>
      </c>
      <c r="D46" s="291">
        <f>D47+D55+D64</f>
        <v>85.92</v>
      </c>
      <c r="E46" s="291">
        <f t="shared" ref="E46:G46" si="19">E47+E55+E64</f>
        <v>94.820000000000007</v>
      </c>
      <c r="F46" s="291">
        <f t="shared" si="19"/>
        <v>86.22</v>
      </c>
      <c r="G46" s="291">
        <f t="shared" si="19"/>
        <v>86.22</v>
      </c>
      <c r="H46" s="293">
        <f t="shared" si="5"/>
        <v>90.93018350558954</v>
      </c>
      <c r="I46" s="294"/>
      <c r="J46" s="155"/>
      <c r="K46" s="155"/>
      <c r="L46" s="155"/>
      <c r="M46" s="155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</row>
    <row r="47" spans="1:24" ht="32.450000000000003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81.42</v>
      </c>
      <c r="E47" s="291">
        <f>E48+E49</f>
        <v>89.42</v>
      </c>
      <c r="F47" s="291">
        <f t="shared" ref="F47:G47" si="20">F48+F49</f>
        <v>81.42</v>
      </c>
      <c r="G47" s="291">
        <f t="shared" si="20"/>
        <v>81.42</v>
      </c>
      <c r="H47" s="293">
        <f t="shared" si="5"/>
        <v>91.053455602773425</v>
      </c>
      <c r="I47" s="294"/>
      <c r="J47" s="155"/>
      <c r="K47" s="155"/>
      <c r="L47" s="155"/>
      <c r="M47" s="155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</row>
    <row r="48" spans="1:24" ht="32.450000000000003" customHeight="1" x14ac:dyDescent="0.25">
      <c r="A48" s="7" t="s">
        <v>24</v>
      </c>
      <c r="B48" s="383" t="s">
        <v>196</v>
      </c>
      <c r="C48" s="384" t="s">
        <v>6</v>
      </c>
      <c r="D48" s="296">
        <v>70.05</v>
      </c>
      <c r="E48" s="296">
        <f>D48+D49</f>
        <v>81.42</v>
      </c>
      <c r="F48" s="296">
        <v>81.42</v>
      </c>
      <c r="G48" s="296">
        <v>81.42</v>
      </c>
      <c r="H48" s="325">
        <f t="shared" si="5"/>
        <v>100</v>
      </c>
      <c r="I48" s="298"/>
      <c r="J48" s="116"/>
      <c r="K48" s="116"/>
      <c r="L48" s="116"/>
      <c r="M48" s="116"/>
      <c r="N48" s="119"/>
      <c r="O48" s="119"/>
      <c r="P48" s="119"/>
      <c r="Q48" s="119"/>
      <c r="R48" s="138"/>
      <c r="S48" s="138"/>
      <c r="T48" s="138"/>
      <c r="U48" s="138"/>
      <c r="V48" s="138"/>
      <c r="W48" s="138"/>
      <c r="X48" s="138"/>
    </row>
    <row r="49" spans="1:24" s="131" customFormat="1" ht="32.450000000000003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11.37</v>
      </c>
      <c r="E49" s="291">
        <f>E50+E51</f>
        <v>8</v>
      </c>
      <c r="F49" s="291">
        <f t="shared" ref="F49:G49" si="21">F50+F51</f>
        <v>0</v>
      </c>
      <c r="G49" s="291">
        <f t="shared" si="21"/>
        <v>0</v>
      </c>
      <c r="H49" s="293">
        <f t="shared" si="5"/>
        <v>0</v>
      </c>
      <c r="I49" s="294"/>
      <c r="J49" s="228"/>
      <c r="K49" s="228"/>
      <c r="L49" s="228"/>
      <c r="M49" s="228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1:24" ht="32.450000000000003" customHeight="1" x14ac:dyDescent="0.25">
      <c r="A50" s="384" t="s">
        <v>18</v>
      </c>
      <c r="B50" s="386" t="s">
        <v>194</v>
      </c>
      <c r="C50" s="384" t="s">
        <v>6</v>
      </c>
      <c r="D50" s="296">
        <v>11.37</v>
      </c>
      <c r="E50" s="296">
        <v>8</v>
      </c>
      <c r="F50" s="296">
        <v>0</v>
      </c>
      <c r="G50" s="296">
        <v>0</v>
      </c>
      <c r="H50" s="293">
        <f t="shared" si="5"/>
        <v>0</v>
      </c>
      <c r="I50" s="298"/>
      <c r="J50" s="134"/>
      <c r="K50" s="155"/>
      <c r="L50" s="155"/>
      <c r="M50" s="155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</row>
    <row r="51" spans="1:24" ht="32.450000000000003" customHeight="1" x14ac:dyDescent="0.25">
      <c r="A51" s="384" t="s">
        <v>18</v>
      </c>
      <c r="B51" s="386" t="s">
        <v>35</v>
      </c>
      <c r="C51" s="5" t="s">
        <v>6</v>
      </c>
      <c r="D51" s="296"/>
      <c r="E51" s="296"/>
      <c r="F51" s="296"/>
      <c r="G51" s="296"/>
      <c r="H51" s="293"/>
      <c r="I51" s="298"/>
      <c r="J51" s="155"/>
      <c r="K51" s="155"/>
      <c r="L51" s="155"/>
      <c r="M51" s="155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</row>
    <row r="52" spans="1:24" s="131" customFormat="1" ht="32.450000000000003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36.53</v>
      </c>
      <c r="E52" s="291">
        <f>E53+E54</f>
        <v>59.54</v>
      </c>
      <c r="F52" s="291">
        <f t="shared" ref="F52:G52" si="22">F53+F54</f>
        <v>59.54</v>
      </c>
      <c r="G52" s="291">
        <f t="shared" si="22"/>
        <v>59.54</v>
      </c>
      <c r="H52" s="293">
        <f t="shared" si="5"/>
        <v>100</v>
      </c>
      <c r="I52" s="294"/>
      <c r="J52" s="228"/>
      <c r="K52" s="129"/>
      <c r="L52" s="129"/>
      <c r="M52" s="129"/>
      <c r="N52" s="129"/>
      <c r="O52" s="129"/>
      <c r="P52" s="129"/>
      <c r="Q52" s="143"/>
      <c r="R52" s="143"/>
      <c r="S52" s="143"/>
      <c r="T52" s="143"/>
      <c r="U52" s="143"/>
      <c r="V52" s="143"/>
      <c r="W52" s="143"/>
      <c r="X52" s="143"/>
    </row>
    <row r="53" spans="1:24" ht="32.450000000000003" customHeight="1" x14ac:dyDescent="0.25">
      <c r="A53" s="387" t="s">
        <v>18</v>
      </c>
      <c r="B53" s="386" t="s">
        <v>198</v>
      </c>
      <c r="C53" s="5" t="s">
        <v>6</v>
      </c>
      <c r="D53" s="296">
        <f>45.53-14</f>
        <v>31.53</v>
      </c>
      <c r="E53" s="296">
        <v>59.54</v>
      </c>
      <c r="F53" s="296">
        <v>59.54</v>
      </c>
      <c r="G53" s="296">
        <v>59.54</v>
      </c>
      <c r="H53" s="325">
        <f t="shared" si="5"/>
        <v>100</v>
      </c>
      <c r="I53" s="298"/>
      <c r="J53" s="155"/>
      <c r="K53" s="216"/>
      <c r="L53" s="216"/>
      <c r="M53" s="216"/>
      <c r="N53" s="139"/>
      <c r="O53" s="138"/>
      <c r="P53" s="138"/>
      <c r="Q53" s="138"/>
      <c r="R53" s="138"/>
      <c r="S53" s="138"/>
      <c r="T53" s="138"/>
      <c r="U53" s="138"/>
      <c r="V53" s="138"/>
      <c r="W53" s="138"/>
      <c r="X53" s="138"/>
    </row>
    <row r="54" spans="1:24" ht="32.450000000000003" customHeight="1" x14ac:dyDescent="0.25">
      <c r="A54" s="5"/>
      <c r="B54" s="386" t="s">
        <v>199</v>
      </c>
      <c r="C54" s="5" t="s">
        <v>6</v>
      </c>
      <c r="D54" s="296">
        <v>5</v>
      </c>
      <c r="E54" s="296"/>
      <c r="F54" s="296"/>
      <c r="G54" s="296"/>
      <c r="H54" s="293"/>
      <c r="I54" s="298"/>
      <c r="J54" s="155"/>
      <c r="K54" s="155"/>
      <c r="L54" s="155"/>
      <c r="M54" s="155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</row>
    <row r="55" spans="1:24" ht="32.450000000000003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4.5</v>
      </c>
      <c r="E55" s="291">
        <f>E56+E57</f>
        <v>5.4</v>
      </c>
      <c r="F55" s="291">
        <f>F56+F57</f>
        <v>4.8</v>
      </c>
      <c r="G55" s="291">
        <f t="shared" ref="G55" si="23">G56+G57</f>
        <v>4.8</v>
      </c>
      <c r="H55" s="293">
        <f t="shared" si="5"/>
        <v>88.888888888888886</v>
      </c>
      <c r="I55" s="294"/>
      <c r="J55" s="155"/>
      <c r="K55" s="155"/>
      <c r="L55" s="155"/>
      <c r="M55" s="155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</row>
    <row r="56" spans="1:24" ht="32.450000000000003" customHeight="1" x14ac:dyDescent="0.25">
      <c r="A56" s="5" t="s">
        <v>24</v>
      </c>
      <c r="B56" s="383" t="s">
        <v>197</v>
      </c>
      <c r="C56" s="5" t="s">
        <v>6</v>
      </c>
      <c r="D56" s="296">
        <v>4.5</v>
      </c>
      <c r="E56" s="296">
        <v>4.8</v>
      </c>
      <c r="F56" s="296">
        <v>4.8</v>
      </c>
      <c r="G56" s="296">
        <v>4.8</v>
      </c>
      <c r="H56" s="325">
        <f t="shared" si="5"/>
        <v>100</v>
      </c>
      <c r="I56" s="298"/>
      <c r="J56" s="155"/>
      <c r="K56" s="155"/>
      <c r="L56" s="155"/>
      <c r="M56" s="155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</row>
    <row r="57" spans="1:24" ht="32.450000000000003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0</v>
      </c>
      <c r="E57" s="296">
        <f>E58+E61</f>
        <v>0.60000000000000009</v>
      </c>
      <c r="F57" s="296">
        <f t="shared" ref="F57" si="24">F58+F61</f>
        <v>0</v>
      </c>
      <c r="G57" s="296">
        <v>0</v>
      </c>
      <c r="H57" s="293">
        <f t="shared" si="5"/>
        <v>0</v>
      </c>
      <c r="I57" s="298"/>
      <c r="J57" s="155"/>
      <c r="K57" s="155"/>
      <c r="L57" s="155"/>
      <c r="M57" s="155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</row>
    <row r="58" spans="1:24" s="149" customFormat="1" ht="32.450000000000003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</v>
      </c>
      <c r="E58" s="299">
        <f t="shared" ref="E58:G58" si="25">E59+E60</f>
        <v>0.30000000000000004</v>
      </c>
      <c r="F58" s="299">
        <f t="shared" si="25"/>
        <v>0</v>
      </c>
      <c r="G58" s="299">
        <f t="shared" si="25"/>
        <v>0</v>
      </c>
      <c r="H58" s="293">
        <f t="shared" si="5"/>
        <v>0</v>
      </c>
      <c r="I58" s="301"/>
      <c r="J58" s="142"/>
      <c r="K58" s="142"/>
      <c r="L58" s="142"/>
      <c r="M58" s="142"/>
      <c r="N58" s="142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1:24" ht="32.450000000000003" customHeight="1" x14ac:dyDescent="0.25">
      <c r="A59" s="5" t="s">
        <v>18</v>
      </c>
      <c r="B59" s="383" t="s">
        <v>202</v>
      </c>
      <c r="C59" s="5" t="s">
        <v>6</v>
      </c>
      <c r="D59" s="296"/>
      <c r="E59" s="296">
        <v>0.2</v>
      </c>
      <c r="F59" s="296">
        <v>0</v>
      </c>
      <c r="G59" s="296">
        <v>0</v>
      </c>
      <c r="H59" s="293">
        <f t="shared" si="5"/>
        <v>0</v>
      </c>
      <c r="I59" s="298"/>
      <c r="J59" s="114"/>
      <c r="K59" s="114"/>
      <c r="L59" s="114"/>
      <c r="M59" s="114"/>
      <c r="N59" s="114"/>
      <c r="O59" s="138"/>
      <c r="P59" s="138"/>
      <c r="Q59" s="138"/>
      <c r="R59" s="138"/>
      <c r="S59" s="138"/>
      <c r="T59" s="138"/>
      <c r="U59" s="138"/>
      <c r="V59" s="138"/>
      <c r="W59" s="138"/>
      <c r="X59" s="138"/>
    </row>
    <row r="60" spans="1:24" ht="32.450000000000003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0.1</v>
      </c>
      <c r="F60" s="296">
        <v>0</v>
      </c>
      <c r="G60" s="296">
        <v>0</v>
      </c>
      <c r="H60" s="293">
        <f t="shared" si="5"/>
        <v>0</v>
      </c>
      <c r="I60" s="298"/>
      <c r="J60" s="114"/>
      <c r="K60" s="114"/>
      <c r="L60" s="114"/>
      <c r="M60" s="114"/>
      <c r="N60" s="114"/>
      <c r="O60" s="138"/>
      <c r="P60" s="138"/>
      <c r="Q60" s="138"/>
      <c r="R60" s="138"/>
      <c r="S60" s="138"/>
      <c r="T60" s="138"/>
      <c r="U60" s="138"/>
      <c r="V60" s="138"/>
      <c r="W60" s="138"/>
      <c r="X60" s="138"/>
    </row>
    <row r="61" spans="1:24" s="149" customFormat="1" ht="32.450000000000003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0</v>
      </c>
      <c r="E61" s="299">
        <f>E62+E63</f>
        <v>0.30000000000000004</v>
      </c>
      <c r="F61" s="299">
        <f t="shared" ref="F61:G61" si="26">F62+F63</f>
        <v>0</v>
      </c>
      <c r="G61" s="299">
        <f t="shared" si="26"/>
        <v>0</v>
      </c>
      <c r="H61" s="293">
        <f t="shared" si="5"/>
        <v>0</v>
      </c>
      <c r="I61" s="301"/>
      <c r="J61" s="114"/>
      <c r="K61" s="218"/>
      <c r="L61" s="218"/>
      <c r="M61" s="218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1:24" ht="32.450000000000003" customHeight="1" x14ac:dyDescent="0.25">
      <c r="A62" s="5" t="s">
        <v>18</v>
      </c>
      <c r="B62" s="383" t="s">
        <v>203</v>
      </c>
      <c r="C62" s="5" t="s">
        <v>6</v>
      </c>
      <c r="D62" s="296"/>
      <c r="E62" s="296">
        <v>0.2</v>
      </c>
      <c r="F62" s="296">
        <v>0</v>
      </c>
      <c r="G62" s="296">
        <v>0</v>
      </c>
      <c r="H62" s="293">
        <f t="shared" si="5"/>
        <v>0</v>
      </c>
      <c r="I62" s="298"/>
      <c r="J62" s="114"/>
      <c r="K62" s="114"/>
      <c r="L62" s="114"/>
      <c r="M62" s="114"/>
      <c r="N62" s="114"/>
      <c r="O62" s="138"/>
      <c r="P62" s="138"/>
      <c r="Q62" s="138"/>
      <c r="R62" s="138"/>
      <c r="S62" s="138"/>
      <c r="T62" s="138"/>
      <c r="U62" s="138"/>
      <c r="V62" s="138"/>
      <c r="W62" s="138"/>
      <c r="X62" s="138"/>
    </row>
    <row r="63" spans="1:24" ht="32.450000000000003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0.1</v>
      </c>
      <c r="F63" s="296">
        <v>0</v>
      </c>
      <c r="G63" s="296">
        <v>0</v>
      </c>
      <c r="H63" s="293">
        <f t="shared" si="5"/>
        <v>0</v>
      </c>
      <c r="I63" s="298"/>
      <c r="J63" s="114"/>
      <c r="K63" s="114"/>
      <c r="L63" s="114"/>
      <c r="M63" s="114"/>
      <c r="N63" s="114"/>
      <c r="O63" s="138"/>
      <c r="P63" s="138"/>
      <c r="Q63" s="138"/>
      <c r="R63" s="138"/>
      <c r="S63" s="138"/>
      <c r="T63" s="138"/>
      <c r="U63" s="138"/>
      <c r="V63" s="138"/>
      <c r="W63" s="138"/>
      <c r="X63" s="138"/>
    </row>
    <row r="64" spans="1:24" ht="32.450000000000003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0</v>
      </c>
      <c r="E64" s="291">
        <f>E65+E66</f>
        <v>0</v>
      </c>
      <c r="F64" s="291">
        <f t="shared" ref="F64:G64" si="27">F65+F66</f>
        <v>0</v>
      </c>
      <c r="G64" s="291">
        <f t="shared" si="27"/>
        <v>0</v>
      </c>
      <c r="H64" s="325"/>
      <c r="I64" s="294"/>
      <c r="J64" s="155"/>
      <c r="K64" s="155"/>
      <c r="L64" s="155"/>
      <c r="M64" s="155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</row>
    <row r="65" spans="1:24" ht="32.450000000000003" customHeight="1" x14ac:dyDescent="0.25">
      <c r="A65" s="5" t="s">
        <v>18</v>
      </c>
      <c r="B65" s="383" t="s">
        <v>196</v>
      </c>
      <c r="C65" s="5" t="s">
        <v>6</v>
      </c>
      <c r="D65" s="296"/>
      <c r="E65" s="296"/>
      <c r="F65" s="296"/>
      <c r="G65" s="296"/>
      <c r="H65" s="293"/>
      <c r="I65" s="298"/>
      <c r="J65" s="155"/>
      <c r="K65" s="155"/>
      <c r="L65" s="155"/>
      <c r="M65" s="155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</row>
    <row r="66" spans="1:24" ht="32.450000000000003" customHeight="1" x14ac:dyDescent="0.25">
      <c r="A66" s="5" t="s">
        <v>18</v>
      </c>
      <c r="B66" s="337" t="s">
        <v>31</v>
      </c>
      <c r="C66" s="5" t="s">
        <v>6</v>
      </c>
      <c r="D66" s="296"/>
      <c r="E66" s="296"/>
      <c r="F66" s="296"/>
      <c r="G66" s="296"/>
      <c r="H66" s="293"/>
      <c r="I66" s="298"/>
      <c r="J66" s="155"/>
      <c r="K66" s="155"/>
      <c r="L66" s="155"/>
      <c r="M66" s="155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</row>
    <row r="67" spans="1:24" ht="32.450000000000003" customHeight="1" x14ac:dyDescent="0.25">
      <c r="A67" s="3">
        <v>6</v>
      </c>
      <c r="B67" s="335" t="s">
        <v>38</v>
      </c>
      <c r="C67" s="3" t="s">
        <v>6</v>
      </c>
      <c r="D67" s="291">
        <f>D68+D71</f>
        <v>22.01</v>
      </c>
      <c r="E67" s="291">
        <f t="shared" ref="E67:G67" si="28">E68+E71</f>
        <v>20.300000000000004</v>
      </c>
      <c r="F67" s="291">
        <f>F68+F71</f>
        <v>16.590000000000003</v>
      </c>
      <c r="G67" s="291">
        <f t="shared" si="28"/>
        <v>16.590000000000003</v>
      </c>
      <c r="H67" s="293">
        <f t="shared" si="5"/>
        <v>81.724137931034477</v>
      </c>
      <c r="I67" s="294"/>
      <c r="J67" s="155"/>
      <c r="K67" s="155"/>
      <c r="L67" s="155"/>
      <c r="M67" s="155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</row>
    <row r="68" spans="1:24" ht="32.450000000000003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0.35000000000000003</v>
      </c>
      <c r="E68" s="291">
        <f>E69+E70</f>
        <v>3.35</v>
      </c>
      <c r="F68" s="291">
        <f>F69+F70</f>
        <v>0.35</v>
      </c>
      <c r="G68" s="291">
        <f t="shared" ref="G68" si="29">G69+G70</f>
        <v>0.35</v>
      </c>
      <c r="H68" s="293">
        <f t="shared" si="5"/>
        <v>10.44776119402985</v>
      </c>
      <c r="I68" s="294"/>
      <c r="J68" s="216"/>
      <c r="K68" s="155"/>
      <c r="L68" s="155"/>
      <c r="M68" s="155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</row>
    <row r="69" spans="1:24" ht="32.450000000000003" customHeight="1" x14ac:dyDescent="0.25">
      <c r="A69" s="5" t="s">
        <v>18</v>
      </c>
      <c r="B69" s="383" t="s">
        <v>205</v>
      </c>
      <c r="C69" s="5" t="s">
        <v>6</v>
      </c>
      <c r="D69" s="296">
        <f>0.05+0.23</f>
        <v>0.28000000000000003</v>
      </c>
      <c r="E69" s="296">
        <f>D69+D70</f>
        <v>0.35000000000000003</v>
      </c>
      <c r="F69" s="296">
        <v>0.35</v>
      </c>
      <c r="G69" s="296">
        <v>0.35</v>
      </c>
      <c r="H69" s="325">
        <f t="shared" si="5"/>
        <v>99.999999999999986</v>
      </c>
      <c r="I69" s="298"/>
      <c r="J69" s="155"/>
      <c r="K69" s="155"/>
      <c r="L69" s="155"/>
      <c r="M69" s="155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</row>
    <row r="70" spans="1:24" ht="32.450000000000003" customHeight="1" x14ac:dyDescent="0.25">
      <c r="A70" s="5" t="s">
        <v>18</v>
      </c>
      <c r="B70" s="383" t="s">
        <v>206</v>
      </c>
      <c r="C70" s="5" t="s">
        <v>6</v>
      </c>
      <c r="D70" s="296">
        <v>7.0000000000000007E-2</v>
      </c>
      <c r="E70" s="296">
        <v>3</v>
      </c>
      <c r="F70" s="296"/>
      <c r="G70" s="296"/>
      <c r="H70" s="293">
        <f t="shared" si="5"/>
        <v>0</v>
      </c>
      <c r="I70" s="298"/>
      <c r="J70" s="155"/>
      <c r="K70" s="155"/>
      <c r="L70" s="155"/>
      <c r="M70" s="155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</row>
    <row r="71" spans="1:24" ht="32.450000000000003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21.66</v>
      </c>
      <c r="E71" s="291">
        <f t="shared" ref="E71:G71" si="30">E72+E73</f>
        <v>16.950000000000003</v>
      </c>
      <c r="F71" s="291">
        <f t="shared" si="30"/>
        <v>16.240000000000002</v>
      </c>
      <c r="G71" s="291">
        <f t="shared" si="30"/>
        <v>16.240000000000002</v>
      </c>
      <c r="H71" s="293">
        <f t="shared" si="5"/>
        <v>95.811209439528028</v>
      </c>
      <c r="I71" s="294"/>
      <c r="J71" s="155"/>
      <c r="K71" s="155"/>
      <c r="L71" s="155"/>
      <c r="M71" s="155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</row>
    <row r="72" spans="1:24" ht="32.450000000000003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19.66</v>
      </c>
      <c r="E72" s="302">
        <f t="shared" ref="E72:G72" si="31">E75+E82</f>
        <v>16.240000000000002</v>
      </c>
      <c r="F72" s="302">
        <f t="shared" si="31"/>
        <v>16.240000000000002</v>
      </c>
      <c r="G72" s="302">
        <f t="shared" si="31"/>
        <v>16.240000000000002</v>
      </c>
      <c r="H72" s="293">
        <f t="shared" si="5"/>
        <v>100</v>
      </c>
      <c r="I72" s="303"/>
      <c r="J72" s="155"/>
      <c r="K72" s="155"/>
      <c r="L72" s="155"/>
      <c r="M72" s="155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</row>
    <row r="73" spans="1:24" ht="32.450000000000003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2</v>
      </c>
      <c r="E73" s="291">
        <f>E76+E83</f>
        <v>0.71</v>
      </c>
      <c r="F73" s="291">
        <f t="shared" ref="F73:G73" si="32">F76+F83</f>
        <v>0</v>
      </c>
      <c r="G73" s="291">
        <f t="shared" si="32"/>
        <v>0</v>
      </c>
      <c r="H73" s="293">
        <f t="shared" si="5"/>
        <v>0</v>
      </c>
      <c r="I73" s="294"/>
      <c r="J73" s="228"/>
      <c r="K73" s="228"/>
      <c r="L73" s="228"/>
      <c r="M73" s="22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</row>
    <row r="74" spans="1:24" ht="32.450000000000003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15.74</v>
      </c>
      <c r="E74" s="304">
        <f t="shared" ref="E74:G74" si="33">E75+E76</f>
        <v>15.24</v>
      </c>
      <c r="F74" s="304">
        <f t="shared" si="33"/>
        <v>14.74</v>
      </c>
      <c r="G74" s="304">
        <f t="shared" si="33"/>
        <v>14.74</v>
      </c>
      <c r="H74" s="326">
        <f t="shared" si="5"/>
        <v>96.719160104986884</v>
      </c>
      <c r="I74" s="305"/>
      <c r="J74" s="229"/>
      <c r="K74" s="229"/>
      <c r="L74" s="150"/>
      <c r="M74" s="150"/>
      <c r="N74" s="150"/>
      <c r="O74" s="150"/>
      <c r="P74" s="150"/>
      <c r="Q74" s="150"/>
      <c r="R74" s="138"/>
      <c r="S74" s="138"/>
      <c r="T74" s="138"/>
      <c r="U74" s="138"/>
      <c r="V74" s="138"/>
      <c r="W74" s="138"/>
      <c r="X74" s="138"/>
    </row>
    <row r="75" spans="1:24" ht="32.450000000000003" customHeight="1" x14ac:dyDescent="0.25">
      <c r="A75" s="7" t="s">
        <v>24</v>
      </c>
      <c r="B75" s="391" t="s">
        <v>196</v>
      </c>
      <c r="C75" s="5" t="s">
        <v>6</v>
      </c>
      <c r="D75" s="306">
        <v>15.24</v>
      </c>
      <c r="E75" s="306">
        <v>14.74</v>
      </c>
      <c r="F75" s="296">
        <v>14.74</v>
      </c>
      <c r="G75" s="296">
        <v>14.74</v>
      </c>
      <c r="H75" s="325">
        <f t="shared" ref="H75:H98" si="34">F75/E75*100</f>
        <v>100</v>
      </c>
      <c r="I75" s="298"/>
      <c r="J75" s="155"/>
      <c r="K75" s="155"/>
      <c r="L75" s="132"/>
      <c r="M75" s="235"/>
      <c r="N75" s="147"/>
      <c r="O75" s="147"/>
      <c r="P75" s="147"/>
      <c r="Q75" s="147"/>
      <c r="R75" s="138"/>
      <c r="S75" s="138"/>
      <c r="T75" s="138"/>
      <c r="U75" s="138"/>
      <c r="V75" s="138"/>
      <c r="W75" s="138"/>
      <c r="X75" s="138"/>
    </row>
    <row r="76" spans="1:24" ht="32.450000000000003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0.5</v>
      </c>
      <c r="E76" s="307">
        <f>SUM(E77:E80)</f>
        <v>0.5</v>
      </c>
      <c r="F76" s="307">
        <f t="shared" ref="F76:G76" si="35">SUM(F77:F80)</f>
        <v>0</v>
      </c>
      <c r="G76" s="307">
        <f t="shared" si="35"/>
        <v>0</v>
      </c>
      <c r="H76" s="293">
        <f t="shared" si="34"/>
        <v>0</v>
      </c>
      <c r="I76" s="308"/>
      <c r="J76" s="218"/>
      <c r="K76" s="218"/>
      <c r="L76" s="142"/>
      <c r="M76" s="142"/>
      <c r="N76" s="147"/>
      <c r="O76" s="147"/>
      <c r="P76" s="147"/>
      <c r="Q76" s="147"/>
      <c r="R76" s="138"/>
      <c r="S76" s="138"/>
      <c r="T76" s="138"/>
      <c r="U76" s="138"/>
      <c r="V76" s="138"/>
      <c r="W76" s="138"/>
      <c r="X76" s="138"/>
    </row>
    <row r="77" spans="1:24" ht="32.450000000000003" customHeight="1" x14ac:dyDescent="0.25">
      <c r="A77" s="4" t="s">
        <v>18</v>
      </c>
      <c r="B77" s="393" t="s">
        <v>212</v>
      </c>
      <c r="C77" s="4" t="s">
        <v>6</v>
      </c>
      <c r="D77" s="296"/>
      <c r="E77" s="296">
        <v>0.5</v>
      </c>
      <c r="F77" s="296">
        <v>0</v>
      </c>
      <c r="G77" s="296">
        <v>0</v>
      </c>
      <c r="H77" s="293">
        <f t="shared" si="34"/>
        <v>0</v>
      </c>
      <c r="I77" s="298"/>
      <c r="J77" s="247"/>
      <c r="K77" s="218"/>
      <c r="L77" s="142"/>
      <c r="M77" s="230"/>
      <c r="N77" s="157"/>
      <c r="O77" s="157"/>
      <c r="P77" s="157"/>
      <c r="Q77" s="157"/>
      <c r="R77" s="138"/>
      <c r="S77" s="138"/>
      <c r="T77" s="138"/>
      <c r="U77" s="138"/>
      <c r="V77" s="138"/>
      <c r="W77" s="138"/>
      <c r="X77" s="138"/>
    </row>
    <row r="78" spans="1:24" ht="32.450000000000003" customHeight="1" x14ac:dyDescent="0.25">
      <c r="A78" s="4" t="s">
        <v>18</v>
      </c>
      <c r="B78" s="393" t="s">
        <v>189</v>
      </c>
      <c r="C78" s="4" t="s">
        <v>6</v>
      </c>
      <c r="D78" s="296">
        <v>0.5</v>
      </c>
      <c r="E78" s="296">
        <v>0</v>
      </c>
      <c r="F78" s="296"/>
      <c r="G78" s="296"/>
      <c r="H78" s="293"/>
      <c r="I78" s="298"/>
      <c r="J78" s="218"/>
      <c r="K78" s="218"/>
      <c r="L78" s="142"/>
      <c r="M78" s="142"/>
      <c r="N78" s="147"/>
      <c r="O78" s="147"/>
      <c r="P78" s="147"/>
      <c r="Q78" s="147"/>
      <c r="R78" s="138"/>
      <c r="S78" s="138"/>
      <c r="T78" s="138"/>
      <c r="U78" s="138"/>
      <c r="V78" s="138"/>
      <c r="W78" s="138"/>
      <c r="X78" s="138"/>
    </row>
    <row r="79" spans="1:24" ht="32.450000000000003" customHeight="1" x14ac:dyDescent="0.25">
      <c r="A79" s="4" t="s">
        <v>18</v>
      </c>
      <c r="B79" s="393" t="s">
        <v>190</v>
      </c>
      <c r="C79" s="4" t="s">
        <v>6</v>
      </c>
      <c r="D79" s="296"/>
      <c r="E79" s="296"/>
      <c r="F79" s="296"/>
      <c r="G79" s="296"/>
      <c r="H79" s="293"/>
      <c r="I79" s="298"/>
      <c r="J79" s="218"/>
      <c r="K79" s="218"/>
      <c r="L79" s="142"/>
      <c r="M79" s="142"/>
      <c r="N79" s="147"/>
      <c r="O79" s="147"/>
      <c r="P79" s="147"/>
      <c r="Q79" s="147"/>
      <c r="R79" s="138"/>
      <c r="S79" s="138"/>
      <c r="T79" s="138"/>
      <c r="U79" s="138"/>
      <c r="V79" s="138"/>
      <c r="W79" s="138"/>
      <c r="X79" s="138"/>
    </row>
    <row r="80" spans="1:24" ht="32.450000000000003" customHeight="1" x14ac:dyDescent="0.25">
      <c r="A80" s="4" t="s">
        <v>18</v>
      </c>
      <c r="B80" s="394" t="s">
        <v>208</v>
      </c>
      <c r="C80" s="4" t="s">
        <v>6</v>
      </c>
      <c r="D80" s="296"/>
      <c r="E80" s="296"/>
      <c r="F80" s="296"/>
      <c r="G80" s="296"/>
      <c r="H80" s="293"/>
      <c r="I80" s="298"/>
      <c r="J80" s="218"/>
      <c r="K80" s="218"/>
      <c r="L80" s="142"/>
      <c r="M80" s="142"/>
      <c r="N80" s="147"/>
      <c r="O80" s="147"/>
      <c r="P80" s="147"/>
      <c r="Q80" s="147"/>
      <c r="R80" s="138"/>
      <c r="S80" s="138"/>
      <c r="T80" s="138"/>
      <c r="U80" s="138"/>
      <c r="V80" s="138"/>
      <c r="W80" s="138"/>
      <c r="X80" s="138"/>
    </row>
    <row r="81" spans="1:24" s="152" customFormat="1" ht="32.450000000000003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5.92</v>
      </c>
      <c r="E81" s="304">
        <f>E82+E83</f>
        <v>1.71</v>
      </c>
      <c r="F81" s="304">
        <f t="shared" ref="F81:G81" si="36">F82+F83</f>
        <v>1.5</v>
      </c>
      <c r="G81" s="304">
        <f t="shared" si="36"/>
        <v>1.5</v>
      </c>
      <c r="H81" s="326">
        <f t="shared" si="34"/>
        <v>87.719298245614041</v>
      </c>
      <c r="I81" s="305"/>
      <c r="J81" s="229"/>
      <c r="K81" s="229"/>
      <c r="L81" s="150"/>
      <c r="M81" s="150"/>
      <c r="N81" s="150"/>
      <c r="O81" s="150"/>
      <c r="P81" s="150"/>
      <c r="Q81" s="150"/>
      <c r="R81" s="158"/>
      <c r="S81" s="158"/>
      <c r="T81" s="158"/>
      <c r="U81" s="158"/>
      <c r="V81" s="158"/>
      <c r="W81" s="158"/>
      <c r="X81" s="158"/>
    </row>
    <row r="82" spans="1:24" s="149" customFormat="1" ht="32.450000000000003" customHeight="1" x14ac:dyDescent="0.25">
      <c r="A82" s="392" t="s">
        <v>18</v>
      </c>
      <c r="B82" s="393" t="s">
        <v>188</v>
      </c>
      <c r="C82" s="4" t="s">
        <v>6</v>
      </c>
      <c r="D82" s="299">
        <v>4.42</v>
      </c>
      <c r="E82" s="299">
        <v>1.5</v>
      </c>
      <c r="F82" s="299">
        <v>1.5</v>
      </c>
      <c r="G82" s="299">
        <v>1.5</v>
      </c>
      <c r="H82" s="325">
        <f t="shared" si="34"/>
        <v>100</v>
      </c>
      <c r="I82" s="301"/>
      <c r="J82" s="218"/>
      <c r="K82" s="247"/>
      <c r="L82" s="142"/>
      <c r="M82" s="142"/>
      <c r="N82" s="159"/>
      <c r="O82" s="159"/>
      <c r="P82" s="159"/>
      <c r="Q82" s="159"/>
      <c r="R82" s="156"/>
      <c r="S82" s="156"/>
      <c r="T82" s="156"/>
      <c r="U82" s="156"/>
      <c r="V82" s="156"/>
      <c r="W82" s="156"/>
      <c r="X82" s="156"/>
    </row>
    <row r="83" spans="1:24" ht="32.450000000000003" customHeight="1" x14ac:dyDescent="0.25">
      <c r="A83" s="392" t="s">
        <v>15</v>
      </c>
      <c r="B83" s="389" t="s">
        <v>210</v>
      </c>
      <c r="C83" s="5" t="s">
        <v>6</v>
      </c>
      <c r="D83" s="306">
        <f>SUM(D84:D87)</f>
        <v>1.5</v>
      </c>
      <c r="E83" s="306">
        <f>SUM(E84:E87)</f>
        <v>0.21</v>
      </c>
      <c r="F83" s="306">
        <f t="shared" ref="F83:G83" si="37">SUM(F84:F87)</f>
        <v>0</v>
      </c>
      <c r="G83" s="306">
        <f t="shared" si="37"/>
        <v>0</v>
      </c>
      <c r="H83" s="325">
        <f t="shared" si="34"/>
        <v>0</v>
      </c>
      <c r="I83" s="309"/>
      <c r="J83" s="218"/>
      <c r="K83" s="218"/>
      <c r="L83" s="218"/>
      <c r="M83" s="21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</row>
    <row r="84" spans="1:24" ht="32.450000000000003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293"/>
      <c r="I84" s="298"/>
      <c r="J84" s="142"/>
      <c r="K84" s="142"/>
      <c r="L84" s="142"/>
      <c r="M84" s="142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</row>
    <row r="85" spans="1:24" ht="32.450000000000003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293"/>
      <c r="I85" s="298"/>
      <c r="J85" s="142"/>
      <c r="K85" s="142"/>
      <c r="L85" s="142"/>
      <c r="M85" s="142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</row>
    <row r="86" spans="1:24" ht="32.450000000000003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293"/>
      <c r="I86" s="298"/>
      <c r="J86" s="142"/>
      <c r="K86" s="142"/>
      <c r="L86" s="142"/>
      <c r="M86" s="142"/>
      <c r="N86" s="147"/>
      <c r="O86" s="147"/>
      <c r="P86" s="147"/>
      <c r="Q86" s="147"/>
      <c r="R86" s="147"/>
      <c r="S86" s="138"/>
      <c r="T86" s="138"/>
      <c r="U86" s="138"/>
      <c r="V86" s="138"/>
      <c r="W86" s="138"/>
      <c r="X86" s="138"/>
    </row>
    <row r="87" spans="1:24" ht="32.450000000000003" customHeight="1" x14ac:dyDescent="0.25">
      <c r="A87" s="392" t="s">
        <v>18</v>
      </c>
      <c r="B87" s="393" t="s">
        <v>193</v>
      </c>
      <c r="C87" s="4" t="s">
        <v>6</v>
      </c>
      <c r="D87" s="296">
        <v>1.5</v>
      </c>
      <c r="E87" s="296">
        <v>0.21</v>
      </c>
      <c r="F87" s="296">
        <v>0</v>
      </c>
      <c r="G87" s="296">
        <v>0</v>
      </c>
      <c r="H87" s="293">
        <f t="shared" si="34"/>
        <v>0</v>
      </c>
      <c r="I87" s="298"/>
      <c r="J87" s="275"/>
      <c r="K87" s="142"/>
      <c r="L87" s="142"/>
      <c r="M87" s="230"/>
      <c r="N87" s="157"/>
      <c r="O87" s="157"/>
      <c r="P87" s="157"/>
      <c r="Q87" s="157"/>
      <c r="R87" s="157"/>
      <c r="S87" s="157"/>
      <c r="T87" s="138"/>
      <c r="U87" s="138"/>
      <c r="V87" s="138"/>
      <c r="W87" s="138"/>
      <c r="X87" s="138"/>
    </row>
    <row r="88" spans="1:24" ht="32.450000000000003" customHeight="1" x14ac:dyDescent="0.25">
      <c r="A88" s="3" t="s">
        <v>44</v>
      </c>
      <c r="B88" s="334" t="s">
        <v>45</v>
      </c>
      <c r="C88" s="3"/>
      <c r="D88" s="291">
        <f>SUM(D89:D93)</f>
        <v>481</v>
      </c>
      <c r="E88" s="291">
        <f t="shared" ref="E88:G88" si="38">SUM(E89:E93)</f>
        <v>540</v>
      </c>
      <c r="F88" s="291">
        <f t="shared" si="38"/>
        <v>487</v>
      </c>
      <c r="G88" s="291">
        <f t="shared" si="38"/>
        <v>487</v>
      </c>
      <c r="H88" s="293">
        <f t="shared" si="34"/>
        <v>90.18518518518519</v>
      </c>
      <c r="I88" s="294"/>
      <c r="J88" s="132"/>
      <c r="K88" s="132"/>
      <c r="L88" s="189"/>
      <c r="M88" s="189"/>
      <c r="N88" s="150"/>
      <c r="O88" s="150"/>
      <c r="P88" s="150"/>
      <c r="Q88" s="150"/>
      <c r="R88" s="138"/>
      <c r="S88" s="138"/>
      <c r="T88" s="138"/>
      <c r="U88" s="138"/>
      <c r="V88" s="138"/>
      <c r="W88" s="138"/>
      <c r="X88" s="138"/>
    </row>
    <row r="89" spans="1:24" s="194" customFormat="1" ht="32.450000000000003" customHeight="1" x14ac:dyDescent="0.25">
      <c r="A89" s="5">
        <v>1</v>
      </c>
      <c r="B89" s="337" t="s">
        <v>46</v>
      </c>
      <c r="C89" s="5" t="s">
        <v>8</v>
      </c>
      <c r="D89" s="296">
        <f>46-15</f>
        <v>31</v>
      </c>
      <c r="E89" s="296">
        <f>47+25-6</f>
        <v>66</v>
      </c>
      <c r="F89" s="296">
        <v>62</v>
      </c>
      <c r="G89" s="296">
        <f>F89</f>
        <v>62</v>
      </c>
      <c r="H89" s="325">
        <f t="shared" si="34"/>
        <v>93.939393939393938</v>
      </c>
      <c r="I89" s="298"/>
      <c r="J89" s="215"/>
      <c r="K89" s="215"/>
      <c r="L89" s="277"/>
      <c r="M89" s="263"/>
      <c r="N89" s="255"/>
      <c r="O89" s="255"/>
      <c r="P89" s="202"/>
      <c r="Q89" s="202"/>
      <c r="R89" s="202"/>
      <c r="S89" s="202"/>
      <c r="T89" s="202"/>
      <c r="U89" s="202"/>
      <c r="V89" s="202"/>
      <c r="W89" s="202"/>
      <c r="X89" s="202"/>
    </row>
    <row r="90" spans="1:24" s="194" customFormat="1" ht="32.450000000000003" customHeight="1" x14ac:dyDescent="0.25">
      <c r="A90" s="5">
        <v>2</v>
      </c>
      <c r="B90" s="337" t="s">
        <v>47</v>
      </c>
      <c r="C90" s="5" t="s">
        <v>8</v>
      </c>
      <c r="D90" s="296">
        <f>77-5</f>
        <v>72</v>
      </c>
      <c r="E90" s="296">
        <f>77+12+3</f>
        <v>92</v>
      </c>
      <c r="F90" s="296">
        <v>90</v>
      </c>
      <c r="G90" s="296">
        <f>F90</f>
        <v>90</v>
      </c>
      <c r="H90" s="325">
        <f t="shared" si="34"/>
        <v>97.826086956521735</v>
      </c>
      <c r="I90" s="298"/>
      <c r="J90" s="231"/>
      <c r="K90" s="215"/>
      <c r="L90" s="277"/>
      <c r="M90" s="263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</row>
    <row r="91" spans="1:24" s="194" customFormat="1" ht="32.450000000000003" customHeight="1" x14ac:dyDescent="0.25">
      <c r="A91" s="5">
        <v>3</v>
      </c>
      <c r="B91" s="337" t="s">
        <v>48</v>
      </c>
      <c r="C91" s="5" t="s">
        <v>8</v>
      </c>
      <c r="D91" s="296">
        <f>44-5</f>
        <v>39</v>
      </c>
      <c r="E91" s="296">
        <f>45+14</f>
        <v>59</v>
      </c>
      <c r="F91" s="296">
        <v>57</v>
      </c>
      <c r="G91" s="296">
        <f>F91</f>
        <v>57</v>
      </c>
      <c r="H91" s="325">
        <f t="shared" si="34"/>
        <v>96.610169491525426</v>
      </c>
      <c r="I91" s="298"/>
      <c r="J91" s="231"/>
      <c r="K91" s="215"/>
      <c r="L91" s="277"/>
      <c r="M91" s="263"/>
      <c r="N91" s="268"/>
      <c r="O91" s="268"/>
      <c r="P91" s="202"/>
      <c r="Q91" s="202"/>
      <c r="R91" s="202"/>
      <c r="S91" s="202"/>
      <c r="T91" s="202"/>
      <c r="U91" s="202"/>
      <c r="V91" s="202"/>
      <c r="W91" s="202"/>
      <c r="X91" s="202"/>
    </row>
    <row r="92" spans="1:24" s="194" customFormat="1" ht="32.450000000000003" customHeight="1" x14ac:dyDescent="0.25">
      <c r="A92" s="5">
        <v>4</v>
      </c>
      <c r="B92" s="337" t="s">
        <v>49</v>
      </c>
      <c r="C92" s="5" t="s">
        <v>8</v>
      </c>
      <c r="D92" s="296">
        <f>20-5</f>
        <v>15</v>
      </c>
      <c r="E92" s="296">
        <f>22+6</f>
        <v>28</v>
      </c>
      <c r="F92" s="296">
        <v>25</v>
      </c>
      <c r="G92" s="296">
        <f>F92</f>
        <v>25</v>
      </c>
      <c r="H92" s="325">
        <f t="shared" si="34"/>
        <v>89.285714285714292</v>
      </c>
      <c r="I92" s="298"/>
      <c r="J92" s="231"/>
      <c r="K92" s="215"/>
      <c r="L92" s="270"/>
      <c r="M92" s="263"/>
      <c r="N92" s="268"/>
      <c r="O92" s="268"/>
      <c r="P92" s="202"/>
      <c r="Q92" s="202"/>
      <c r="R92" s="202"/>
      <c r="S92" s="202"/>
      <c r="T92" s="202"/>
      <c r="U92" s="202"/>
      <c r="V92" s="202"/>
      <c r="W92" s="202"/>
      <c r="X92" s="202"/>
    </row>
    <row r="93" spans="1:24" s="194" customFormat="1" ht="32.450000000000003" customHeight="1" x14ac:dyDescent="0.25">
      <c r="A93" s="5">
        <v>5</v>
      </c>
      <c r="B93" s="337" t="s">
        <v>50</v>
      </c>
      <c r="C93" s="5" t="s">
        <v>8</v>
      </c>
      <c r="D93" s="296">
        <f>373-49</f>
        <v>324</v>
      </c>
      <c r="E93" s="296">
        <f>326-31</f>
        <v>295</v>
      </c>
      <c r="F93" s="296">
        <v>253</v>
      </c>
      <c r="G93" s="296">
        <f>F93</f>
        <v>253</v>
      </c>
      <c r="H93" s="325">
        <f t="shared" si="34"/>
        <v>85.762711864406782</v>
      </c>
      <c r="I93" s="298"/>
      <c r="J93" s="215"/>
      <c r="K93" s="215"/>
      <c r="L93" s="270"/>
      <c r="M93" s="263"/>
      <c r="N93" s="255"/>
      <c r="O93" s="202"/>
      <c r="P93" s="202"/>
      <c r="Q93" s="202"/>
      <c r="R93" s="202"/>
      <c r="S93" s="202"/>
      <c r="T93" s="202"/>
      <c r="U93" s="202"/>
      <c r="V93" s="202"/>
      <c r="W93" s="202"/>
      <c r="X93" s="202"/>
    </row>
    <row r="94" spans="1:24" s="131" customFormat="1" ht="32.450000000000003" customHeight="1" x14ac:dyDescent="0.25">
      <c r="A94" s="3" t="s">
        <v>51</v>
      </c>
      <c r="B94" s="335" t="s">
        <v>52</v>
      </c>
      <c r="C94" s="3" t="s">
        <v>6</v>
      </c>
      <c r="D94" s="291">
        <f>D95</f>
        <v>0</v>
      </c>
      <c r="E94" s="291">
        <f t="shared" ref="E94:G94" si="39">E95</f>
        <v>0</v>
      </c>
      <c r="F94" s="291">
        <f t="shared" si="39"/>
        <v>0</v>
      </c>
      <c r="G94" s="291">
        <f t="shared" si="39"/>
        <v>0</v>
      </c>
      <c r="H94" s="293"/>
      <c r="I94" s="294"/>
      <c r="J94" s="129"/>
      <c r="K94" s="129"/>
      <c r="L94" s="270"/>
      <c r="M94" s="26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</row>
    <row r="95" spans="1:24" ht="32.450000000000003" customHeight="1" x14ac:dyDescent="0.25">
      <c r="A95" s="4" t="s">
        <v>18</v>
      </c>
      <c r="B95" s="389" t="s">
        <v>53</v>
      </c>
      <c r="C95" s="4" t="s">
        <v>6</v>
      </c>
      <c r="D95" s="296"/>
      <c r="E95" s="296"/>
      <c r="F95" s="296"/>
      <c r="G95" s="296"/>
      <c r="H95" s="293"/>
      <c r="I95" s="298"/>
      <c r="J95" s="132"/>
      <c r="K95" s="132"/>
      <c r="L95" s="270"/>
      <c r="M95" s="263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</row>
    <row r="96" spans="1:24" ht="32.450000000000003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5.6</v>
      </c>
      <c r="E96" s="291">
        <f t="shared" ref="E96:G96" si="40">E97+E98</f>
        <v>2.5499999999999998</v>
      </c>
      <c r="F96" s="291">
        <f>F97+F98</f>
        <v>0</v>
      </c>
      <c r="G96" s="291">
        <f t="shared" si="40"/>
        <v>0</v>
      </c>
      <c r="H96" s="293">
        <f t="shared" si="34"/>
        <v>0</v>
      </c>
      <c r="I96" s="294"/>
      <c r="J96" s="132"/>
      <c r="K96" s="132"/>
      <c r="L96" s="132"/>
      <c r="M96" s="132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</row>
    <row r="97" spans="1:24" ht="32.450000000000003" customHeight="1" x14ac:dyDescent="0.25">
      <c r="A97" s="5" t="s">
        <v>18</v>
      </c>
      <c r="B97" s="391" t="s">
        <v>213</v>
      </c>
      <c r="C97" s="4" t="s">
        <v>6</v>
      </c>
      <c r="D97" s="296"/>
      <c r="E97" s="296"/>
      <c r="F97" s="296"/>
      <c r="G97" s="296"/>
      <c r="H97" s="293"/>
      <c r="I97" s="298"/>
      <c r="J97" s="132"/>
      <c r="K97" s="132"/>
      <c r="L97" s="132"/>
      <c r="M97" s="132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</row>
    <row r="98" spans="1:24" ht="32.450000000000003" customHeight="1" x14ac:dyDescent="0.25">
      <c r="A98" s="395" t="s">
        <v>18</v>
      </c>
      <c r="B98" s="391" t="s">
        <v>56</v>
      </c>
      <c r="C98" s="4" t="s">
        <v>6</v>
      </c>
      <c r="D98" s="296">
        <v>5.6</v>
      </c>
      <c r="E98" s="296">
        <f>3.8-1.25</f>
        <v>2.5499999999999998</v>
      </c>
      <c r="F98" s="296"/>
      <c r="G98" s="296"/>
      <c r="H98" s="293">
        <f t="shared" si="34"/>
        <v>0</v>
      </c>
      <c r="I98" s="298"/>
      <c r="J98" s="132"/>
      <c r="K98" s="256"/>
      <c r="L98" s="132"/>
      <c r="M98" s="132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</row>
    <row r="99" spans="1:24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55"/>
      <c r="K99" s="155"/>
      <c r="L99" s="155"/>
      <c r="M99" s="155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</row>
    <row r="100" spans="1:24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55"/>
      <c r="K100" s="155"/>
      <c r="L100" s="155"/>
      <c r="M100" s="155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</row>
    <row r="101" spans="1:24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55"/>
      <c r="K101" s="155"/>
      <c r="L101" s="155"/>
      <c r="M101" s="155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</row>
    <row r="102" spans="1:24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55"/>
      <c r="K102" s="155"/>
      <c r="L102" s="155"/>
      <c r="M102" s="155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</row>
    <row r="103" spans="1:24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27"/>
      <c r="L103" s="127"/>
      <c r="M103" s="127"/>
    </row>
    <row r="104" spans="1:24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27"/>
      <c r="L104" s="127"/>
      <c r="M104" s="127"/>
    </row>
    <row r="105" spans="1:24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27"/>
      <c r="L105" s="127"/>
      <c r="M105" s="127"/>
    </row>
    <row r="106" spans="1:24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27"/>
      <c r="L106" s="127"/>
      <c r="M106" s="127"/>
    </row>
    <row r="107" spans="1:24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27"/>
      <c r="L107" s="127"/>
      <c r="M107" s="127"/>
    </row>
    <row r="108" spans="1:24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27"/>
      <c r="L108" s="127"/>
      <c r="M108" s="127"/>
    </row>
    <row r="109" spans="1:24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</row>
    <row r="110" spans="1:24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</row>
    <row r="111" spans="1:24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</row>
    <row r="112" spans="1:24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</row>
    <row r="113" spans="1:13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</row>
    <row r="114" spans="1:13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</row>
    <row r="115" spans="1:13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</row>
    <row r="116" spans="1:13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</row>
    <row r="117" spans="1:13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</row>
    <row r="118" spans="1:13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</row>
    <row r="119" spans="1:13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</row>
    <row r="120" spans="1:13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</row>
    <row r="121" spans="1:13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</row>
    <row r="122" spans="1:13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</row>
    <row r="123" spans="1:13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</row>
    <row r="124" spans="1:13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</row>
    <row r="125" spans="1:13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</row>
    <row r="126" spans="1:13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</row>
    <row r="127" spans="1:13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</row>
    <row r="128" spans="1:13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</row>
    <row r="129" spans="1:13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</row>
    <row r="130" spans="1:13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</row>
    <row r="131" spans="1:13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</row>
    <row r="132" spans="1:13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</row>
    <row r="133" spans="1:13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</row>
    <row r="134" spans="1:13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</row>
    <row r="135" spans="1:13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</row>
    <row r="136" spans="1:13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</row>
    <row r="137" spans="1:13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</row>
    <row r="138" spans="1:13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</row>
    <row r="139" spans="1:13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</row>
    <row r="140" spans="1:13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</row>
    <row r="141" spans="1:13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</row>
    <row r="142" spans="1:13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</row>
    <row r="143" spans="1:13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</row>
    <row r="144" spans="1:13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</row>
    <row r="145" spans="1:13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</row>
    <row r="146" spans="1:13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</row>
    <row r="147" spans="1:13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</row>
    <row r="148" spans="1:13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</row>
    <row r="149" spans="1:13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</row>
    <row r="150" spans="1:13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</row>
    <row r="151" spans="1:13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</row>
    <row r="152" spans="1:13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</row>
    <row r="153" spans="1:13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</row>
    <row r="154" spans="1:13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</row>
    <row r="155" spans="1:13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</row>
    <row r="156" spans="1:13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</row>
    <row r="157" spans="1:13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</row>
    <row r="158" spans="1:13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</row>
    <row r="159" spans="1:13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</row>
    <row r="160" spans="1:13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</row>
    <row r="161" spans="1:13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</row>
    <row r="162" spans="1:13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</row>
    <row r="163" spans="1:13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</row>
    <row r="164" spans="1:13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</row>
    <row r="165" spans="1:13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</row>
    <row r="166" spans="1:13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</row>
    <row r="167" spans="1:13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</row>
    <row r="168" spans="1:13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</row>
    <row r="169" spans="1:13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</row>
    <row r="170" spans="1:13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</row>
    <row r="171" spans="1:13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</row>
    <row r="172" spans="1:13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</row>
    <row r="173" spans="1:13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</row>
    <row r="174" spans="1:13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</row>
    <row r="175" spans="1:13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</row>
    <row r="176" spans="1:13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</row>
    <row r="177" spans="1:13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</row>
    <row r="178" spans="1:13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</row>
    <row r="179" spans="1:13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</row>
    <row r="180" spans="1:13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</row>
    <row r="181" spans="1:13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</row>
    <row r="182" spans="1:13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</row>
    <row r="183" spans="1:13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</row>
    <row r="184" spans="1:13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</row>
    <row r="185" spans="1:13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</row>
    <row r="186" spans="1:13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</row>
    <row r="187" spans="1:13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</row>
    <row r="188" spans="1:13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</row>
    <row r="189" spans="1:13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</row>
    <row r="190" spans="1:13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</row>
    <row r="191" spans="1:13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</row>
    <row r="192" spans="1:13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</row>
    <row r="193" spans="1:13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</row>
    <row r="194" spans="1:13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</row>
    <row r="195" spans="1:13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</row>
    <row r="196" spans="1:13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</row>
    <row r="197" spans="1:13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</row>
    <row r="198" spans="1:13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</row>
    <row r="199" spans="1:13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</row>
    <row r="200" spans="1:13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</row>
    <row r="201" spans="1:13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</row>
    <row r="202" spans="1:13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</row>
    <row r="203" spans="1:13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</row>
    <row r="204" spans="1:13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</row>
    <row r="205" spans="1:13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</row>
    <row r="206" spans="1:13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</row>
    <row r="207" spans="1:13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</row>
    <row r="208" spans="1:13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</row>
    <row r="209" spans="1:13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</row>
    <row r="210" spans="1:13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</row>
    <row r="211" spans="1:13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</row>
    <row r="212" spans="1:13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</row>
    <row r="213" spans="1:13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</row>
    <row r="214" spans="1:13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</row>
    <row r="215" spans="1:13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</row>
    <row r="216" spans="1:13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</row>
    <row r="217" spans="1:13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</row>
    <row r="218" spans="1:13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</row>
    <row r="219" spans="1:13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</row>
    <row r="220" spans="1:13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</row>
    <row r="221" spans="1:13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</row>
    <row r="222" spans="1:13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</row>
    <row r="223" spans="1:13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</row>
    <row r="224" spans="1:13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</row>
    <row r="225" spans="1:13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</row>
    <row r="226" spans="1:13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</row>
    <row r="227" spans="1:13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</row>
    <row r="228" spans="1:13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</row>
    <row r="229" spans="1:13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</row>
    <row r="230" spans="1:13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</row>
    <row r="231" spans="1:13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</row>
    <row r="232" spans="1:13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</row>
    <row r="233" spans="1:13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</row>
    <row r="234" spans="1:13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</row>
    <row r="235" spans="1:13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</row>
    <row r="236" spans="1:13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</row>
    <row r="237" spans="1:13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</row>
    <row r="238" spans="1:13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</row>
    <row r="239" spans="1:13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</row>
    <row r="240" spans="1:13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</row>
    <row r="241" spans="1:13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</row>
    <row r="242" spans="1:13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</row>
    <row r="243" spans="1:13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</row>
    <row r="244" spans="1:13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</row>
    <row r="245" spans="1:13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</row>
    <row r="246" spans="1:13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</row>
    <row r="247" spans="1:13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</row>
    <row r="248" spans="1:13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</row>
    <row r="249" spans="1:13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</row>
    <row r="250" spans="1:13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</row>
    <row r="251" spans="1:13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</row>
    <row r="252" spans="1:13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</row>
    <row r="253" spans="1:13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</row>
    <row r="254" spans="1:13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</row>
    <row r="255" spans="1:13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</row>
    <row r="256" spans="1:13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</row>
    <row r="257" spans="1:13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</row>
    <row r="258" spans="1:13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</row>
    <row r="259" spans="1:13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</row>
    <row r="260" spans="1:13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</row>
    <row r="261" spans="1:13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</row>
    <row r="262" spans="1:13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</row>
    <row r="263" spans="1:13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</row>
    <row r="264" spans="1:13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</row>
    <row r="265" spans="1:13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</row>
    <row r="266" spans="1:13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</row>
    <row r="267" spans="1:13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</row>
    <row r="268" spans="1:13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</row>
    <row r="269" spans="1:13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</row>
    <row r="270" spans="1:13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</row>
    <row r="271" spans="1:13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</row>
    <row r="272" spans="1:13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</row>
    <row r="273" spans="1:13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</row>
    <row r="274" spans="1:13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</row>
    <row r="275" spans="1:13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</row>
    <row r="276" spans="1:13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</row>
    <row r="277" spans="1:13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</row>
    <row r="278" spans="1:13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</row>
    <row r="279" spans="1:13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</row>
    <row r="280" spans="1:13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</row>
    <row r="281" spans="1:13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</row>
    <row r="282" spans="1:13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</row>
    <row r="283" spans="1:13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</row>
    <row r="284" spans="1:13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</row>
    <row r="285" spans="1:13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</row>
    <row r="286" spans="1:13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</row>
    <row r="287" spans="1:13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</row>
    <row r="288" spans="1:13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</row>
    <row r="289" spans="1:13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</row>
    <row r="290" spans="1:13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</row>
    <row r="291" spans="1:13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</row>
    <row r="292" spans="1:13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</row>
    <row r="293" spans="1:13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</row>
    <row r="294" spans="1:13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</row>
    <row r="295" spans="1:13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</row>
    <row r="296" spans="1:13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</row>
    <row r="297" spans="1:13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</row>
    <row r="298" spans="1:13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</row>
    <row r="299" spans="1:13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</row>
    <row r="300" spans="1:13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</row>
    <row r="301" spans="1:13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</row>
    <row r="302" spans="1:13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</row>
    <row r="303" spans="1:13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</row>
    <row r="304" spans="1:13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</row>
    <row r="305" spans="1:13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</row>
    <row r="306" spans="1:13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</row>
    <row r="307" spans="1:13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</row>
    <row r="308" spans="1:13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</row>
    <row r="309" spans="1:13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</row>
    <row r="310" spans="1:13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</row>
    <row r="311" spans="1:13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</row>
    <row r="312" spans="1:13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</row>
    <row r="313" spans="1:13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</row>
    <row r="314" spans="1:13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</row>
    <row r="315" spans="1:13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</row>
    <row r="316" spans="1:13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</row>
    <row r="317" spans="1:13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</row>
    <row r="318" spans="1:13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</row>
    <row r="319" spans="1:13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</row>
    <row r="320" spans="1:13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</row>
    <row r="321" spans="1:13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</row>
    <row r="322" spans="1:13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</row>
    <row r="323" spans="1:13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</row>
    <row r="324" spans="1:13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</row>
    <row r="325" spans="1:13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</row>
    <row r="326" spans="1:13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</row>
    <row r="327" spans="1:13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</row>
    <row r="328" spans="1:13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</row>
    <row r="329" spans="1:13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</row>
    <row r="330" spans="1:13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</row>
    <row r="331" spans="1:13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</row>
    <row r="332" spans="1:13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</row>
    <row r="333" spans="1:13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</row>
    <row r="334" spans="1:13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</row>
    <row r="335" spans="1:13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</row>
    <row r="336" spans="1:13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</row>
    <row r="337" spans="1:13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</row>
    <row r="338" spans="1:13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</row>
    <row r="339" spans="1:13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</row>
    <row r="340" spans="1:13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</row>
    <row r="341" spans="1:13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</row>
    <row r="342" spans="1:13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</row>
    <row r="343" spans="1:13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</row>
    <row r="344" spans="1:13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</row>
    <row r="345" spans="1:13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</row>
    <row r="346" spans="1:13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</row>
    <row r="347" spans="1:13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</row>
    <row r="348" spans="1:13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</row>
    <row r="349" spans="1:13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</row>
    <row r="350" spans="1:13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</row>
    <row r="351" spans="1:13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</row>
    <row r="352" spans="1:13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</row>
    <row r="353" spans="1:13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</row>
    <row r="354" spans="1:13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</row>
    <row r="355" spans="1:13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</row>
    <row r="356" spans="1:13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</row>
    <row r="357" spans="1:13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</row>
    <row r="358" spans="1:13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</row>
    <row r="359" spans="1:13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</row>
    <row r="360" spans="1:13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</row>
    <row r="361" spans="1:13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</row>
    <row r="362" spans="1:13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</row>
    <row r="363" spans="1:13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</row>
    <row r="364" spans="1:13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</row>
    <row r="365" spans="1:13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</row>
    <row r="366" spans="1:13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</row>
    <row r="367" spans="1:13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</row>
    <row r="368" spans="1:13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</row>
    <row r="369" spans="1:13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</row>
    <row r="370" spans="1:13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</row>
    <row r="371" spans="1:13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</row>
    <row r="372" spans="1:13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</row>
    <row r="373" spans="1:13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</row>
    <row r="374" spans="1:13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</row>
    <row r="375" spans="1:13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</row>
    <row r="376" spans="1:13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</row>
    <row r="377" spans="1:13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</row>
    <row r="378" spans="1:13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</row>
    <row r="379" spans="1:13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</row>
    <row r="380" spans="1:13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</row>
    <row r="381" spans="1:13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</row>
    <row r="382" spans="1:13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</row>
    <row r="383" spans="1:13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</row>
    <row r="384" spans="1:13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</row>
    <row r="385" spans="1:13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</row>
    <row r="386" spans="1:13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</row>
    <row r="387" spans="1:13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</row>
    <row r="388" spans="1:13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</row>
    <row r="389" spans="1:13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</row>
    <row r="390" spans="1:13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</row>
    <row r="391" spans="1:13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</row>
    <row r="392" spans="1:13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</row>
    <row r="393" spans="1:13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</row>
    <row r="394" spans="1:13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</row>
    <row r="395" spans="1:13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</row>
    <row r="396" spans="1:13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</row>
    <row r="397" spans="1:13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</row>
    <row r="398" spans="1:13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</row>
    <row r="399" spans="1:13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</row>
    <row r="400" spans="1:13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</row>
    <row r="401" spans="1:13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</row>
    <row r="402" spans="1:13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</row>
    <row r="403" spans="1:13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</row>
    <row r="404" spans="1:13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</row>
    <row r="405" spans="1:13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</row>
    <row r="406" spans="1:13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</row>
    <row r="407" spans="1:13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</row>
    <row r="408" spans="1:13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</row>
    <row r="409" spans="1:13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</row>
    <row r="410" spans="1:13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</row>
    <row r="411" spans="1:13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</row>
    <row r="412" spans="1:13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</row>
    <row r="413" spans="1:13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</row>
    <row r="414" spans="1:13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</row>
    <row r="415" spans="1:13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</row>
    <row r="416" spans="1:13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</row>
    <row r="417" spans="1:13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</row>
    <row r="418" spans="1:13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</row>
    <row r="419" spans="1:13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</row>
    <row r="420" spans="1:13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</row>
    <row r="421" spans="1:13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</row>
    <row r="422" spans="1:13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</row>
    <row r="423" spans="1:13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</row>
    <row r="424" spans="1:13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</row>
    <row r="425" spans="1:13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</row>
    <row r="426" spans="1:13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</row>
    <row r="427" spans="1:13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</row>
    <row r="428" spans="1:13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</row>
    <row r="429" spans="1:13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</row>
    <row r="430" spans="1:13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</row>
    <row r="431" spans="1:13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</row>
    <row r="432" spans="1:13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</row>
    <row r="433" spans="1:13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</row>
    <row r="434" spans="1:13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</row>
    <row r="435" spans="1:13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</row>
    <row r="436" spans="1:13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</row>
    <row r="437" spans="1:13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</row>
    <row r="438" spans="1:13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</row>
    <row r="439" spans="1:13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</row>
    <row r="440" spans="1:13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</row>
    <row r="441" spans="1:13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</row>
    <row r="442" spans="1:13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</row>
    <row r="443" spans="1:13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</row>
    <row r="444" spans="1:13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</row>
    <row r="445" spans="1:13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</row>
    <row r="446" spans="1:13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</row>
    <row r="447" spans="1:13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</row>
    <row r="448" spans="1:13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</row>
    <row r="449" spans="1:13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</row>
    <row r="450" spans="1:13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</row>
    <row r="451" spans="1:13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</row>
    <row r="452" spans="1:13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</row>
    <row r="453" spans="1:13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</row>
    <row r="454" spans="1:13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</row>
    <row r="455" spans="1:13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</row>
    <row r="456" spans="1:13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</row>
    <row r="457" spans="1:13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</row>
    <row r="458" spans="1:13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</row>
    <row r="459" spans="1:13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</row>
    <row r="460" spans="1:13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</row>
    <row r="461" spans="1:13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</row>
    <row r="462" spans="1:13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</row>
    <row r="463" spans="1:13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</row>
    <row r="464" spans="1:13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</row>
    <row r="465" spans="1:13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</row>
    <row r="466" spans="1:13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</row>
    <row r="467" spans="1:13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</row>
    <row r="468" spans="1:13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</row>
    <row r="469" spans="1:13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</row>
    <row r="470" spans="1:13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</row>
    <row r="471" spans="1:13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</row>
    <row r="472" spans="1:13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</row>
    <row r="473" spans="1:13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</row>
    <row r="474" spans="1:13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</row>
    <row r="475" spans="1:13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</row>
    <row r="476" spans="1:13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</row>
    <row r="477" spans="1:13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</row>
    <row r="478" spans="1:13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</row>
    <row r="479" spans="1:13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</row>
    <row r="480" spans="1:13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</row>
    <row r="481" spans="1:13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</row>
    <row r="482" spans="1:13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</row>
    <row r="483" spans="1:13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</row>
    <row r="484" spans="1:13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</row>
    <row r="485" spans="1:13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</row>
    <row r="486" spans="1:13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</row>
    <row r="487" spans="1:13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</row>
    <row r="488" spans="1:13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</row>
    <row r="489" spans="1:13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</row>
    <row r="490" spans="1:13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</row>
    <row r="491" spans="1:13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</row>
    <row r="492" spans="1:13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</row>
    <row r="493" spans="1:13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</row>
    <row r="494" spans="1:13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</row>
    <row r="495" spans="1:13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</row>
    <row r="496" spans="1:13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</row>
    <row r="497" spans="1:13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</row>
    <row r="498" spans="1:13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</row>
    <row r="499" spans="1:13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</row>
    <row r="500" spans="1:13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</row>
    <row r="501" spans="1:13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</row>
    <row r="502" spans="1:13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</row>
    <row r="503" spans="1:13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</row>
    <row r="504" spans="1:13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</row>
    <row r="505" spans="1:13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</row>
    <row r="506" spans="1:13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</row>
    <row r="507" spans="1:13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</row>
    <row r="508" spans="1:13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</row>
    <row r="509" spans="1:13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</row>
    <row r="510" spans="1:13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</row>
    <row r="511" spans="1:13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</row>
    <row r="512" spans="1:13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</row>
    <row r="513" spans="1:13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</row>
    <row r="514" spans="1:13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</row>
    <row r="515" spans="1:13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</row>
    <row r="516" spans="1:13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</row>
    <row r="517" spans="1:13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</row>
    <row r="518" spans="1:13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</row>
    <row r="519" spans="1:13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</row>
    <row r="520" spans="1:13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</row>
    <row r="521" spans="1:13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</row>
    <row r="522" spans="1:13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</row>
    <row r="523" spans="1:13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</row>
    <row r="524" spans="1:13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</row>
    <row r="525" spans="1:13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</row>
    <row r="526" spans="1:13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</row>
    <row r="527" spans="1:13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</row>
    <row r="528" spans="1:13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</row>
    <row r="529" spans="1:13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</row>
    <row r="530" spans="1:13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</row>
    <row r="531" spans="1:13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</row>
    <row r="532" spans="1:13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</row>
    <row r="533" spans="1:13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</row>
    <row r="534" spans="1:13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</row>
    <row r="535" spans="1:13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</row>
    <row r="536" spans="1:13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</row>
    <row r="537" spans="1:13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</row>
    <row r="538" spans="1:13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</row>
    <row r="539" spans="1:13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</row>
    <row r="540" spans="1:13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</row>
    <row r="541" spans="1:13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</row>
    <row r="542" spans="1:13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</row>
    <row r="543" spans="1:13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</row>
    <row r="544" spans="1:13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</row>
    <row r="545" spans="1:13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</row>
    <row r="546" spans="1:13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</row>
    <row r="547" spans="1:13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</row>
    <row r="548" spans="1:13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</row>
    <row r="549" spans="1:13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</row>
    <row r="550" spans="1:13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</row>
    <row r="551" spans="1:13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</row>
    <row r="552" spans="1:13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</row>
    <row r="553" spans="1:13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</row>
    <row r="554" spans="1:13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</row>
    <row r="555" spans="1:13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</row>
    <row r="556" spans="1:13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</row>
    <row r="557" spans="1:13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</row>
    <row r="558" spans="1:13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</row>
    <row r="559" spans="1:13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</row>
    <row r="560" spans="1:13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</row>
    <row r="561" spans="1:13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</row>
    <row r="562" spans="1:13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</row>
    <row r="563" spans="1:13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</row>
    <row r="564" spans="1:13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</row>
    <row r="565" spans="1:13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</row>
    <row r="566" spans="1:13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</row>
    <row r="567" spans="1:13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</row>
    <row r="568" spans="1:13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</row>
    <row r="569" spans="1:13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</row>
    <row r="570" spans="1:13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</row>
    <row r="571" spans="1:13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</row>
    <row r="572" spans="1:13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</row>
    <row r="573" spans="1:13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</row>
    <row r="574" spans="1:13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</row>
    <row r="575" spans="1:13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</row>
    <row r="576" spans="1:13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</row>
    <row r="577" spans="1:13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</row>
    <row r="578" spans="1:13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</row>
    <row r="579" spans="1:13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</row>
    <row r="580" spans="1:13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</row>
    <row r="581" spans="1:13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</row>
    <row r="582" spans="1:13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</row>
    <row r="583" spans="1:13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</row>
    <row r="584" spans="1:13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</row>
    <row r="585" spans="1:13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</row>
    <row r="586" spans="1:13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</row>
    <row r="587" spans="1:13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</row>
    <row r="588" spans="1:13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</row>
    <row r="589" spans="1:13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</row>
    <row r="590" spans="1:13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</row>
    <row r="591" spans="1:13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</row>
    <row r="592" spans="1:13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</row>
    <row r="593" spans="1:13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</row>
    <row r="594" spans="1:13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</row>
    <row r="595" spans="1:13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</row>
    <row r="596" spans="1:13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</row>
    <row r="597" spans="1:13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</row>
    <row r="598" spans="1:13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</row>
    <row r="599" spans="1:13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</row>
    <row r="600" spans="1:13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</row>
    <row r="601" spans="1:13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</row>
    <row r="602" spans="1:13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</row>
    <row r="603" spans="1:13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</row>
    <row r="604" spans="1:13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</row>
    <row r="605" spans="1:13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</row>
    <row r="606" spans="1:13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</row>
    <row r="607" spans="1:13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</row>
    <row r="608" spans="1:13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</row>
    <row r="609" spans="1:13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</row>
    <row r="610" spans="1:13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</row>
    <row r="611" spans="1:13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</row>
    <row r="612" spans="1:13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</row>
    <row r="613" spans="1:13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</row>
    <row r="614" spans="1:13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</row>
    <row r="615" spans="1:13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</row>
    <row r="616" spans="1:13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</row>
    <row r="617" spans="1:13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</row>
    <row r="618" spans="1:13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</row>
    <row r="619" spans="1:13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</row>
    <row r="620" spans="1:13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</row>
    <row r="621" spans="1:13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</row>
    <row r="622" spans="1:13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</row>
    <row r="623" spans="1:13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</row>
    <row r="624" spans="1:13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</row>
    <row r="625" spans="1:13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</row>
    <row r="626" spans="1:13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</row>
    <row r="627" spans="1:13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</row>
    <row r="628" spans="1:13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</row>
    <row r="629" spans="1:13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</row>
    <row r="630" spans="1:13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</row>
    <row r="631" spans="1:13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</row>
    <row r="632" spans="1:13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</row>
    <row r="633" spans="1:13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</row>
    <row r="634" spans="1:13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</row>
    <row r="635" spans="1:13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</row>
    <row r="636" spans="1:13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</row>
    <row r="637" spans="1:13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</row>
    <row r="638" spans="1:13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</row>
    <row r="639" spans="1:13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</row>
    <row r="640" spans="1:13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</row>
    <row r="641" spans="1:13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</row>
    <row r="642" spans="1:13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</row>
    <row r="643" spans="1:13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</row>
    <row r="644" spans="1:13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</row>
    <row r="645" spans="1:13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</row>
    <row r="646" spans="1:13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</row>
    <row r="647" spans="1:13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</row>
    <row r="648" spans="1:13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</row>
    <row r="649" spans="1:13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</row>
    <row r="650" spans="1:13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</row>
    <row r="651" spans="1:13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</row>
    <row r="652" spans="1:13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</row>
    <row r="653" spans="1:13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</row>
    <row r="654" spans="1:13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</row>
    <row r="655" spans="1:13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</row>
    <row r="656" spans="1:13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</row>
    <row r="657" spans="1:13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</row>
    <row r="658" spans="1:13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</row>
    <row r="659" spans="1:13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</row>
    <row r="660" spans="1:13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</row>
    <row r="661" spans="1:13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</row>
    <row r="662" spans="1:13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</row>
    <row r="663" spans="1:13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</row>
    <row r="664" spans="1:13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</row>
    <row r="665" spans="1:13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</row>
    <row r="666" spans="1:13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</row>
    <row r="667" spans="1:13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</row>
    <row r="668" spans="1:13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</row>
    <row r="669" spans="1:13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</row>
    <row r="670" spans="1:13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</row>
    <row r="671" spans="1:13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</row>
    <row r="672" spans="1:13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</row>
    <row r="673" spans="1:13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</row>
    <row r="674" spans="1:13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</row>
    <row r="675" spans="1:13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</row>
    <row r="676" spans="1:13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</row>
    <row r="677" spans="1:13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</row>
    <row r="678" spans="1:13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</row>
    <row r="679" spans="1:13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</row>
    <row r="680" spans="1:13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</row>
    <row r="681" spans="1:13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</row>
    <row r="682" spans="1:13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</row>
    <row r="683" spans="1:13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</row>
    <row r="684" spans="1:13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</row>
    <row r="685" spans="1:13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</row>
    <row r="686" spans="1:13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</row>
    <row r="687" spans="1:13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</row>
    <row r="688" spans="1:13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</row>
    <row r="689" spans="1:13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</row>
    <row r="690" spans="1:13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</row>
    <row r="691" spans="1:13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</row>
    <row r="692" spans="1:13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</row>
    <row r="693" spans="1:13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</row>
    <row r="694" spans="1:13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</row>
    <row r="695" spans="1:13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</row>
    <row r="696" spans="1:13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</row>
    <row r="697" spans="1:13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</row>
    <row r="698" spans="1:13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</row>
    <row r="699" spans="1:13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</row>
    <row r="700" spans="1:13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</row>
    <row r="701" spans="1:13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</row>
    <row r="702" spans="1:13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</row>
    <row r="703" spans="1:13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</row>
    <row r="704" spans="1:13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</row>
    <row r="705" spans="1:13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</row>
    <row r="706" spans="1:13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</row>
    <row r="707" spans="1:13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</row>
    <row r="708" spans="1:13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</row>
    <row r="709" spans="1:13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</row>
    <row r="710" spans="1:13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</row>
    <row r="711" spans="1:13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</row>
    <row r="712" spans="1:13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</row>
    <row r="713" spans="1:13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</row>
    <row r="714" spans="1:13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</row>
    <row r="715" spans="1:13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</row>
    <row r="716" spans="1:13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</row>
    <row r="717" spans="1:13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</row>
    <row r="718" spans="1:13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</row>
    <row r="719" spans="1:13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</row>
    <row r="720" spans="1:13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</row>
    <row r="721" spans="1:13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</row>
    <row r="722" spans="1:13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</row>
    <row r="723" spans="1:13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</row>
    <row r="724" spans="1:13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</row>
    <row r="725" spans="1:13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</row>
    <row r="726" spans="1:13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</row>
    <row r="727" spans="1:13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</row>
    <row r="728" spans="1:13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</row>
    <row r="729" spans="1:13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</row>
    <row r="730" spans="1:13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</row>
    <row r="731" spans="1:13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</row>
    <row r="732" spans="1:13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</row>
    <row r="733" spans="1:13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</row>
    <row r="734" spans="1:13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</row>
    <row r="735" spans="1:13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</row>
    <row r="736" spans="1:13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</row>
    <row r="737" spans="1:13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</row>
    <row r="738" spans="1:13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</row>
    <row r="739" spans="1:13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</row>
    <row r="740" spans="1:13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</row>
    <row r="741" spans="1:13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</row>
    <row r="742" spans="1:13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</row>
    <row r="743" spans="1:13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</row>
    <row r="744" spans="1:13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</row>
    <row r="745" spans="1:13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</row>
    <row r="746" spans="1:13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</row>
    <row r="747" spans="1:13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</row>
    <row r="748" spans="1:13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</row>
    <row r="749" spans="1:13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</row>
    <row r="750" spans="1:13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</row>
    <row r="751" spans="1:13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</row>
    <row r="752" spans="1:13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</row>
    <row r="753" spans="1:13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</row>
    <row r="754" spans="1:13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</row>
    <row r="755" spans="1:13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</row>
    <row r="756" spans="1:13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</row>
    <row r="757" spans="1:13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</row>
    <row r="758" spans="1:13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</row>
    <row r="759" spans="1:13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</row>
    <row r="760" spans="1:13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</row>
    <row r="761" spans="1:13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</row>
    <row r="762" spans="1:13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</row>
    <row r="763" spans="1:13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</row>
    <row r="764" spans="1:13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</row>
    <row r="765" spans="1:13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</row>
    <row r="766" spans="1:13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</row>
    <row r="767" spans="1:13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</row>
    <row r="768" spans="1:13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</row>
    <row r="769" spans="1:13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</row>
    <row r="770" spans="1:13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</row>
    <row r="771" spans="1:13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</row>
    <row r="772" spans="1:13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</row>
    <row r="773" spans="1:13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</row>
    <row r="774" spans="1:13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</row>
    <row r="775" spans="1:13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</row>
    <row r="776" spans="1:13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</row>
    <row r="777" spans="1:13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</row>
    <row r="778" spans="1:13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</row>
    <row r="779" spans="1:13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</row>
    <row r="780" spans="1:13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</row>
    <row r="781" spans="1:13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</row>
    <row r="782" spans="1:13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</row>
    <row r="783" spans="1:13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</row>
    <row r="784" spans="1:13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</row>
    <row r="785" spans="1:13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</row>
    <row r="786" spans="1:13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</row>
    <row r="787" spans="1:13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</row>
    <row r="788" spans="1:13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</row>
    <row r="789" spans="1:13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</row>
    <row r="790" spans="1:13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</row>
    <row r="791" spans="1:13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</row>
    <row r="792" spans="1:13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</row>
    <row r="793" spans="1:13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</row>
    <row r="794" spans="1:13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</row>
    <row r="795" spans="1:13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</row>
    <row r="796" spans="1:13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</row>
    <row r="797" spans="1:13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</row>
    <row r="798" spans="1:13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</row>
    <row r="799" spans="1:13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</row>
    <row r="800" spans="1:13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</row>
    <row r="801" spans="1:13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</row>
    <row r="802" spans="1:13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</row>
    <row r="803" spans="1:13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</row>
    <row r="804" spans="1:13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</row>
    <row r="805" spans="1:13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</row>
    <row r="806" spans="1:13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</row>
    <row r="807" spans="1:13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</row>
    <row r="808" spans="1:13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</row>
    <row r="809" spans="1:13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</row>
    <row r="810" spans="1:13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</row>
    <row r="811" spans="1:13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</row>
    <row r="812" spans="1:13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</row>
    <row r="813" spans="1:13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</row>
    <row r="814" spans="1:13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</row>
    <row r="815" spans="1:13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</row>
    <row r="816" spans="1:13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</row>
    <row r="817" spans="1:13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</row>
    <row r="818" spans="1:13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</row>
    <row r="819" spans="1:13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</row>
    <row r="820" spans="1:13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</row>
    <row r="821" spans="1:13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</row>
    <row r="822" spans="1:13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</row>
    <row r="823" spans="1:13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</row>
    <row r="824" spans="1:13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</row>
    <row r="825" spans="1:13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</row>
    <row r="826" spans="1:13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</row>
    <row r="827" spans="1:13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</row>
    <row r="828" spans="1:13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</row>
    <row r="829" spans="1:13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</row>
    <row r="830" spans="1:13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</row>
    <row r="831" spans="1:13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</row>
    <row r="832" spans="1:13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</row>
    <row r="833" spans="1:13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</row>
    <row r="834" spans="1:13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</row>
    <row r="835" spans="1:13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</row>
    <row r="836" spans="1:13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</row>
    <row r="837" spans="1:13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</row>
    <row r="838" spans="1:13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</row>
    <row r="839" spans="1:13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</row>
    <row r="840" spans="1:13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</row>
    <row r="841" spans="1:13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</row>
    <row r="842" spans="1:13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</row>
    <row r="843" spans="1:13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</row>
    <row r="844" spans="1:13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</row>
    <row r="845" spans="1:13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</row>
    <row r="846" spans="1:13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</row>
    <row r="847" spans="1:13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</row>
    <row r="848" spans="1:13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</row>
    <row r="849" spans="1:13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</row>
    <row r="850" spans="1:13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</row>
    <row r="851" spans="1:13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</row>
    <row r="852" spans="1:13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</row>
    <row r="853" spans="1:13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</row>
    <row r="854" spans="1:13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</row>
    <row r="855" spans="1:13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</row>
    <row r="856" spans="1:13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</row>
    <row r="857" spans="1:13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</row>
    <row r="858" spans="1:13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</row>
    <row r="859" spans="1:13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</row>
    <row r="860" spans="1:13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</row>
    <row r="861" spans="1:13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</row>
    <row r="862" spans="1:13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</row>
    <row r="863" spans="1:13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</row>
    <row r="864" spans="1:13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</row>
    <row r="865" spans="1:13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</row>
    <row r="866" spans="1:13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</row>
    <row r="867" spans="1:13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</row>
    <row r="868" spans="1:13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</row>
    <row r="869" spans="1:13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</row>
    <row r="870" spans="1:13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</row>
    <row r="871" spans="1:13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</row>
    <row r="872" spans="1:13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</row>
    <row r="873" spans="1:13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</row>
    <row r="874" spans="1:13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</row>
    <row r="875" spans="1:13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</row>
    <row r="876" spans="1:13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</row>
    <row r="877" spans="1:13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</row>
    <row r="878" spans="1:13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</row>
    <row r="879" spans="1:13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</row>
    <row r="880" spans="1:13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</row>
    <row r="881" spans="1:13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</row>
    <row r="882" spans="1:13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</row>
    <row r="883" spans="1:13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</row>
    <row r="884" spans="1:13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</row>
    <row r="885" spans="1:13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</row>
    <row r="886" spans="1:13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</row>
    <row r="887" spans="1:13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</row>
    <row r="888" spans="1:13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</row>
    <row r="889" spans="1:13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</row>
    <row r="890" spans="1:13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</row>
    <row r="891" spans="1:13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</row>
    <row r="892" spans="1:13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</row>
    <row r="893" spans="1:13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</row>
    <row r="894" spans="1:13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</row>
    <row r="895" spans="1:13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</row>
    <row r="896" spans="1:13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</row>
    <row r="897" spans="1:13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</row>
    <row r="898" spans="1:13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</row>
    <row r="899" spans="1:13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</row>
    <row r="900" spans="1:13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</row>
    <row r="901" spans="1:13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</row>
    <row r="902" spans="1:13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</row>
    <row r="903" spans="1:13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</row>
    <row r="904" spans="1:13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</row>
    <row r="905" spans="1:13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</row>
    <row r="906" spans="1:13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</row>
    <row r="907" spans="1:13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</row>
    <row r="908" spans="1:13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</row>
    <row r="909" spans="1:13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</row>
    <row r="910" spans="1:13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</row>
    <row r="911" spans="1:13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</row>
    <row r="912" spans="1:13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</row>
    <row r="913" spans="1:13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</row>
    <row r="914" spans="1:13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</row>
    <row r="915" spans="1:13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</row>
    <row r="916" spans="1:13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</row>
    <row r="917" spans="1:13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</row>
    <row r="918" spans="1:13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</row>
    <row r="919" spans="1:13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</row>
    <row r="920" spans="1:13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</row>
    <row r="921" spans="1:13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</row>
    <row r="922" spans="1:13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</row>
    <row r="923" spans="1:13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</row>
    <row r="924" spans="1:13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</row>
    <row r="925" spans="1:13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</row>
    <row r="926" spans="1:13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</row>
    <row r="927" spans="1:13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</row>
    <row r="928" spans="1:13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</row>
    <row r="929" spans="1:13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</row>
    <row r="930" spans="1:13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</row>
    <row r="931" spans="1:13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</row>
    <row r="932" spans="1:13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</row>
    <row r="933" spans="1:13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</row>
    <row r="934" spans="1:13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</row>
    <row r="935" spans="1:13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</row>
    <row r="936" spans="1:13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</row>
    <row r="937" spans="1:13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</row>
    <row r="938" spans="1:13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</row>
    <row r="939" spans="1:13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</row>
    <row r="940" spans="1:13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</row>
    <row r="941" spans="1:13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</row>
    <row r="942" spans="1:13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</row>
    <row r="943" spans="1:13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</row>
    <row r="944" spans="1:13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</row>
    <row r="945" spans="1:13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</row>
    <row r="946" spans="1:13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</row>
    <row r="947" spans="1:13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</row>
    <row r="948" spans="1:13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</row>
    <row r="949" spans="1:13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</row>
    <row r="950" spans="1:13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</row>
    <row r="951" spans="1:13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</row>
    <row r="952" spans="1:13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</row>
    <row r="953" spans="1:13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</row>
    <row r="954" spans="1:13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</row>
    <row r="955" spans="1:13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</row>
    <row r="956" spans="1:13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</row>
    <row r="957" spans="1:13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</row>
    <row r="958" spans="1:13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</row>
    <row r="959" spans="1:13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</row>
    <row r="960" spans="1:13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</row>
    <row r="961" spans="1:13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</row>
    <row r="962" spans="1:13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</row>
    <row r="963" spans="1:13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</row>
    <row r="964" spans="1:13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</row>
    <row r="965" spans="1:13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</row>
    <row r="966" spans="1:13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</row>
    <row r="967" spans="1:13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</row>
    <row r="968" spans="1:13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</row>
    <row r="969" spans="1:13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</row>
    <row r="970" spans="1:13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</row>
    <row r="971" spans="1:13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</row>
    <row r="972" spans="1:13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</row>
    <row r="973" spans="1:13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</row>
    <row r="974" spans="1:13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</row>
    <row r="975" spans="1:13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</row>
    <row r="976" spans="1:13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</row>
    <row r="977" spans="1:13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</row>
    <row r="978" spans="1:13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</row>
    <row r="979" spans="1:13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</row>
    <row r="980" spans="1:13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</row>
    <row r="981" spans="1:13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</row>
    <row r="982" spans="1:13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</row>
    <row r="983" spans="1:13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</row>
    <row r="984" spans="1:13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23622047244094491" top="0.43307086614173229" bottom="0.35433070866141736" header="0" footer="0"/>
  <pageSetup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L1000"/>
  <sheetViews>
    <sheetView workbookViewId="0">
      <selection sqref="A1:B1"/>
    </sheetView>
  </sheetViews>
  <sheetFormatPr defaultColWidth="11.21875" defaultRowHeight="15" customHeight="1" x14ac:dyDescent="0.25"/>
  <cols>
    <col min="1" max="1" width="5.44140625" customWidth="1"/>
    <col min="2" max="2" width="42.44140625" customWidth="1"/>
    <col min="3" max="4" width="8.44140625" customWidth="1"/>
    <col min="5" max="5" width="13.109375" customWidth="1"/>
    <col min="6" max="18" width="8.44140625" customWidth="1"/>
    <col min="19" max="19" width="12.33203125" customWidth="1"/>
    <col min="20" max="20" width="8.88671875" customWidth="1"/>
    <col min="21" max="21" width="7.5546875" customWidth="1"/>
    <col min="22" max="38" width="8.88671875" customWidth="1"/>
  </cols>
  <sheetData>
    <row r="1" spans="1:38" ht="16.5" x14ac:dyDescent="0.25">
      <c r="A1" s="441"/>
      <c r="B1" s="428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1"/>
      <c r="R1" s="72" t="s">
        <v>155</v>
      </c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38" ht="16.5" x14ac:dyDescent="0.25">
      <c r="A2" s="442" t="s">
        <v>156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8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</row>
    <row r="3" spans="1:38" ht="16.5" x14ac:dyDescent="0.25">
      <c r="A3" s="443" t="s">
        <v>154</v>
      </c>
      <c r="B3" s="427"/>
      <c r="C3" s="427"/>
      <c r="D3" s="427"/>
      <c r="E3" s="427"/>
      <c r="F3" s="427"/>
      <c r="G3" s="427"/>
      <c r="H3" s="427"/>
      <c r="I3" s="427"/>
      <c r="J3" s="427"/>
      <c r="K3" s="427"/>
      <c r="L3" s="427"/>
      <c r="M3" s="427"/>
      <c r="N3" s="427"/>
      <c r="O3" s="427"/>
      <c r="P3" s="427"/>
      <c r="Q3" s="427"/>
      <c r="R3" s="428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38" ht="16.5" x14ac:dyDescent="0.25">
      <c r="A4" s="73"/>
      <c r="B4" s="74"/>
      <c r="C4" s="75"/>
      <c r="D4" s="75"/>
      <c r="E4" s="75"/>
      <c r="F4" s="74"/>
      <c r="G4" s="74"/>
      <c r="H4" s="76"/>
      <c r="I4" s="74"/>
      <c r="J4" s="74"/>
      <c r="K4" s="74"/>
      <c r="L4" s="76"/>
      <c r="M4" s="444" t="s">
        <v>157</v>
      </c>
      <c r="N4" s="445"/>
      <c r="O4" s="445"/>
      <c r="P4" s="445"/>
      <c r="Q4" s="445"/>
      <c r="R4" s="446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</row>
    <row r="5" spans="1:38" ht="16.5" x14ac:dyDescent="0.25">
      <c r="A5" s="439" t="s">
        <v>158</v>
      </c>
      <c r="B5" s="439" t="s">
        <v>159</v>
      </c>
      <c r="C5" s="439" t="s">
        <v>3</v>
      </c>
      <c r="D5" s="437" t="s">
        <v>160</v>
      </c>
      <c r="E5" s="438"/>
      <c r="F5" s="437" t="s">
        <v>161</v>
      </c>
      <c r="G5" s="449"/>
      <c r="H5" s="449"/>
      <c r="I5" s="449"/>
      <c r="J5" s="449"/>
      <c r="K5" s="449"/>
      <c r="L5" s="449"/>
      <c r="M5" s="449"/>
      <c r="N5" s="449"/>
      <c r="O5" s="449"/>
      <c r="P5" s="438"/>
      <c r="Q5" s="448" t="s">
        <v>162</v>
      </c>
      <c r="R5" s="438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</row>
    <row r="6" spans="1:38" ht="16.5" x14ac:dyDescent="0.25">
      <c r="A6" s="447"/>
      <c r="B6" s="447"/>
      <c r="C6" s="447"/>
      <c r="D6" s="439" t="s">
        <v>163</v>
      </c>
      <c r="E6" s="439" t="s">
        <v>164</v>
      </c>
      <c r="F6" s="437" t="s">
        <v>85</v>
      </c>
      <c r="G6" s="438"/>
      <c r="H6" s="437" t="s">
        <v>86</v>
      </c>
      <c r="I6" s="438"/>
      <c r="J6" s="439" t="s">
        <v>165</v>
      </c>
      <c r="K6" s="437" t="s">
        <v>166</v>
      </c>
      <c r="L6" s="438"/>
      <c r="M6" s="437" t="s">
        <v>167</v>
      </c>
      <c r="N6" s="438"/>
      <c r="O6" s="437" t="s">
        <v>168</v>
      </c>
      <c r="P6" s="438"/>
      <c r="Q6" s="439" t="s">
        <v>169</v>
      </c>
      <c r="R6" s="439" t="s">
        <v>170</v>
      </c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</row>
    <row r="7" spans="1:38" ht="16.5" x14ac:dyDescent="0.25">
      <c r="A7" s="440"/>
      <c r="B7" s="440"/>
      <c r="C7" s="440"/>
      <c r="D7" s="440"/>
      <c r="E7" s="440"/>
      <c r="F7" s="13" t="s">
        <v>3</v>
      </c>
      <c r="G7" s="13" t="s">
        <v>171</v>
      </c>
      <c r="H7" s="13" t="s">
        <v>3</v>
      </c>
      <c r="I7" s="13" t="s">
        <v>171</v>
      </c>
      <c r="J7" s="440"/>
      <c r="K7" s="13" t="s">
        <v>3</v>
      </c>
      <c r="L7" s="13" t="s">
        <v>171</v>
      </c>
      <c r="M7" s="13" t="s">
        <v>3</v>
      </c>
      <c r="N7" s="13" t="s">
        <v>171</v>
      </c>
      <c r="O7" s="13" t="s">
        <v>172</v>
      </c>
      <c r="P7" s="13" t="s">
        <v>167</v>
      </c>
      <c r="Q7" s="440"/>
      <c r="R7" s="440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</row>
    <row r="8" spans="1:38" ht="16.5" x14ac:dyDescent="0.25">
      <c r="A8" s="78"/>
      <c r="B8" s="79" t="s">
        <v>173</v>
      </c>
      <c r="C8" s="80">
        <f t="shared" ref="C8:R8" si="0">C9+C11</f>
        <v>2792</v>
      </c>
      <c r="D8" s="80">
        <f t="shared" si="0"/>
        <v>2792</v>
      </c>
      <c r="E8" s="80">
        <f t="shared" si="0"/>
        <v>0</v>
      </c>
      <c r="F8" s="80">
        <f t="shared" si="0"/>
        <v>28</v>
      </c>
      <c r="G8" s="80">
        <f t="shared" si="0"/>
        <v>28</v>
      </c>
      <c r="H8" s="80">
        <f t="shared" si="0"/>
        <v>619</v>
      </c>
      <c r="I8" s="80">
        <f t="shared" si="0"/>
        <v>619</v>
      </c>
      <c r="J8" s="80">
        <f t="shared" si="0"/>
        <v>873</v>
      </c>
      <c r="K8" s="80">
        <f t="shared" si="0"/>
        <v>737</v>
      </c>
      <c r="L8" s="80">
        <f t="shared" si="0"/>
        <v>737</v>
      </c>
      <c r="M8" s="80">
        <f t="shared" si="0"/>
        <v>475</v>
      </c>
      <c r="N8" s="80">
        <f t="shared" si="0"/>
        <v>475</v>
      </c>
      <c r="O8" s="80">
        <f t="shared" si="0"/>
        <v>60</v>
      </c>
      <c r="P8" s="80">
        <f t="shared" si="0"/>
        <v>60</v>
      </c>
      <c r="Q8" s="80">
        <f t="shared" si="0"/>
        <v>0</v>
      </c>
      <c r="R8" s="80">
        <f t="shared" si="0"/>
        <v>60</v>
      </c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</row>
    <row r="9" spans="1:38" ht="16.5" x14ac:dyDescent="0.25">
      <c r="A9" s="68" t="s">
        <v>4</v>
      </c>
      <c r="B9" s="82" t="s">
        <v>174</v>
      </c>
      <c r="C9" s="83">
        <f t="shared" ref="C9:R9" si="1">C10</f>
        <v>475</v>
      </c>
      <c r="D9" s="83">
        <f t="shared" si="1"/>
        <v>475</v>
      </c>
      <c r="E9" s="83">
        <f t="shared" si="1"/>
        <v>0</v>
      </c>
      <c r="F9" s="83">
        <f t="shared" si="1"/>
        <v>0</v>
      </c>
      <c r="G9" s="83">
        <f t="shared" si="1"/>
        <v>0</v>
      </c>
      <c r="H9" s="83">
        <f t="shared" si="1"/>
        <v>0</v>
      </c>
      <c r="I9" s="83">
        <f t="shared" si="1"/>
        <v>0</v>
      </c>
      <c r="J9" s="83">
        <f t="shared" si="1"/>
        <v>0</v>
      </c>
      <c r="K9" s="83">
        <f t="shared" si="1"/>
        <v>0</v>
      </c>
      <c r="L9" s="83">
        <f t="shared" si="1"/>
        <v>0</v>
      </c>
      <c r="M9" s="83">
        <f t="shared" si="1"/>
        <v>475</v>
      </c>
      <c r="N9" s="83">
        <f t="shared" si="1"/>
        <v>475</v>
      </c>
      <c r="O9" s="83">
        <f t="shared" si="1"/>
        <v>0</v>
      </c>
      <c r="P9" s="83">
        <f t="shared" si="1"/>
        <v>0</v>
      </c>
      <c r="Q9" s="83">
        <f t="shared" si="1"/>
        <v>0</v>
      </c>
      <c r="R9" s="83">
        <f t="shared" si="1"/>
        <v>0</v>
      </c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</row>
    <row r="10" spans="1:38" ht="16.5" x14ac:dyDescent="0.25">
      <c r="A10" s="69">
        <v>1</v>
      </c>
      <c r="B10" s="84" t="s">
        <v>175</v>
      </c>
      <c r="C10" s="85">
        <f t="shared" ref="C10:D10" si="2">K10+M10</f>
        <v>475</v>
      </c>
      <c r="D10" s="85">
        <f t="shared" si="2"/>
        <v>475</v>
      </c>
      <c r="E10" s="85">
        <v>0</v>
      </c>
      <c r="F10" s="85">
        <f>G10</f>
        <v>0</v>
      </c>
      <c r="G10" s="85"/>
      <c r="H10" s="85">
        <f>I10</f>
        <v>0</v>
      </c>
      <c r="I10" s="85"/>
      <c r="J10" s="85">
        <v>0</v>
      </c>
      <c r="K10" s="85">
        <f>L10</f>
        <v>0</v>
      </c>
      <c r="L10" s="85"/>
      <c r="M10" s="83">
        <f>N10</f>
        <v>475</v>
      </c>
      <c r="N10" s="85">
        <v>475</v>
      </c>
      <c r="O10" s="85">
        <f>P10</f>
        <v>0</v>
      </c>
      <c r="P10" s="85"/>
      <c r="Q10" s="85">
        <f>R10</f>
        <v>0</v>
      </c>
      <c r="R10" s="85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</row>
    <row r="11" spans="1:38" ht="16.5" x14ac:dyDescent="0.25">
      <c r="A11" s="68" t="s">
        <v>176</v>
      </c>
      <c r="B11" s="82" t="s">
        <v>177</v>
      </c>
      <c r="C11" s="83">
        <f t="shared" ref="C11:R11" si="3">C12+C13</f>
        <v>2317</v>
      </c>
      <c r="D11" s="83">
        <f t="shared" si="3"/>
        <v>2317</v>
      </c>
      <c r="E11" s="83">
        <f t="shared" si="3"/>
        <v>0</v>
      </c>
      <c r="F11" s="83">
        <f t="shared" si="3"/>
        <v>28</v>
      </c>
      <c r="G11" s="83">
        <f t="shared" si="3"/>
        <v>28</v>
      </c>
      <c r="H11" s="83">
        <f t="shared" si="3"/>
        <v>619</v>
      </c>
      <c r="I11" s="83">
        <f t="shared" si="3"/>
        <v>619</v>
      </c>
      <c r="J11" s="83">
        <f t="shared" si="3"/>
        <v>873</v>
      </c>
      <c r="K11" s="83">
        <f t="shared" si="3"/>
        <v>737</v>
      </c>
      <c r="L11" s="83">
        <f t="shared" si="3"/>
        <v>737</v>
      </c>
      <c r="M11" s="83">
        <f t="shared" si="3"/>
        <v>0</v>
      </c>
      <c r="N11" s="83">
        <f t="shared" si="3"/>
        <v>0</v>
      </c>
      <c r="O11" s="83">
        <f t="shared" si="3"/>
        <v>60</v>
      </c>
      <c r="P11" s="83">
        <f t="shared" si="3"/>
        <v>60</v>
      </c>
      <c r="Q11" s="83">
        <f t="shared" si="3"/>
        <v>0</v>
      </c>
      <c r="R11" s="83">
        <f t="shared" si="3"/>
        <v>60</v>
      </c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</row>
    <row r="12" spans="1:38" ht="16.5" x14ac:dyDescent="0.25">
      <c r="A12" s="69">
        <v>1</v>
      </c>
      <c r="B12" s="86" t="s">
        <v>178</v>
      </c>
      <c r="C12" s="85">
        <f t="shared" ref="C12:C18" si="4">F12+H12+J12+K12+P12</f>
        <v>60</v>
      </c>
      <c r="D12" s="85">
        <f t="shared" ref="D12:D18" si="5">G12+I12+J12+L12+P12</f>
        <v>60</v>
      </c>
      <c r="E12" s="85">
        <v>0</v>
      </c>
      <c r="F12" s="85">
        <f>G12</f>
        <v>0</v>
      </c>
      <c r="G12" s="85"/>
      <c r="H12" s="85">
        <f>I12</f>
        <v>0</v>
      </c>
      <c r="I12" s="85"/>
      <c r="J12" s="85">
        <v>0</v>
      </c>
      <c r="K12" s="85">
        <f>L12</f>
        <v>0</v>
      </c>
      <c r="L12" s="85"/>
      <c r="M12" s="85">
        <f>N12</f>
        <v>0</v>
      </c>
      <c r="N12" s="85"/>
      <c r="O12" s="85">
        <f>P12</f>
        <v>60</v>
      </c>
      <c r="P12" s="85">
        <v>60</v>
      </c>
      <c r="Q12" s="85"/>
      <c r="R12" s="85">
        <f>P12</f>
        <v>60</v>
      </c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</row>
    <row r="13" spans="1:38" ht="16.5" x14ac:dyDescent="0.25">
      <c r="A13" s="69">
        <v>2</v>
      </c>
      <c r="B13" s="67" t="s">
        <v>179</v>
      </c>
      <c r="C13" s="85">
        <f t="shared" si="4"/>
        <v>2257</v>
      </c>
      <c r="D13" s="85">
        <f t="shared" si="5"/>
        <v>2257</v>
      </c>
      <c r="E13" s="85">
        <f t="shared" ref="E13:R13" si="6">SUM(E14:E18)</f>
        <v>0</v>
      </c>
      <c r="F13" s="85">
        <f t="shared" si="6"/>
        <v>28</v>
      </c>
      <c r="G13" s="85">
        <f t="shared" si="6"/>
        <v>28</v>
      </c>
      <c r="H13" s="85">
        <f t="shared" si="6"/>
        <v>619</v>
      </c>
      <c r="I13" s="85">
        <f t="shared" si="6"/>
        <v>619</v>
      </c>
      <c r="J13" s="85">
        <f t="shared" si="6"/>
        <v>873</v>
      </c>
      <c r="K13" s="85">
        <f t="shared" si="6"/>
        <v>737</v>
      </c>
      <c r="L13" s="85">
        <f t="shared" si="6"/>
        <v>737</v>
      </c>
      <c r="M13" s="85">
        <f t="shared" si="6"/>
        <v>0</v>
      </c>
      <c r="N13" s="85">
        <f t="shared" si="6"/>
        <v>0</v>
      </c>
      <c r="O13" s="85">
        <f t="shared" si="6"/>
        <v>0</v>
      </c>
      <c r="P13" s="85">
        <f t="shared" si="6"/>
        <v>0</v>
      </c>
      <c r="Q13" s="85">
        <f t="shared" si="6"/>
        <v>0</v>
      </c>
      <c r="R13" s="85">
        <f t="shared" si="6"/>
        <v>0</v>
      </c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24"/>
      <c r="AI13" s="24"/>
      <c r="AJ13" s="24"/>
      <c r="AK13" s="24"/>
      <c r="AL13" s="24"/>
    </row>
    <row r="14" spans="1:38" ht="16.5" x14ac:dyDescent="0.25">
      <c r="A14" s="87" t="s">
        <v>18</v>
      </c>
      <c r="B14" s="88" t="s">
        <v>180</v>
      </c>
      <c r="C14" s="85">
        <f t="shared" si="4"/>
        <v>542</v>
      </c>
      <c r="D14" s="85">
        <f t="shared" si="5"/>
        <v>542</v>
      </c>
      <c r="E14" s="89"/>
      <c r="F14" s="85">
        <v>28</v>
      </c>
      <c r="G14" s="89">
        <v>28</v>
      </c>
      <c r="H14" s="85">
        <v>514</v>
      </c>
      <c r="I14" s="89">
        <v>514</v>
      </c>
      <c r="J14" s="89"/>
      <c r="K14" s="85">
        <f t="shared" ref="K14:K18" si="7">L14</f>
        <v>0</v>
      </c>
      <c r="L14" s="89"/>
      <c r="M14" s="85"/>
      <c r="N14" s="89"/>
      <c r="O14" s="89"/>
      <c r="P14" s="89"/>
      <c r="Q14" s="89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41"/>
      <c r="AI14" s="41"/>
      <c r="AJ14" s="41"/>
      <c r="AK14" s="41"/>
      <c r="AL14" s="41"/>
    </row>
    <row r="15" spans="1:38" ht="16.5" x14ac:dyDescent="0.25">
      <c r="A15" s="87" t="s">
        <v>18</v>
      </c>
      <c r="B15" s="91" t="s">
        <v>181</v>
      </c>
      <c r="C15" s="85">
        <f t="shared" si="4"/>
        <v>719</v>
      </c>
      <c r="D15" s="85">
        <f t="shared" si="5"/>
        <v>719</v>
      </c>
      <c r="E15" s="89"/>
      <c r="F15" s="85">
        <f t="shared" ref="F15:F18" si="8">G15</f>
        <v>0</v>
      </c>
      <c r="G15" s="89"/>
      <c r="H15" s="85">
        <f t="shared" ref="H15:H17" si="9">I15</f>
        <v>0</v>
      </c>
      <c r="I15" s="89"/>
      <c r="J15" s="89">
        <v>719</v>
      </c>
      <c r="K15" s="85">
        <f t="shared" si="7"/>
        <v>0</v>
      </c>
      <c r="L15" s="89"/>
      <c r="M15" s="85"/>
      <c r="N15" s="89"/>
      <c r="O15" s="89"/>
      <c r="P15" s="89"/>
      <c r="Q15" s="89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41"/>
      <c r="AI15" s="41"/>
      <c r="AJ15" s="41"/>
      <c r="AK15" s="41"/>
      <c r="AL15" s="41"/>
    </row>
    <row r="16" spans="1:38" ht="16.5" x14ac:dyDescent="0.25">
      <c r="A16" s="87" t="s">
        <v>18</v>
      </c>
      <c r="B16" s="91" t="s">
        <v>182</v>
      </c>
      <c r="C16" s="85">
        <f t="shared" si="4"/>
        <v>607</v>
      </c>
      <c r="D16" s="85">
        <f t="shared" si="5"/>
        <v>607</v>
      </c>
      <c r="E16" s="89"/>
      <c r="F16" s="85">
        <f t="shared" si="8"/>
        <v>0</v>
      </c>
      <c r="G16" s="89"/>
      <c r="H16" s="85">
        <f t="shared" si="9"/>
        <v>0</v>
      </c>
      <c r="I16" s="89"/>
      <c r="J16" s="89"/>
      <c r="K16" s="85">
        <f t="shared" si="7"/>
        <v>607</v>
      </c>
      <c r="L16" s="89">
        <v>607</v>
      </c>
      <c r="M16" s="85"/>
      <c r="N16" s="89"/>
      <c r="O16" s="89"/>
      <c r="P16" s="89"/>
      <c r="Q16" s="89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41"/>
      <c r="AI16" s="41"/>
      <c r="AJ16" s="41"/>
      <c r="AK16" s="41"/>
      <c r="AL16" s="41"/>
    </row>
    <row r="17" spans="1:38" ht="16.5" x14ac:dyDescent="0.25">
      <c r="A17" s="87" t="s">
        <v>18</v>
      </c>
      <c r="B17" s="92" t="s">
        <v>183</v>
      </c>
      <c r="C17" s="85">
        <f t="shared" si="4"/>
        <v>105</v>
      </c>
      <c r="D17" s="85">
        <f t="shared" si="5"/>
        <v>105</v>
      </c>
      <c r="E17" s="89"/>
      <c r="F17" s="85">
        <f t="shared" si="8"/>
        <v>0</v>
      </c>
      <c r="G17" s="89"/>
      <c r="H17" s="85">
        <f t="shared" si="9"/>
        <v>105</v>
      </c>
      <c r="I17" s="89">
        <v>105</v>
      </c>
      <c r="J17" s="89"/>
      <c r="K17" s="85">
        <f t="shared" si="7"/>
        <v>0</v>
      </c>
      <c r="L17" s="89"/>
      <c r="M17" s="85"/>
      <c r="N17" s="89"/>
      <c r="O17" s="89"/>
      <c r="P17" s="89"/>
      <c r="Q17" s="89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41"/>
      <c r="AI17" s="41"/>
      <c r="AJ17" s="41"/>
      <c r="AK17" s="41"/>
      <c r="AL17" s="41"/>
    </row>
    <row r="18" spans="1:38" ht="16.5" x14ac:dyDescent="0.25">
      <c r="A18" s="93" t="s">
        <v>18</v>
      </c>
      <c r="B18" s="92" t="s">
        <v>184</v>
      </c>
      <c r="C18" s="85">
        <f t="shared" si="4"/>
        <v>284</v>
      </c>
      <c r="D18" s="85">
        <f t="shared" si="5"/>
        <v>284</v>
      </c>
      <c r="E18" s="94"/>
      <c r="F18" s="85">
        <f t="shared" si="8"/>
        <v>0</v>
      </c>
      <c r="G18" s="94"/>
      <c r="H18" s="85"/>
      <c r="I18" s="94"/>
      <c r="J18" s="94">
        <v>154</v>
      </c>
      <c r="K18" s="85">
        <f t="shared" si="7"/>
        <v>130</v>
      </c>
      <c r="L18" s="92">
        <v>130</v>
      </c>
      <c r="M18" s="85"/>
      <c r="N18" s="92"/>
      <c r="O18" s="92"/>
      <c r="P18" s="92"/>
      <c r="Q18" s="92"/>
      <c r="R18" s="92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41"/>
      <c r="AI18" s="41"/>
      <c r="AJ18" s="41"/>
      <c r="AK18" s="41"/>
      <c r="AL18" s="41"/>
    </row>
    <row r="19" spans="1:38" ht="16.5" x14ac:dyDescent="0.25">
      <c r="A19" s="96"/>
      <c r="B19" s="97"/>
      <c r="C19" s="97"/>
      <c r="D19" s="98"/>
      <c r="E19" s="98"/>
      <c r="F19" s="98"/>
      <c r="G19" s="98"/>
      <c r="H19" s="98"/>
      <c r="I19" s="98"/>
      <c r="J19" s="98"/>
      <c r="K19" s="98"/>
      <c r="L19" s="97"/>
      <c r="M19" s="98"/>
      <c r="N19" s="98"/>
      <c r="O19" s="98"/>
      <c r="P19" s="98"/>
      <c r="Q19" s="97"/>
      <c r="R19" s="97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</row>
    <row r="20" spans="1:38" ht="16.5" x14ac:dyDescent="0.25">
      <c r="A20" s="70"/>
      <c r="B20" s="70"/>
      <c r="C20" s="70"/>
      <c r="D20" s="99"/>
      <c r="E20" s="99"/>
      <c r="F20" s="99"/>
      <c r="G20" s="99"/>
      <c r="H20" s="99"/>
      <c r="I20" s="99"/>
      <c r="J20" s="99"/>
      <c r="K20" s="100"/>
      <c r="L20" s="70"/>
      <c r="M20" s="99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</row>
    <row r="21" spans="1:38" ht="16.5" x14ac:dyDescent="0.25">
      <c r="A21" s="101"/>
      <c r="B21" s="70"/>
      <c r="C21" s="102"/>
      <c r="D21" s="102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</row>
    <row r="22" spans="1:38" ht="16.5" x14ac:dyDescent="0.25">
      <c r="A22" s="101"/>
      <c r="B22" s="70"/>
      <c r="C22" s="102"/>
      <c r="D22" s="102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</row>
    <row r="23" spans="1:38" ht="16.5" x14ac:dyDescent="0.25">
      <c r="A23" s="101"/>
      <c r="B23" s="70"/>
      <c r="C23" s="102"/>
      <c r="D23" s="102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</row>
    <row r="24" spans="1:38" ht="16.5" x14ac:dyDescent="0.25">
      <c r="A24" s="101"/>
      <c r="B24" s="70"/>
      <c r="C24" s="102"/>
      <c r="D24" s="102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</row>
    <row r="25" spans="1:38" ht="18.75" x14ac:dyDescent="0.25">
      <c r="A25" s="101"/>
      <c r="B25" s="103"/>
      <c r="C25" s="70"/>
      <c r="D25" s="102"/>
      <c r="E25" s="104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</row>
    <row r="26" spans="1:38" ht="93.75" customHeight="1" x14ac:dyDescent="0.3">
      <c r="A26" s="101"/>
      <c r="B26" s="103"/>
      <c r="C26" s="102"/>
      <c r="D26" s="102"/>
      <c r="E26" s="105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</row>
    <row r="27" spans="1:38" ht="18.75" x14ac:dyDescent="0.3">
      <c r="A27" s="101"/>
      <c r="B27" s="103"/>
      <c r="C27" s="70"/>
      <c r="D27" s="70"/>
      <c r="E27" s="106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</row>
    <row r="28" spans="1:38" ht="18.75" x14ac:dyDescent="0.25">
      <c r="A28" s="101"/>
      <c r="B28" s="103"/>
      <c r="C28" s="70"/>
      <c r="D28" s="70"/>
      <c r="E28" s="107"/>
      <c r="F28" s="108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</row>
    <row r="29" spans="1:38" ht="18.75" x14ac:dyDescent="0.25">
      <c r="A29" s="101"/>
      <c r="B29" s="10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</row>
    <row r="30" spans="1:38" ht="112.5" customHeight="1" x14ac:dyDescent="0.3">
      <c r="A30" s="101"/>
      <c r="B30" s="103"/>
      <c r="C30" s="70"/>
      <c r="D30" s="70"/>
      <c r="E30" s="106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</row>
    <row r="31" spans="1:38" ht="18.75" x14ac:dyDescent="0.3">
      <c r="A31" s="101"/>
      <c r="B31" s="103"/>
      <c r="C31" s="70"/>
      <c r="D31" s="70"/>
      <c r="E31" s="106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</row>
    <row r="32" spans="1:38" ht="18.75" x14ac:dyDescent="0.25">
      <c r="A32" s="101"/>
      <c r="B32" s="103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</row>
    <row r="33" spans="1:38" ht="16.5" x14ac:dyDescent="0.25">
      <c r="A33" s="10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</row>
    <row r="34" spans="1:38" ht="16.5" x14ac:dyDescent="0.25">
      <c r="A34" s="101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</row>
    <row r="35" spans="1:38" ht="16.5" x14ac:dyDescent="0.25">
      <c r="A35" s="101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</row>
    <row r="36" spans="1:38" ht="16.5" x14ac:dyDescent="0.25">
      <c r="A36" s="101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</row>
    <row r="37" spans="1:38" ht="16.5" x14ac:dyDescent="0.25">
      <c r="A37" s="101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</row>
    <row r="38" spans="1:38" ht="16.5" x14ac:dyDescent="0.25">
      <c r="A38" s="101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</row>
    <row r="39" spans="1:38" ht="16.5" x14ac:dyDescent="0.25">
      <c r="A39" s="101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</row>
    <row r="40" spans="1:38" ht="18.75" x14ac:dyDescent="0.3">
      <c r="A40" s="101"/>
      <c r="B40" s="106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</row>
    <row r="41" spans="1:38" ht="16.5" x14ac:dyDescent="0.25">
      <c r="A41" s="101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</row>
    <row r="42" spans="1:38" ht="18.75" x14ac:dyDescent="0.3">
      <c r="A42" s="101"/>
      <c r="B42" s="106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</row>
    <row r="43" spans="1:38" ht="18.75" x14ac:dyDescent="0.3">
      <c r="A43" s="101"/>
      <c r="B43" s="106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</row>
    <row r="44" spans="1:38" ht="16.5" x14ac:dyDescent="0.25">
      <c r="A44" s="101"/>
      <c r="B44" s="107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</row>
    <row r="45" spans="1:38" ht="16.5" x14ac:dyDescent="0.25">
      <c r="A45" s="101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</row>
    <row r="46" spans="1:38" ht="16.5" x14ac:dyDescent="0.25">
      <c r="A46" s="101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</row>
    <row r="47" spans="1:38" ht="16.5" x14ac:dyDescent="0.25">
      <c r="A47" s="101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</row>
    <row r="48" spans="1:38" ht="16.5" x14ac:dyDescent="0.25">
      <c r="A48" s="101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</row>
    <row r="49" spans="1:38" ht="16.5" x14ac:dyDescent="0.25">
      <c r="A49" s="101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</row>
    <row r="50" spans="1:38" ht="16.5" x14ac:dyDescent="0.25">
      <c r="A50" s="101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</row>
    <row r="51" spans="1:38" ht="18.75" x14ac:dyDescent="0.3">
      <c r="A51" s="101"/>
      <c r="B51" s="11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</row>
    <row r="52" spans="1:38" ht="16.5" x14ac:dyDescent="0.25">
      <c r="A52" s="101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</row>
    <row r="53" spans="1:38" ht="18.75" x14ac:dyDescent="0.3">
      <c r="A53" s="101"/>
      <c r="B53" s="106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</row>
    <row r="54" spans="1:38" ht="16.5" x14ac:dyDescent="0.25">
      <c r="A54" s="101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</row>
    <row r="55" spans="1:38" ht="16.5" x14ac:dyDescent="0.25">
      <c r="A55" s="101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</row>
    <row r="56" spans="1:38" ht="16.5" x14ac:dyDescent="0.25">
      <c r="A56" s="101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</row>
    <row r="57" spans="1:38" ht="16.5" x14ac:dyDescent="0.25">
      <c r="A57" s="101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</row>
    <row r="58" spans="1:38" ht="16.5" x14ac:dyDescent="0.25">
      <c r="A58" s="101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</row>
    <row r="59" spans="1:38" ht="16.5" x14ac:dyDescent="0.25">
      <c r="A59" s="101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</row>
    <row r="60" spans="1:38" ht="16.5" x14ac:dyDescent="0.25">
      <c r="A60" s="101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</row>
    <row r="61" spans="1:38" ht="16.5" x14ac:dyDescent="0.25">
      <c r="A61" s="101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</row>
    <row r="62" spans="1:38" ht="16.5" x14ac:dyDescent="0.25">
      <c r="A62" s="101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</row>
    <row r="63" spans="1:38" ht="16.5" x14ac:dyDescent="0.25">
      <c r="A63" s="101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</row>
    <row r="64" spans="1:38" ht="16.5" x14ac:dyDescent="0.25">
      <c r="A64" s="101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</row>
    <row r="65" spans="1:38" ht="16.5" x14ac:dyDescent="0.25">
      <c r="A65" s="101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</row>
    <row r="66" spans="1:38" ht="16.5" x14ac:dyDescent="0.25">
      <c r="A66" s="101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</row>
    <row r="67" spans="1:38" ht="16.5" x14ac:dyDescent="0.25">
      <c r="A67" s="101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</row>
    <row r="68" spans="1:38" ht="16.5" x14ac:dyDescent="0.25">
      <c r="A68" s="101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</row>
    <row r="69" spans="1:38" ht="16.5" x14ac:dyDescent="0.25">
      <c r="A69" s="101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</row>
    <row r="70" spans="1:38" ht="16.5" x14ac:dyDescent="0.25">
      <c r="A70" s="101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</row>
    <row r="71" spans="1:38" ht="16.5" x14ac:dyDescent="0.25">
      <c r="A71" s="101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</row>
    <row r="72" spans="1:38" ht="16.5" x14ac:dyDescent="0.25">
      <c r="A72" s="101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</row>
    <row r="73" spans="1:38" ht="16.5" x14ac:dyDescent="0.25">
      <c r="A73" s="101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</row>
    <row r="74" spans="1:38" ht="16.5" x14ac:dyDescent="0.25">
      <c r="A74" s="101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</row>
    <row r="75" spans="1:38" ht="16.5" x14ac:dyDescent="0.25">
      <c r="A75" s="101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</row>
    <row r="76" spans="1:38" ht="16.5" x14ac:dyDescent="0.25">
      <c r="A76" s="101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</row>
    <row r="77" spans="1:38" ht="16.5" x14ac:dyDescent="0.25">
      <c r="A77" s="101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</row>
    <row r="78" spans="1:38" ht="16.5" x14ac:dyDescent="0.25">
      <c r="A78" s="101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</row>
    <row r="79" spans="1:38" ht="16.5" x14ac:dyDescent="0.25">
      <c r="A79" s="101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</row>
    <row r="80" spans="1:38" ht="16.5" x14ac:dyDescent="0.25">
      <c r="A80" s="101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</row>
    <row r="81" spans="1:38" ht="16.5" x14ac:dyDescent="0.25">
      <c r="A81" s="101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</row>
    <row r="82" spans="1:38" ht="16.5" x14ac:dyDescent="0.25">
      <c r="A82" s="101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</row>
    <row r="83" spans="1:38" ht="16.5" x14ac:dyDescent="0.25">
      <c r="A83" s="101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</row>
    <row r="84" spans="1:38" ht="16.5" x14ac:dyDescent="0.25">
      <c r="A84" s="101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</row>
    <row r="85" spans="1:38" ht="16.5" x14ac:dyDescent="0.25">
      <c r="A85" s="101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</row>
    <row r="86" spans="1:38" ht="16.5" x14ac:dyDescent="0.25">
      <c r="A86" s="101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</row>
    <row r="87" spans="1:38" ht="16.5" x14ac:dyDescent="0.25">
      <c r="A87" s="101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</row>
    <row r="88" spans="1:38" ht="16.5" x14ac:dyDescent="0.25">
      <c r="A88" s="101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</row>
    <row r="89" spans="1:38" ht="16.5" x14ac:dyDescent="0.25">
      <c r="A89" s="101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</row>
    <row r="90" spans="1:38" ht="16.5" x14ac:dyDescent="0.25">
      <c r="A90" s="101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</row>
    <row r="91" spans="1:38" ht="16.5" x14ac:dyDescent="0.25">
      <c r="A91" s="101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</row>
    <row r="92" spans="1:38" ht="16.5" x14ac:dyDescent="0.25">
      <c r="A92" s="101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</row>
    <row r="93" spans="1:38" ht="16.5" x14ac:dyDescent="0.25">
      <c r="A93" s="101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</row>
    <row r="94" spans="1:38" ht="16.5" x14ac:dyDescent="0.25">
      <c r="A94" s="101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</row>
    <row r="95" spans="1:38" ht="16.5" x14ac:dyDescent="0.25">
      <c r="A95" s="101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</row>
    <row r="96" spans="1:38" ht="16.5" x14ac:dyDescent="0.25">
      <c r="A96" s="101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</row>
    <row r="97" spans="1:38" ht="16.5" x14ac:dyDescent="0.25">
      <c r="A97" s="101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</row>
    <row r="98" spans="1:38" ht="16.5" x14ac:dyDescent="0.25">
      <c r="A98" s="101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</row>
    <row r="99" spans="1:38" ht="16.5" x14ac:dyDescent="0.25">
      <c r="A99" s="101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</row>
    <row r="100" spans="1:38" ht="18.75" x14ac:dyDescent="0.3">
      <c r="A100" s="101"/>
      <c r="B100" s="111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</row>
    <row r="101" spans="1:38" ht="18.75" x14ac:dyDescent="0.3">
      <c r="A101" s="101"/>
      <c r="B101" s="11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</row>
    <row r="102" spans="1:38" ht="16.5" x14ac:dyDescent="0.25">
      <c r="A102" s="101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</row>
    <row r="103" spans="1:38" ht="16.5" x14ac:dyDescent="0.25">
      <c r="A103" s="101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</row>
    <row r="104" spans="1:38" ht="18.75" x14ac:dyDescent="0.3">
      <c r="A104" s="101"/>
      <c r="B104" s="106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</row>
    <row r="105" spans="1:38" ht="16.5" x14ac:dyDescent="0.25">
      <c r="A105" s="101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</row>
    <row r="106" spans="1:38" ht="18.75" x14ac:dyDescent="0.3">
      <c r="A106" s="101"/>
      <c r="B106" s="106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</row>
    <row r="107" spans="1:38" ht="16.5" x14ac:dyDescent="0.25">
      <c r="A107" s="101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</row>
    <row r="108" spans="1:38" ht="16.5" x14ac:dyDescent="0.25">
      <c r="A108" s="101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</row>
    <row r="109" spans="1:38" ht="16.5" x14ac:dyDescent="0.25">
      <c r="A109" s="101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</row>
    <row r="110" spans="1:38" ht="16.5" x14ac:dyDescent="0.25">
      <c r="A110" s="101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</row>
    <row r="111" spans="1:38" ht="16.5" x14ac:dyDescent="0.25">
      <c r="A111" s="101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</row>
    <row r="112" spans="1:38" ht="16.5" x14ac:dyDescent="0.25">
      <c r="A112" s="101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</row>
    <row r="113" spans="1:38" ht="16.5" x14ac:dyDescent="0.25">
      <c r="A113" s="101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</row>
    <row r="114" spans="1:38" ht="16.5" x14ac:dyDescent="0.25">
      <c r="A114" s="101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</row>
    <row r="115" spans="1:38" ht="18.75" x14ac:dyDescent="0.3">
      <c r="A115" s="101"/>
      <c r="B115" s="105"/>
      <c r="C115" s="70"/>
      <c r="D115" s="70"/>
      <c r="E115" s="105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</row>
    <row r="116" spans="1:38" ht="18.75" x14ac:dyDescent="0.3">
      <c r="A116" s="101"/>
      <c r="B116" s="111"/>
      <c r="C116" s="70"/>
      <c r="D116" s="70"/>
      <c r="E116" s="106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</row>
    <row r="117" spans="1:38" ht="16.5" x14ac:dyDescent="0.25">
      <c r="A117" s="101"/>
      <c r="B117" s="107"/>
      <c r="C117" s="70"/>
      <c r="D117" s="70"/>
      <c r="E117" s="107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</row>
    <row r="118" spans="1:38" ht="16.5" x14ac:dyDescent="0.25">
      <c r="A118" s="101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</row>
    <row r="119" spans="1:38" ht="16.5" x14ac:dyDescent="0.25">
      <c r="A119" s="101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</row>
    <row r="120" spans="1:38" ht="16.5" x14ac:dyDescent="0.25">
      <c r="A120" s="101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</row>
    <row r="121" spans="1:38" ht="18.75" x14ac:dyDescent="0.25">
      <c r="A121" s="101"/>
      <c r="B121" s="103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</row>
    <row r="122" spans="1:38" ht="16.5" x14ac:dyDescent="0.25">
      <c r="A122" s="101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</row>
    <row r="123" spans="1:38" ht="16.5" x14ac:dyDescent="0.25">
      <c r="A123" s="101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</row>
    <row r="124" spans="1:38" ht="16.5" x14ac:dyDescent="0.25">
      <c r="A124" s="101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</row>
    <row r="125" spans="1:38" ht="16.5" x14ac:dyDescent="0.25">
      <c r="A125" s="101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</row>
    <row r="126" spans="1:38" ht="16.5" x14ac:dyDescent="0.25">
      <c r="A126" s="101"/>
      <c r="B126" s="101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</row>
    <row r="127" spans="1:38" ht="16.5" x14ac:dyDescent="0.25">
      <c r="A127" s="101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</row>
    <row r="128" spans="1:38" ht="16.5" x14ac:dyDescent="0.25">
      <c r="A128" s="101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</row>
    <row r="129" spans="1:38" ht="16.5" x14ac:dyDescent="0.25">
      <c r="A129" s="101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</row>
    <row r="130" spans="1:38" ht="16.5" x14ac:dyDescent="0.25">
      <c r="A130" s="101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</row>
    <row r="131" spans="1:38" ht="16.5" x14ac:dyDescent="0.25">
      <c r="A131" s="101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</row>
    <row r="132" spans="1:38" ht="16.5" x14ac:dyDescent="0.25">
      <c r="A132" s="101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</row>
    <row r="133" spans="1:38" ht="16.5" x14ac:dyDescent="0.25">
      <c r="A133" s="101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</row>
    <row r="134" spans="1:38" ht="16.5" x14ac:dyDescent="0.25">
      <c r="A134" s="101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</row>
    <row r="135" spans="1:38" ht="16.5" x14ac:dyDescent="0.25">
      <c r="A135" s="101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</row>
    <row r="136" spans="1:38" ht="16.5" x14ac:dyDescent="0.25">
      <c r="A136" s="101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</row>
    <row r="137" spans="1:38" ht="16.5" x14ac:dyDescent="0.25">
      <c r="A137" s="101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</row>
    <row r="138" spans="1:38" ht="16.5" x14ac:dyDescent="0.25">
      <c r="A138" s="101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</row>
    <row r="139" spans="1:38" ht="16.5" x14ac:dyDescent="0.25">
      <c r="A139" s="101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</row>
    <row r="140" spans="1:38" ht="16.5" x14ac:dyDescent="0.25">
      <c r="A140" s="101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</row>
    <row r="141" spans="1:38" ht="16.5" x14ac:dyDescent="0.25">
      <c r="A141" s="101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</row>
    <row r="142" spans="1:38" ht="16.5" x14ac:dyDescent="0.25">
      <c r="A142" s="101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</row>
    <row r="143" spans="1:38" ht="16.5" x14ac:dyDescent="0.25">
      <c r="A143" s="101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</row>
    <row r="144" spans="1:38" ht="16.5" x14ac:dyDescent="0.25">
      <c r="A144" s="101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</row>
    <row r="145" spans="1:38" ht="16.5" x14ac:dyDescent="0.25">
      <c r="A145" s="101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</row>
    <row r="146" spans="1:38" ht="16.5" x14ac:dyDescent="0.25">
      <c r="A146" s="101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</row>
    <row r="147" spans="1:38" ht="16.5" x14ac:dyDescent="0.25">
      <c r="A147" s="101"/>
      <c r="B147" s="70"/>
      <c r="C147" s="70"/>
      <c r="D147" s="99"/>
      <c r="E147" s="99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</row>
    <row r="148" spans="1:38" ht="18.75" x14ac:dyDescent="0.3">
      <c r="A148" s="101"/>
      <c r="B148" s="112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</row>
    <row r="149" spans="1:38" ht="16.5" x14ac:dyDescent="0.25">
      <c r="A149" s="101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</row>
    <row r="150" spans="1:38" ht="16.5" x14ac:dyDescent="0.25">
      <c r="A150" s="101"/>
      <c r="B150" s="113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</row>
    <row r="151" spans="1:38" ht="16.5" x14ac:dyDescent="0.25">
      <c r="A151" s="101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</row>
    <row r="152" spans="1:38" ht="16.5" x14ac:dyDescent="0.25">
      <c r="A152" s="101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</row>
    <row r="153" spans="1:38" ht="18.75" x14ac:dyDescent="0.3">
      <c r="A153" s="101"/>
      <c r="B153" s="106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</row>
    <row r="154" spans="1:38" ht="18.75" x14ac:dyDescent="0.3">
      <c r="A154" s="101"/>
      <c r="B154" s="106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</row>
    <row r="155" spans="1:38" ht="18.75" x14ac:dyDescent="0.3">
      <c r="A155" s="101"/>
      <c r="B155" s="106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</row>
    <row r="156" spans="1:38" ht="16.5" x14ac:dyDescent="0.25">
      <c r="A156" s="101"/>
      <c r="B156" s="107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</row>
    <row r="157" spans="1:38" ht="16.5" x14ac:dyDescent="0.25">
      <c r="A157" s="101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</row>
    <row r="158" spans="1:38" ht="16.5" x14ac:dyDescent="0.25">
      <c r="A158" s="101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</row>
    <row r="159" spans="1:38" ht="16.5" x14ac:dyDescent="0.25">
      <c r="A159" s="101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</row>
    <row r="160" spans="1:38" ht="18.75" x14ac:dyDescent="0.3">
      <c r="A160" s="101"/>
      <c r="B160" s="110"/>
      <c r="C160" s="70"/>
      <c r="D160" s="70"/>
      <c r="E160" s="112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</row>
    <row r="161" spans="1:38" ht="16.5" x14ac:dyDescent="0.25">
      <c r="A161" s="101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</row>
    <row r="162" spans="1:38" ht="18.75" x14ac:dyDescent="0.3">
      <c r="A162" s="101"/>
      <c r="B162" s="112"/>
      <c r="C162" s="70"/>
      <c r="D162" s="70"/>
      <c r="E162" s="106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</row>
    <row r="163" spans="1:38" ht="16.5" x14ac:dyDescent="0.25">
      <c r="A163" s="101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</row>
    <row r="164" spans="1:38" ht="16.5" x14ac:dyDescent="0.25">
      <c r="A164" s="101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</row>
    <row r="165" spans="1:38" ht="16.5" x14ac:dyDescent="0.25">
      <c r="A165" s="101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</row>
    <row r="166" spans="1:38" ht="16.5" x14ac:dyDescent="0.25">
      <c r="A166" s="101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</row>
    <row r="167" spans="1:38" ht="16.5" x14ac:dyDescent="0.25">
      <c r="A167" s="101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</row>
    <row r="168" spans="1:38" ht="16.5" x14ac:dyDescent="0.25">
      <c r="A168" s="101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</row>
    <row r="169" spans="1:38" ht="16.5" x14ac:dyDescent="0.25">
      <c r="A169" s="101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</row>
    <row r="170" spans="1:38" ht="16.5" x14ac:dyDescent="0.25">
      <c r="A170" s="101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</row>
    <row r="171" spans="1:38" ht="16.5" x14ac:dyDescent="0.25">
      <c r="A171" s="101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</row>
    <row r="172" spans="1:38" ht="16.5" x14ac:dyDescent="0.25">
      <c r="A172" s="101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</row>
    <row r="173" spans="1:38" ht="16.5" x14ac:dyDescent="0.25">
      <c r="A173" s="101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</row>
    <row r="174" spans="1:38" ht="16.5" x14ac:dyDescent="0.25">
      <c r="A174" s="101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</row>
    <row r="175" spans="1:38" ht="16.5" x14ac:dyDescent="0.25">
      <c r="A175" s="101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</row>
    <row r="176" spans="1:38" ht="16.5" x14ac:dyDescent="0.25">
      <c r="A176" s="101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</row>
    <row r="177" spans="1:38" ht="16.5" x14ac:dyDescent="0.25">
      <c r="A177" s="101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</row>
    <row r="178" spans="1:38" ht="16.5" x14ac:dyDescent="0.25">
      <c r="A178" s="101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</row>
    <row r="179" spans="1:38" ht="16.5" x14ac:dyDescent="0.25">
      <c r="A179" s="101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</row>
    <row r="180" spans="1:38" ht="16.5" x14ac:dyDescent="0.25">
      <c r="A180" s="101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</row>
    <row r="181" spans="1:38" ht="16.5" x14ac:dyDescent="0.25">
      <c r="A181" s="101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/>
      <c r="AL181" s="70"/>
    </row>
    <row r="182" spans="1:38" ht="16.5" x14ac:dyDescent="0.25">
      <c r="A182" s="101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</row>
    <row r="183" spans="1:38" ht="16.5" x14ac:dyDescent="0.25">
      <c r="A183" s="101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</row>
    <row r="184" spans="1:38" ht="16.5" x14ac:dyDescent="0.25">
      <c r="A184" s="101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</row>
    <row r="185" spans="1:38" ht="16.5" x14ac:dyDescent="0.25">
      <c r="A185" s="101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</row>
    <row r="186" spans="1:38" ht="16.5" x14ac:dyDescent="0.25">
      <c r="A186" s="101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</row>
    <row r="187" spans="1:38" ht="16.5" x14ac:dyDescent="0.25">
      <c r="A187" s="101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</row>
    <row r="188" spans="1:38" ht="16.5" x14ac:dyDescent="0.25">
      <c r="A188" s="101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</row>
    <row r="189" spans="1:38" ht="16.5" x14ac:dyDescent="0.25">
      <c r="A189" s="101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</row>
    <row r="190" spans="1:38" ht="16.5" x14ac:dyDescent="0.25">
      <c r="A190" s="101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</row>
    <row r="191" spans="1:38" ht="16.5" x14ac:dyDescent="0.25">
      <c r="A191" s="101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</row>
    <row r="192" spans="1:38" ht="16.5" x14ac:dyDescent="0.25">
      <c r="A192" s="101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</row>
    <row r="193" spans="1:38" ht="16.5" x14ac:dyDescent="0.25">
      <c r="A193" s="101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</row>
    <row r="194" spans="1:38" ht="16.5" x14ac:dyDescent="0.25">
      <c r="A194" s="101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</row>
    <row r="195" spans="1:38" ht="16.5" x14ac:dyDescent="0.25">
      <c r="A195" s="101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</row>
    <row r="196" spans="1:38" ht="16.5" x14ac:dyDescent="0.25">
      <c r="A196" s="101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</row>
    <row r="197" spans="1:38" ht="16.5" x14ac:dyDescent="0.25">
      <c r="A197" s="101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</row>
    <row r="198" spans="1:38" ht="16.5" x14ac:dyDescent="0.25">
      <c r="A198" s="101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</row>
    <row r="199" spans="1:38" ht="16.5" x14ac:dyDescent="0.25">
      <c r="A199" s="101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</row>
    <row r="200" spans="1:38" ht="16.5" x14ac:dyDescent="0.25">
      <c r="A200" s="101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</row>
    <row r="201" spans="1:38" ht="16.5" x14ac:dyDescent="0.25">
      <c r="A201" s="101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</row>
    <row r="202" spans="1:38" ht="16.5" x14ac:dyDescent="0.25">
      <c r="A202" s="101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</row>
    <row r="203" spans="1:38" ht="16.5" x14ac:dyDescent="0.25">
      <c r="A203" s="101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</row>
    <row r="204" spans="1:38" ht="16.5" x14ac:dyDescent="0.25">
      <c r="A204" s="101"/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</row>
    <row r="205" spans="1:38" ht="16.5" x14ac:dyDescent="0.25">
      <c r="A205" s="101"/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</row>
    <row r="206" spans="1:38" ht="16.5" x14ac:dyDescent="0.25">
      <c r="A206" s="101"/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</row>
    <row r="207" spans="1:38" ht="16.5" x14ac:dyDescent="0.25">
      <c r="A207" s="101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</row>
    <row r="208" spans="1:38" ht="16.5" x14ac:dyDescent="0.25">
      <c r="A208" s="101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</row>
    <row r="209" spans="1:38" ht="16.5" x14ac:dyDescent="0.25">
      <c r="A209" s="101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</row>
    <row r="210" spans="1:38" ht="16.5" x14ac:dyDescent="0.25">
      <c r="A210" s="101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</row>
    <row r="211" spans="1:38" ht="16.5" x14ac:dyDescent="0.25">
      <c r="A211" s="101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</row>
    <row r="212" spans="1:38" ht="16.5" x14ac:dyDescent="0.25">
      <c r="A212" s="101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</row>
    <row r="213" spans="1:38" ht="16.5" x14ac:dyDescent="0.25">
      <c r="A213" s="101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</row>
    <row r="214" spans="1:38" ht="16.5" x14ac:dyDescent="0.25">
      <c r="A214" s="101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</row>
    <row r="215" spans="1:38" ht="16.5" x14ac:dyDescent="0.25">
      <c r="A215" s="101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</row>
    <row r="216" spans="1:38" ht="16.5" x14ac:dyDescent="0.25">
      <c r="A216" s="101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</row>
    <row r="217" spans="1:38" ht="16.5" x14ac:dyDescent="0.25">
      <c r="A217" s="101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</row>
    <row r="218" spans="1:38" ht="16.5" x14ac:dyDescent="0.25">
      <c r="A218" s="101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</row>
    <row r="219" spans="1:38" ht="16.5" x14ac:dyDescent="0.25">
      <c r="A219" s="101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</row>
    <row r="220" spans="1:38" ht="16.5" x14ac:dyDescent="0.25">
      <c r="A220" s="101"/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</row>
    <row r="221" spans="1:38" ht="16.5" x14ac:dyDescent="0.25">
      <c r="A221" s="101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</row>
    <row r="222" spans="1:38" ht="16.5" x14ac:dyDescent="0.25">
      <c r="A222" s="101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</row>
    <row r="223" spans="1:38" ht="16.5" x14ac:dyDescent="0.25">
      <c r="A223" s="101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</row>
    <row r="224" spans="1:38" ht="16.5" x14ac:dyDescent="0.25">
      <c r="A224" s="101"/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</row>
    <row r="225" spans="1:38" ht="16.5" x14ac:dyDescent="0.25">
      <c r="A225" s="101"/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</row>
    <row r="226" spans="1:38" ht="16.5" x14ac:dyDescent="0.25">
      <c r="A226" s="101"/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</row>
    <row r="227" spans="1:38" ht="16.5" x14ac:dyDescent="0.25">
      <c r="A227" s="101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</row>
    <row r="228" spans="1:38" ht="16.5" x14ac:dyDescent="0.25">
      <c r="A228" s="101"/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</row>
    <row r="229" spans="1:38" ht="16.5" x14ac:dyDescent="0.25">
      <c r="A229" s="101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</row>
    <row r="230" spans="1:38" ht="16.5" x14ac:dyDescent="0.25">
      <c r="A230" s="101"/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</row>
    <row r="231" spans="1:38" ht="16.5" x14ac:dyDescent="0.25">
      <c r="A231" s="101"/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</row>
    <row r="232" spans="1:38" ht="16.5" x14ac:dyDescent="0.25">
      <c r="A232" s="101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</row>
    <row r="233" spans="1:38" ht="16.5" x14ac:dyDescent="0.25">
      <c r="A233" s="101"/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</row>
    <row r="234" spans="1:38" ht="16.5" x14ac:dyDescent="0.25">
      <c r="A234" s="101"/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0"/>
      <c r="AK234" s="70"/>
      <c r="AL234" s="70"/>
    </row>
    <row r="235" spans="1:38" ht="16.5" x14ac:dyDescent="0.25">
      <c r="A235" s="101"/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  <c r="AC235" s="70"/>
      <c r="AD235" s="70"/>
      <c r="AE235" s="70"/>
      <c r="AF235" s="70"/>
      <c r="AG235" s="70"/>
      <c r="AH235" s="70"/>
      <c r="AI235" s="70"/>
      <c r="AJ235" s="70"/>
      <c r="AK235" s="70"/>
      <c r="AL235" s="70"/>
    </row>
    <row r="236" spans="1:38" ht="16.5" x14ac:dyDescent="0.25">
      <c r="A236" s="101"/>
      <c r="B236" s="70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/>
      <c r="AF236" s="70"/>
      <c r="AG236" s="70"/>
      <c r="AH236" s="70"/>
      <c r="AI236" s="70"/>
      <c r="AJ236" s="70"/>
      <c r="AK236" s="70"/>
      <c r="AL236" s="70"/>
    </row>
    <row r="237" spans="1:38" ht="16.5" x14ac:dyDescent="0.25">
      <c r="A237" s="101"/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  <c r="AC237" s="70"/>
      <c r="AD237" s="70"/>
      <c r="AE237" s="70"/>
      <c r="AF237" s="70"/>
      <c r="AG237" s="70"/>
      <c r="AH237" s="70"/>
      <c r="AI237" s="70"/>
      <c r="AJ237" s="70"/>
      <c r="AK237" s="70"/>
      <c r="AL237" s="70"/>
    </row>
    <row r="238" spans="1:38" ht="16.5" x14ac:dyDescent="0.25">
      <c r="A238" s="101"/>
      <c r="B238" s="70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  <c r="AC238" s="70"/>
      <c r="AD238" s="70"/>
      <c r="AE238" s="70"/>
      <c r="AF238" s="70"/>
      <c r="AG238" s="70"/>
      <c r="AH238" s="70"/>
      <c r="AI238" s="70"/>
      <c r="AJ238" s="70"/>
      <c r="AK238" s="70"/>
      <c r="AL238" s="70"/>
    </row>
    <row r="239" spans="1:38" ht="16.5" x14ac:dyDescent="0.25">
      <c r="A239" s="101"/>
      <c r="B239" s="70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</row>
    <row r="240" spans="1:38" ht="16.5" x14ac:dyDescent="0.25">
      <c r="A240" s="101"/>
      <c r="B240" s="70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  <c r="AC240" s="70"/>
      <c r="AD240" s="70"/>
      <c r="AE240" s="70"/>
      <c r="AF240" s="70"/>
      <c r="AG240" s="70"/>
      <c r="AH240" s="70"/>
      <c r="AI240" s="70"/>
      <c r="AJ240" s="70"/>
      <c r="AK240" s="70"/>
      <c r="AL240" s="70"/>
    </row>
    <row r="241" spans="1:38" ht="16.5" x14ac:dyDescent="0.25">
      <c r="A241" s="101"/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  <c r="AC241" s="70"/>
      <c r="AD241" s="70"/>
      <c r="AE241" s="70"/>
      <c r="AF241" s="70"/>
      <c r="AG241" s="70"/>
      <c r="AH241" s="70"/>
      <c r="AI241" s="70"/>
      <c r="AJ241" s="70"/>
      <c r="AK241" s="70"/>
      <c r="AL241" s="70"/>
    </row>
    <row r="242" spans="1:38" ht="16.5" x14ac:dyDescent="0.25">
      <c r="A242" s="101"/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  <c r="AC242" s="70"/>
      <c r="AD242" s="70"/>
      <c r="AE242" s="70"/>
      <c r="AF242" s="70"/>
      <c r="AG242" s="70"/>
      <c r="AH242" s="70"/>
      <c r="AI242" s="70"/>
      <c r="AJ242" s="70"/>
      <c r="AK242" s="70"/>
      <c r="AL242" s="70"/>
    </row>
    <row r="243" spans="1:38" ht="16.5" x14ac:dyDescent="0.25">
      <c r="A243" s="101"/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</row>
    <row r="244" spans="1:38" ht="16.5" x14ac:dyDescent="0.25">
      <c r="A244" s="101"/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0"/>
      <c r="AK244" s="70"/>
      <c r="AL244" s="70"/>
    </row>
    <row r="245" spans="1:38" ht="16.5" x14ac:dyDescent="0.25">
      <c r="A245" s="101"/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</row>
    <row r="246" spans="1:38" ht="16.5" x14ac:dyDescent="0.25">
      <c r="A246" s="101"/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  <c r="AC246" s="70"/>
      <c r="AD246" s="70"/>
      <c r="AE246" s="70"/>
      <c r="AF246" s="70"/>
      <c r="AG246" s="70"/>
      <c r="AH246" s="70"/>
      <c r="AI246" s="70"/>
      <c r="AJ246" s="70"/>
      <c r="AK246" s="70"/>
      <c r="AL246" s="70"/>
    </row>
    <row r="247" spans="1:38" ht="16.5" x14ac:dyDescent="0.25">
      <c r="A247" s="101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</row>
    <row r="248" spans="1:38" ht="16.5" x14ac:dyDescent="0.25">
      <c r="A248" s="101"/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  <c r="AC248" s="70"/>
      <c r="AD248" s="70"/>
      <c r="AE248" s="70"/>
      <c r="AF248" s="70"/>
      <c r="AG248" s="70"/>
      <c r="AH248" s="70"/>
      <c r="AI248" s="70"/>
      <c r="AJ248" s="70"/>
      <c r="AK248" s="70"/>
      <c r="AL248" s="70"/>
    </row>
    <row r="249" spans="1:38" ht="16.5" x14ac:dyDescent="0.25">
      <c r="A249" s="101"/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  <c r="AC249" s="70"/>
      <c r="AD249" s="70"/>
      <c r="AE249" s="70"/>
      <c r="AF249" s="70"/>
      <c r="AG249" s="70"/>
      <c r="AH249" s="70"/>
      <c r="AI249" s="70"/>
      <c r="AJ249" s="70"/>
      <c r="AK249" s="70"/>
      <c r="AL249" s="70"/>
    </row>
    <row r="250" spans="1:38" ht="16.5" x14ac:dyDescent="0.25">
      <c r="A250" s="101"/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  <c r="AC250" s="70"/>
      <c r="AD250" s="70"/>
      <c r="AE250" s="70"/>
      <c r="AF250" s="70"/>
      <c r="AG250" s="70"/>
      <c r="AH250" s="70"/>
      <c r="AI250" s="70"/>
      <c r="AJ250" s="70"/>
      <c r="AK250" s="70"/>
      <c r="AL250" s="70"/>
    </row>
    <row r="251" spans="1:38" ht="16.5" x14ac:dyDescent="0.25">
      <c r="A251" s="101"/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  <c r="AC251" s="70"/>
      <c r="AD251" s="70"/>
      <c r="AE251" s="70"/>
      <c r="AF251" s="70"/>
      <c r="AG251" s="70"/>
      <c r="AH251" s="70"/>
      <c r="AI251" s="70"/>
      <c r="AJ251" s="70"/>
      <c r="AK251" s="70"/>
      <c r="AL251" s="70"/>
    </row>
    <row r="252" spans="1:38" ht="16.5" x14ac:dyDescent="0.25">
      <c r="A252" s="101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  <c r="AC252" s="70"/>
      <c r="AD252" s="70"/>
      <c r="AE252" s="70"/>
      <c r="AF252" s="70"/>
      <c r="AG252" s="70"/>
      <c r="AH252" s="70"/>
      <c r="AI252" s="70"/>
      <c r="AJ252" s="70"/>
      <c r="AK252" s="70"/>
      <c r="AL252" s="70"/>
    </row>
    <row r="253" spans="1:38" ht="16.5" x14ac:dyDescent="0.25">
      <c r="A253" s="101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</row>
    <row r="254" spans="1:38" ht="16.5" x14ac:dyDescent="0.25">
      <c r="A254" s="101"/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</row>
    <row r="255" spans="1:38" ht="16.5" x14ac:dyDescent="0.25">
      <c r="A255" s="101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</row>
    <row r="256" spans="1:38" ht="16.5" x14ac:dyDescent="0.25">
      <c r="A256" s="101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  <c r="AC256" s="70"/>
      <c r="AD256" s="70"/>
      <c r="AE256" s="70"/>
      <c r="AF256" s="70"/>
      <c r="AG256" s="70"/>
      <c r="AH256" s="70"/>
      <c r="AI256" s="70"/>
      <c r="AJ256" s="70"/>
      <c r="AK256" s="70"/>
      <c r="AL256" s="70"/>
    </row>
    <row r="257" spans="1:38" ht="16.5" x14ac:dyDescent="0.25">
      <c r="A257" s="101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</row>
    <row r="258" spans="1:38" ht="16.5" x14ac:dyDescent="0.25">
      <c r="A258" s="101"/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/>
      <c r="AF258" s="70"/>
      <c r="AG258" s="70"/>
      <c r="AH258" s="70"/>
      <c r="AI258" s="70"/>
      <c r="AJ258" s="70"/>
      <c r="AK258" s="70"/>
      <c r="AL258" s="70"/>
    </row>
    <row r="259" spans="1:38" ht="16.5" x14ac:dyDescent="0.25">
      <c r="A259" s="101"/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  <c r="AC259" s="70"/>
      <c r="AD259" s="70"/>
      <c r="AE259" s="70"/>
      <c r="AF259" s="70"/>
      <c r="AG259" s="70"/>
      <c r="AH259" s="70"/>
      <c r="AI259" s="70"/>
      <c r="AJ259" s="70"/>
      <c r="AK259" s="70"/>
      <c r="AL259" s="70"/>
    </row>
    <row r="260" spans="1:38" ht="16.5" x14ac:dyDescent="0.25">
      <c r="A260" s="101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</row>
    <row r="261" spans="1:38" ht="16.5" x14ac:dyDescent="0.25">
      <c r="A261" s="101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0"/>
      <c r="AK261" s="70"/>
      <c r="AL261" s="70"/>
    </row>
    <row r="262" spans="1:38" ht="16.5" x14ac:dyDescent="0.25">
      <c r="A262" s="101"/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</row>
    <row r="263" spans="1:38" ht="16.5" x14ac:dyDescent="0.25">
      <c r="A263" s="101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</row>
    <row r="264" spans="1:38" ht="16.5" x14ac:dyDescent="0.25">
      <c r="A264" s="101"/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  <c r="AC264" s="70"/>
      <c r="AD264" s="70"/>
      <c r="AE264" s="70"/>
      <c r="AF264" s="70"/>
      <c r="AG264" s="70"/>
      <c r="AH264" s="70"/>
      <c r="AI264" s="70"/>
      <c r="AJ264" s="70"/>
      <c r="AK264" s="70"/>
      <c r="AL264" s="70"/>
    </row>
    <row r="265" spans="1:38" ht="16.5" x14ac:dyDescent="0.25">
      <c r="A265" s="101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</row>
    <row r="266" spans="1:38" ht="16.5" x14ac:dyDescent="0.25">
      <c r="A266" s="101"/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</row>
    <row r="267" spans="1:38" ht="16.5" x14ac:dyDescent="0.25">
      <c r="A267" s="101"/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  <c r="AC267" s="70"/>
      <c r="AD267" s="70"/>
      <c r="AE267" s="70"/>
      <c r="AF267" s="70"/>
      <c r="AG267" s="70"/>
      <c r="AH267" s="70"/>
      <c r="AI267" s="70"/>
      <c r="AJ267" s="70"/>
      <c r="AK267" s="70"/>
      <c r="AL267" s="70"/>
    </row>
    <row r="268" spans="1:38" ht="16.5" x14ac:dyDescent="0.25">
      <c r="A268" s="101"/>
      <c r="B268" s="70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  <c r="AC268" s="70"/>
      <c r="AD268" s="70"/>
      <c r="AE268" s="70"/>
      <c r="AF268" s="70"/>
      <c r="AG268" s="70"/>
      <c r="AH268" s="70"/>
      <c r="AI268" s="70"/>
      <c r="AJ268" s="70"/>
      <c r="AK268" s="70"/>
      <c r="AL268" s="70"/>
    </row>
    <row r="269" spans="1:38" ht="16.5" x14ac:dyDescent="0.25">
      <c r="A269" s="101"/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  <c r="AC269" s="70"/>
      <c r="AD269" s="70"/>
      <c r="AE269" s="70"/>
      <c r="AF269" s="70"/>
      <c r="AG269" s="70"/>
      <c r="AH269" s="70"/>
      <c r="AI269" s="70"/>
      <c r="AJ269" s="70"/>
      <c r="AK269" s="70"/>
      <c r="AL269" s="70"/>
    </row>
    <row r="270" spans="1:38" ht="16.5" x14ac:dyDescent="0.25">
      <c r="A270" s="101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  <c r="AC270" s="70"/>
      <c r="AD270" s="70"/>
      <c r="AE270" s="70"/>
      <c r="AF270" s="70"/>
      <c r="AG270" s="70"/>
      <c r="AH270" s="70"/>
      <c r="AI270" s="70"/>
      <c r="AJ270" s="70"/>
      <c r="AK270" s="70"/>
      <c r="AL270" s="70"/>
    </row>
    <row r="271" spans="1:38" ht="16.5" x14ac:dyDescent="0.25">
      <c r="A271" s="101"/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  <c r="AC271" s="70"/>
      <c r="AD271" s="70"/>
      <c r="AE271" s="70"/>
      <c r="AF271" s="70"/>
      <c r="AG271" s="70"/>
      <c r="AH271" s="70"/>
      <c r="AI271" s="70"/>
      <c r="AJ271" s="70"/>
      <c r="AK271" s="70"/>
      <c r="AL271" s="70"/>
    </row>
    <row r="272" spans="1:38" ht="16.5" x14ac:dyDescent="0.25">
      <c r="A272" s="101"/>
      <c r="B272" s="70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  <c r="AC272" s="70"/>
      <c r="AD272" s="70"/>
      <c r="AE272" s="70"/>
      <c r="AF272" s="70"/>
      <c r="AG272" s="70"/>
      <c r="AH272" s="70"/>
      <c r="AI272" s="70"/>
      <c r="AJ272" s="70"/>
      <c r="AK272" s="70"/>
      <c r="AL272" s="70"/>
    </row>
    <row r="273" spans="1:38" ht="16.5" x14ac:dyDescent="0.25">
      <c r="A273" s="101"/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  <c r="AC273" s="70"/>
      <c r="AD273" s="70"/>
      <c r="AE273" s="70"/>
      <c r="AF273" s="70"/>
      <c r="AG273" s="70"/>
      <c r="AH273" s="70"/>
      <c r="AI273" s="70"/>
      <c r="AJ273" s="70"/>
      <c r="AK273" s="70"/>
      <c r="AL273" s="70"/>
    </row>
    <row r="274" spans="1:38" ht="16.5" x14ac:dyDescent="0.25">
      <c r="A274" s="101"/>
      <c r="B274" s="70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  <c r="AC274" s="70"/>
      <c r="AD274" s="70"/>
      <c r="AE274" s="70"/>
      <c r="AF274" s="70"/>
      <c r="AG274" s="70"/>
      <c r="AH274" s="70"/>
      <c r="AI274" s="70"/>
      <c r="AJ274" s="70"/>
      <c r="AK274" s="70"/>
      <c r="AL274" s="70"/>
    </row>
    <row r="275" spans="1:38" ht="16.5" x14ac:dyDescent="0.25">
      <c r="A275" s="101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  <c r="AC275" s="70"/>
      <c r="AD275" s="70"/>
      <c r="AE275" s="70"/>
      <c r="AF275" s="70"/>
      <c r="AG275" s="70"/>
      <c r="AH275" s="70"/>
      <c r="AI275" s="70"/>
      <c r="AJ275" s="70"/>
      <c r="AK275" s="70"/>
      <c r="AL275" s="70"/>
    </row>
    <row r="276" spans="1:38" ht="16.5" x14ac:dyDescent="0.25">
      <c r="A276" s="101"/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  <c r="AC276" s="70"/>
      <c r="AD276" s="70"/>
      <c r="AE276" s="70"/>
      <c r="AF276" s="70"/>
      <c r="AG276" s="70"/>
      <c r="AH276" s="70"/>
      <c r="AI276" s="70"/>
      <c r="AJ276" s="70"/>
      <c r="AK276" s="70"/>
      <c r="AL276" s="70"/>
    </row>
    <row r="277" spans="1:38" ht="16.5" x14ac:dyDescent="0.25">
      <c r="A277" s="101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0"/>
      <c r="AK277" s="70"/>
      <c r="AL277" s="70"/>
    </row>
    <row r="278" spans="1:38" ht="16.5" x14ac:dyDescent="0.25">
      <c r="A278" s="101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  <c r="AC278" s="70"/>
      <c r="AD278" s="70"/>
      <c r="AE278" s="70"/>
      <c r="AF278" s="70"/>
      <c r="AG278" s="70"/>
      <c r="AH278" s="70"/>
      <c r="AI278" s="70"/>
      <c r="AJ278" s="70"/>
      <c r="AK278" s="70"/>
      <c r="AL278" s="70"/>
    </row>
    <row r="279" spans="1:38" ht="16.5" x14ac:dyDescent="0.25">
      <c r="A279" s="101"/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</row>
    <row r="280" spans="1:38" ht="16.5" x14ac:dyDescent="0.25">
      <c r="A280" s="101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  <c r="AC280" s="70"/>
      <c r="AD280" s="70"/>
      <c r="AE280" s="70"/>
      <c r="AF280" s="70"/>
      <c r="AG280" s="70"/>
      <c r="AH280" s="70"/>
      <c r="AI280" s="70"/>
      <c r="AJ280" s="70"/>
      <c r="AK280" s="70"/>
      <c r="AL280" s="70"/>
    </row>
    <row r="281" spans="1:38" ht="16.5" x14ac:dyDescent="0.25">
      <c r="A281" s="101"/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70"/>
      <c r="AJ281" s="70"/>
      <c r="AK281" s="70"/>
      <c r="AL281" s="70"/>
    </row>
    <row r="282" spans="1:38" ht="16.5" x14ac:dyDescent="0.25">
      <c r="A282" s="101"/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</row>
    <row r="283" spans="1:38" ht="16.5" x14ac:dyDescent="0.25">
      <c r="A283" s="101"/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</row>
    <row r="284" spans="1:38" ht="16.5" x14ac:dyDescent="0.25">
      <c r="A284" s="101"/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</row>
    <row r="285" spans="1:38" ht="16.5" x14ac:dyDescent="0.25">
      <c r="A285" s="101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70"/>
      <c r="AJ285" s="70"/>
      <c r="AK285" s="70"/>
      <c r="AL285" s="70"/>
    </row>
    <row r="286" spans="1:38" ht="16.5" x14ac:dyDescent="0.25">
      <c r="A286" s="101"/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  <c r="AC286" s="70"/>
      <c r="AD286" s="70"/>
      <c r="AE286" s="70"/>
      <c r="AF286" s="70"/>
      <c r="AG286" s="70"/>
      <c r="AH286" s="70"/>
      <c r="AI286" s="70"/>
      <c r="AJ286" s="70"/>
      <c r="AK286" s="70"/>
      <c r="AL286" s="70"/>
    </row>
    <row r="287" spans="1:38" ht="16.5" x14ac:dyDescent="0.25">
      <c r="A287" s="101"/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</row>
    <row r="288" spans="1:38" ht="16.5" x14ac:dyDescent="0.25">
      <c r="A288" s="101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  <c r="AC288" s="70"/>
      <c r="AD288" s="70"/>
      <c r="AE288" s="70"/>
      <c r="AF288" s="70"/>
      <c r="AG288" s="70"/>
      <c r="AH288" s="70"/>
      <c r="AI288" s="70"/>
      <c r="AJ288" s="70"/>
      <c r="AK288" s="70"/>
      <c r="AL288" s="70"/>
    </row>
    <row r="289" spans="1:38" ht="16.5" x14ac:dyDescent="0.25">
      <c r="A289" s="101"/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  <c r="AC289" s="70"/>
      <c r="AD289" s="70"/>
      <c r="AE289" s="70"/>
      <c r="AF289" s="70"/>
      <c r="AG289" s="70"/>
      <c r="AH289" s="70"/>
      <c r="AI289" s="70"/>
      <c r="AJ289" s="70"/>
      <c r="AK289" s="70"/>
      <c r="AL289" s="70"/>
    </row>
    <row r="290" spans="1:38" ht="16.5" x14ac:dyDescent="0.25">
      <c r="A290" s="101"/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  <c r="AC290" s="70"/>
      <c r="AD290" s="70"/>
      <c r="AE290" s="70"/>
      <c r="AF290" s="70"/>
      <c r="AG290" s="70"/>
      <c r="AH290" s="70"/>
      <c r="AI290" s="70"/>
      <c r="AJ290" s="70"/>
      <c r="AK290" s="70"/>
      <c r="AL290" s="70"/>
    </row>
    <row r="291" spans="1:38" ht="16.5" x14ac:dyDescent="0.25">
      <c r="A291" s="101"/>
      <c r="B291" s="70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  <c r="AC291" s="70"/>
      <c r="AD291" s="70"/>
      <c r="AE291" s="70"/>
      <c r="AF291" s="70"/>
      <c r="AG291" s="70"/>
      <c r="AH291" s="70"/>
      <c r="AI291" s="70"/>
      <c r="AJ291" s="70"/>
      <c r="AK291" s="70"/>
      <c r="AL291" s="70"/>
    </row>
    <row r="292" spans="1:38" ht="16.5" x14ac:dyDescent="0.25">
      <c r="A292" s="101"/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  <c r="AC292" s="70"/>
      <c r="AD292" s="70"/>
      <c r="AE292" s="70"/>
      <c r="AF292" s="70"/>
      <c r="AG292" s="70"/>
      <c r="AH292" s="70"/>
      <c r="AI292" s="70"/>
      <c r="AJ292" s="70"/>
      <c r="AK292" s="70"/>
      <c r="AL292" s="70"/>
    </row>
    <row r="293" spans="1:38" ht="16.5" x14ac:dyDescent="0.25">
      <c r="A293" s="101"/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0"/>
      <c r="AK293" s="70"/>
      <c r="AL293" s="70"/>
    </row>
    <row r="294" spans="1:38" ht="16.5" x14ac:dyDescent="0.25">
      <c r="A294" s="101"/>
      <c r="B294" s="70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  <c r="AC294" s="70"/>
      <c r="AD294" s="70"/>
      <c r="AE294" s="70"/>
      <c r="AF294" s="70"/>
      <c r="AG294" s="70"/>
      <c r="AH294" s="70"/>
      <c r="AI294" s="70"/>
      <c r="AJ294" s="70"/>
      <c r="AK294" s="70"/>
      <c r="AL294" s="70"/>
    </row>
    <row r="295" spans="1:38" ht="16.5" x14ac:dyDescent="0.25">
      <c r="A295" s="101"/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</row>
    <row r="296" spans="1:38" ht="16.5" x14ac:dyDescent="0.25">
      <c r="A296" s="101"/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</row>
    <row r="297" spans="1:38" ht="16.5" x14ac:dyDescent="0.25">
      <c r="A297" s="101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</row>
    <row r="298" spans="1:38" ht="16.5" x14ac:dyDescent="0.25">
      <c r="A298" s="101"/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</row>
    <row r="299" spans="1:38" ht="16.5" x14ac:dyDescent="0.25">
      <c r="A299" s="101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</row>
    <row r="300" spans="1:38" ht="16.5" x14ac:dyDescent="0.25">
      <c r="A300" s="101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</row>
    <row r="301" spans="1:38" ht="16.5" x14ac:dyDescent="0.25">
      <c r="A301" s="101"/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</row>
    <row r="302" spans="1:38" ht="16.5" x14ac:dyDescent="0.25">
      <c r="A302" s="101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</row>
    <row r="303" spans="1:38" ht="16.5" x14ac:dyDescent="0.25">
      <c r="A303" s="101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</row>
    <row r="304" spans="1:38" ht="16.5" x14ac:dyDescent="0.25">
      <c r="A304" s="101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</row>
    <row r="305" spans="1:38" ht="16.5" x14ac:dyDescent="0.25">
      <c r="A305" s="101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</row>
    <row r="306" spans="1:38" ht="16.5" x14ac:dyDescent="0.25">
      <c r="A306" s="101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</row>
    <row r="307" spans="1:38" ht="16.5" x14ac:dyDescent="0.25">
      <c r="A307" s="101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</row>
    <row r="308" spans="1:38" ht="16.5" x14ac:dyDescent="0.25">
      <c r="A308" s="101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</row>
    <row r="309" spans="1:38" ht="16.5" x14ac:dyDescent="0.25">
      <c r="A309" s="101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</row>
    <row r="310" spans="1:38" ht="16.5" x14ac:dyDescent="0.25">
      <c r="A310" s="101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  <c r="AC310" s="70"/>
      <c r="AD310" s="70"/>
      <c r="AE310" s="70"/>
      <c r="AF310" s="70"/>
      <c r="AG310" s="70"/>
      <c r="AH310" s="70"/>
      <c r="AI310" s="70"/>
      <c r="AJ310" s="70"/>
      <c r="AK310" s="70"/>
      <c r="AL310" s="70"/>
    </row>
    <row r="311" spans="1:38" ht="16.5" x14ac:dyDescent="0.25">
      <c r="A311" s="101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</row>
    <row r="312" spans="1:38" ht="16.5" x14ac:dyDescent="0.25">
      <c r="A312" s="101"/>
      <c r="B312" s="70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</row>
    <row r="313" spans="1:38" ht="16.5" x14ac:dyDescent="0.25">
      <c r="A313" s="101"/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</row>
    <row r="314" spans="1:38" ht="16.5" x14ac:dyDescent="0.25">
      <c r="A314" s="101"/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  <c r="AC314" s="70"/>
      <c r="AD314" s="70"/>
      <c r="AE314" s="70"/>
      <c r="AF314" s="70"/>
      <c r="AG314" s="70"/>
      <c r="AH314" s="70"/>
      <c r="AI314" s="70"/>
      <c r="AJ314" s="70"/>
      <c r="AK314" s="70"/>
      <c r="AL314" s="70"/>
    </row>
    <row r="315" spans="1:38" ht="16.5" x14ac:dyDescent="0.25">
      <c r="A315" s="101"/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  <c r="AC315" s="70"/>
      <c r="AD315" s="70"/>
      <c r="AE315" s="70"/>
      <c r="AF315" s="70"/>
      <c r="AG315" s="70"/>
      <c r="AH315" s="70"/>
      <c r="AI315" s="70"/>
      <c r="AJ315" s="70"/>
      <c r="AK315" s="70"/>
      <c r="AL315" s="70"/>
    </row>
    <row r="316" spans="1:38" ht="16.5" x14ac:dyDescent="0.25">
      <c r="A316" s="101"/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  <c r="AC316" s="70"/>
      <c r="AD316" s="70"/>
      <c r="AE316" s="70"/>
      <c r="AF316" s="70"/>
      <c r="AG316" s="70"/>
      <c r="AH316" s="70"/>
      <c r="AI316" s="70"/>
      <c r="AJ316" s="70"/>
      <c r="AK316" s="70"/>
      <c r="AL316" s="70"/>
    </row>
    <row r="317" spans="1:38" ht="16.5" x14ac:dyDescent="0.25">
      <c r="A317" s="101"/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  <c r="AC317" s="70"/>
      <c r="AD317" s="70"/>
      <c r="AE317" s="70"/>
      <c r="AF317" s="70"/>
      <c r="AG317" s="70"/>
      <c r="AH317" s="70"/>
      <c r="AI317" s="70"/>
      <c r="AJ317" s="70"/>
      <c r="AK317" s="70"/>
      <c r="AL317" s="70"/>
    </row>
    <row r="318" spans="1:38" ht="16.5" x14ac:dyDescent="0.25">
      <c r="A318" s="101"/>
      <c r="B318" s="70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  <c r="AC318" s="70"/>
      <c r="AD318" s="70"/>
      <c r="AE318" s="70"/>
      <c r="AF318" s="70"/>
      <c r="AG318" s="70"/>
      <c r="AH318" s="70"/>
      <c r="AI318" s="70"/>
      <c r="AJ318" s="70"/>
      <c r="AK318" s="70"/>
      <c r="AL318" s="70"/>
    </row>
    <row r="319" spans="1:38" ht="16.5" x14ac:dyDescent="0.25">
      <c r="A319" s="101"/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</row>
    <row r="320" spans="1:38" ht="16.5" x14ac:dyDescent="0.25">
      <c r="A320" s="101"/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</row>
    <row r="321" spans="1:38" ht="16.5" x14ac:dyDescent="0.25">
      <c r="A321" s="101"/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  <c r="AC321" s="70"/>
      <c r="AD321" s="70"/>
      <c r="AE321" s="70"/>
      <c r="AF321" s="70"/>
      <c r="AG321" s="70"/>
      <c r="AH321" s="70"/>
      <c r="AI321" s="70"/>
      <c r="AJ321" s="70"/>
      <c r="AK321" s="70"/>
      <c r="AL321" s="70"/>
    </row>
    <row r="322" spans="1:38" ht="16.5" x14ac:dyDescent="0.25">
      <c r="A322" s="101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  <c r="AC322" s="70"/>
      <c r="AD322" s="70"/>
      <c r="AE322" s="70"/>
      <c r="AF322" s="70"/>
      <c r="AG322" s="70"/>
      <c r="AH322" s="70"/>
      <c r="AI322" s="70"/>
      <c r="AJ322" s="70"/>
      <c r="AK322" s="70"/>
      <c r="AL322" s="70"/>
    </row>
    <row r="323" spans="1:38" ht="16.5" x14ac:dyDescent="0.25">
      <c r="A323" s="101"/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  <c r="AC323" s="70"/>
      <c r="AD323" s="70"/>
      <c r="AE323" s="70"/>
      <c r="AF323" s="70"/>
      <c r="AG323" s="70"/>
      <c r="AH323" s="70"/>
      <c r="AI323" s="70"/>
      <c r="AJ323" s="70"/>
      <c r="AK323" s="70"/>
      <c r="AL323" s="70"/>
    </row>
    <row r="324" spans="1:38" ht="16.5" x14ac:dyDescent="0.25">
      <c r="A324" s="101"/>
      <c r="B324" s="70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  <c r="AC324" s="70"/>
      <c r="AD324" s="70"/>
      <c r="AE324" s="70"/>
      <c r="AF324" s="70"/>
      <c r="AG324" s="70"/>
      <c r="AH324" s="70"/>
      <c r="AI324" s="70"/>
      <c r="AJ324" s="70"/>
      <c r="AK324" s="70"/>
      <c r="AL324" s="70"/>
    </row>
    <row r="325" spans="1:38" ht="16.5" x14ac:dyDescent="0.25">
      <c r="A325" s="101"/>
      <c r="B325" s="70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  <c r="AC325" s="70"/>
      <c r="AD325" s="70"/>
      <c r="AE325" s="70"/>
      <c r="AF325" s="70"/>
      <c r="AG325" s="70"/>
      <c r="AH325" s="70"/>
      <c r="AI325" s="70"/>
      <c r="AJ325" s="70"/>
      <c r="AK325" s="70"/>
      <c r="AL325" s="70"/>
    </row>
    <row r="326" spans="1:38" ht="16.5" x14ac:dyDescent="0.25">
      <c r="A326" s="101"/>
      <c r="B326" s="70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</row>
    <row r="327" spans="1:38" ht="16.5" x14ac:dyDescent="0.25">
      <c r="A327" s="101"/>
      <c r="B327" s="70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/>
      <c r="AF327" s="70"/>
      <c r="AG327" s="70"/>
      <c r="AH327" s="70"/>
      <c r="AI327" s="70"/>
      <c r="AJ327" s="70"/>
      <c r="AK327" s="70"/>
      <c r="AL327" s="70"/>
    </row>
    <row r="328" spans="1:38" ht="16.5" x14ac:dyDescent="0.25">
      <c r="A328" s="101"/>
      <c r="B328" s="70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  <c r="AC328" s="70"/>
      <c r="AD328" s="70"/>
      <c r="AE328" s="70"/>
      <c r="AF328" s="70"/>
      <c r="AG328" s="70"/>
      <c r="AH328" s="70"/>
      <c r="AI328" s="70"/>
      <c r="AJ328" s="70"/>
      <c r="AK328" s="70"/>
      <c r="AL328" s="70"/>
    </row>
    <row r="329" spans="1:38" ht="16.5" x14ac:dyDescent="0.25">
      <c r="A329" s="101"/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0"/>
      <c r="AK329" s="70"/>
      <c r="AL329" s="70"/>
    </row>
    <row r="330" spans="1:38" ht="16.5" x14ac:dyDescent="0.25">
      <c r="A330" s="101"/>
      <c r="B330" s="70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  <c r="AC330" s="70"/>
      <c r="AD330" s="70"/>
      <c r="AE330" s="70"/>
      <c r="AF330" s="70"/>
      <c r="AG330" s="70"/>
      <c r="AH330" s="70"/>
      <c r="AI330" s="70"/>
      <c r="AJ330" s="70"/>
      <c r="AK330" s="70"/>
      <c r="AL330" s="70"/>
    </row>
    <row r="331" spans="1:38" ht="16.5" x14ac:dyDescent="0.25">
      <c r="A331" s="101"/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  <c r="AC331" s="70"/>
      <c r="AD331" s="70"/>
      <c r="AE331" s="70"/>
      <c r="AF331" s="70"/>
      <c r="AG331" s="70"/>
      <c r="AH331" s="70"/>
      <c r="AI331" s="70"/>
      <c r="AJ331" s="70"/>
      <c r="AK331" s="70"/>
      <c r="AL331" s="70"/>
    </row>
    <row r="332" spans="1:38" ht="16.5" x14ac:dyDescent="0.25">
      <c r="A332" s="101"/>
      <c r="B332" s="70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</row>
    <row r="333" spans="1:38" ht="16.5" x14ac:dyDescent="0.25">
      <c r="A333" s="101"/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  <c r="AC333" s="70"/>
      <c r="AD333" s="70"/>
      <c r="AE333" s="70"/>
      <c r="AF333" s="70"/>
      <c r="AG333" s="70"/>
      <c r="AH333" s="70"/>
      <c r="AI333" s="70"/>
      <c r="AJ333" s="70"/>
      <c r="AK333" s="70"/>
      <c r="AL333" s="70"/>
    </row>
    <row r="334" spans="1:38" ht="16.5" x14ac:dyDescent="0.25">
      <c r="A334" s="101"/>
      <c r="B334" s="70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  <c r="AC334" s="70"/>
      <c r="AD334" s="70"/>
      <c r="AE334" s="70"/>
      <c r="AF334" s="70"/>
      <c r="AG334" s="70"/>
      <c r="AH334" s="70"/>
      <c r="AI334" s="70"/>
      <c r="AJ334" s="70"/>
      <c r="AK334" s="70"/>
      <c r="AL334" s="70"/>
    </row>
    <row r="335" spans="1:38" ht="16.5" x14ac:dyDescent="0.25">
      <c r="A335" s="101"/>
      <c r="B335" s="70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  <c r="AC335" s="70"/>
      <c r="AD335" s="70"/>
      <c r="AE335" s="70"/>
      <c r="AF335" s="70"/>
      <c r="AG335" s="70"/>
      <c r="AH335" s="70"/>
      <c r="AI335" s="70"/>
      <c r="AJ335" s="70"/>
      <c r="AK335" s="70"/>
      <c r="AL335" s="70"/>
    </row>
    <row r="336" spans="1:38" ht="16.5" x14ac:dyDescent="0.25">
      <c r="A336" s="101"/>
      <c r="B336" s="70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  <c r="AC336" s="70"/>
      <c r="AD336" s="70"/>
      <c r="AE336" s="70"/>
      <c r="AF336" s="70"/>
      <c r="AG336" s="70"/>
      <c r="AH336" s="70"/>
      <c r="AI336" s="70"/>
      <c r="AJ336" s="70"/>
      <c r="AK336" s="70"/>
      <c r="AL336" s="70"/>
    </row>
    <row r="337" spans="1:38" ht="16.5" x14ac:dyDescent="0.25">
      <c r="A337" s="101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  <c r="AC337" s="70"/>
      <c r="AD337" s="70"/>
      <c r="AE337" s="70"/>
      <c r="AF337" s="70"/>
      <c r="AG337" s="70"/>
      <c r="AH337" s="70"/>
      <c r="AI337" s="70"/>
      <c r="AJ337" s="70"/>
      <c r="AK337" s="70"/>
      <c r="AL337" s="70"/>
    </row>
    <row r="338" spans="1:38" ht="16.5" x14ac:dyDescent="0.25">
      <c r="A338" s="101"/>
      <c r="B338" s="70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  <c r="AC338" s="70"/>
      <c r="AD338" s="70"/>
      <c r="AE338" s="70"/>
      <c r="AF338" s="70"/>
      <c r="AG338" s="70"/>
      <c r="AH338" s="70"/>
      <c r="AI338" s="70"/>
      <c r="AJ338" s="70"/>
      <c r="AK338" s="70"/>
      <c r="AL338" s="70"/>
    </row>
    <row r="339" spans="1:38" ht="16.5" x14ac:dyDescent="0.25">
      <c r="A339" s="101"/>
      <c r="B339" s="70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0"/>
      <c r="AK339" s="70"/>
      <c r="AL339" s="70"/>
    </row>
    <row r="340" spans="1:38" ht="16.5" x14ac:dyDescent="0.25">
      <c r="A340" s="101"/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</row>
    <row r="341" spans="1:38" ht="16.5" x14ac:dyDescent="0.25">
      <c r="A341" s="101"/>
      <c r="B341" s="70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</row>
    <row r="342" spans="1:38" ht="16.5" x14ac:dyDescent="0.25">
      <c r="A342" s="101"/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</row>
    <row r="343" spans="1:38" ht="16.5" x14ac:dyDescent="0.25">
      <c r="A343" s="101"/>
      <c r="B343" s="70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  <c r="AC343" s="70"/>
      <c r="AD343" s="70"/>
      <c r="AE343" s="70"/>
      <c r="AF343" s="70"/>
      <c r="AG343" s="70"/>
      <c r="AH343" s="70"/>
      <c r="AI343" s="70"/>
      <c r="AJ343" s="70"/>
      <c r="AK343" s="70"/>
      <c r="AL343" s="70"/>
    </row>
    <row r="344" spans="1:38" ht="16.5" x14ac:dyDescent="0.25">
      <c r="A344" s="101"/>
      <c r="B344" s="70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  <c r="AC344" s="70"/>
      <c r="AD344" s="70"/>
      <c r="AE344" s="70"/>
      <c r="AF344" s="70"/>
      <c r="AG344" s="70"/>
      <c r="AH344" s="70"/>
      <c r="AI344" s="70"/>
      <c r="AJ344" s="70"/>
      <c r="AK344" s="70"/>
      <c r="AL344" s="70"/>
    </row>
    <row r="345" spans="1:38" ht="16.5" x14ac:dyDescent="0.25">
      <c r="A345" s="101"/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</row>
    <row r="346" spans="1:38" ht="16.5" x14ac:dyDescent="0.25">
      <c r="A346" s="101"/>
      <c r="B346" s="70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  <c r="AC346" s="70"/>
      <c r="AD346" s="70"/>
      <c r="AE346" s="70"/>
      <c r="AF346" s="70"/>
      <c r="AG346" s="70"/>
      <c r="AH346" s="70"/>
      <c r="AI346" s="70"/>
      <c r="AJ346" s="70"/>
      <c r="AK346" s="70"/>
      <c r="AL346" s="70"/>
    </row>
    <row r="347" spans="1:38" ht="16.5" x14ac:dyDescent="0.25">
      <c r="A347" s="101"/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  <c r="AC347" s="70"/>
      <c r="AD347" s="70"/>
      <c r="AE347" s="70"/>
      <c r="AF347" s="70"/>
      <c r="AG347" s="70"/>
      <c r="AH347" s="70"/>
      <c r="AI347" s="70"/>
      <c r="AJ347" s="70"/>
      <c r="AK347" s="70"/>
      <c r="AL347" s="70"/>
    </row>
    <row r="348" spans="1:38" ht="16.5" x14ac:dyDescent="0.25">
      <c r="A348" s="101"/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</row>
    <row r="349" spans="1:38" ht="16.5" x14ac:dyDescent="0.25">
      <c r="A349" s="101"/>
      <c r="B349" s="70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0"/>
      <c r="AK349" s="70"/>
      <c r="AL349" s="70"/>
    </row>
    <row r="350" spans="1:38" ht="16.5" x14ac:dyDescent="0.25">
      <c r="A350" s="101"/>
      <c r="B350" s="70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/>
      <c r="AF350" s="70"/>
      <c r="AG350" s="70"/>
      <c r="AH350" s="70"/>
      <c r="AI350" s="70"/>
      <c r="AJ350" s="70"/>
      <c r="AK350" s="70"/>
      <c r="AL350" s="70"/>
    </row>
    <row r="351" spans="1:38" ht="16.5" x14ac:dyDescent="0.25">
      <c r="A351" s="101"/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  <c r="AC351" s="70"/>
      <c r="AD351" s="70"/>
      <c r="AE351" s="70"/>
      <c r="AF351" s="70"/>
      <c r="AG351" s="70"/>
      <c r="AH351" s="70"/>
      <c r="AI351" s="70"/>
      <c r="AJ351" s="70"/>
      <c r="AK351" s="70"/>
      <c r="AL351" s="70"/>
    </row>
    <row r="352" spans="1:38" ht="16.5" x14ac:dyDescent="0.25">
      <c r="A352" s="101"/>
      <c r="B352" s="70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  <c r="AC352" s="70"/>
      <c r="AD352" s="70"/>
      <c r="AE352" s="70"/>
      <c r="AF352" s="70"/>
      <c r="AG352" s="70"/>
      <c r="AH352" s="70"/>
      <c r="AI352" s="70"/>
      <c r="AJ352" s="70"/>
      <c r="AK352" s="70"/>
      <c r="AL352" s="70"/>
    </row>
    <row r="353" spans="1:38" ht="16.5" x14ac:dyDescent="0.25">
      <c r="A353" s="101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  <c r="AC353" s="70"/>
      <c r="AD353" s="70"/>
      <c r="AE353" s="70"/>
      <c r="AF353" s="70"/>
      <c r="AG353" s="70"/>
      <c r="AH353" s="70"/>
      <c r="AI353" s="70"/>
      <c r="AJ353" s="70"/>
      <c r="AK353" s="70"/>
      <c r="AL353" s="70"/>
    </row>
    <row r="354" spans="1:38" ht="16.5" x14ac:dyDescent="0.25">
      <c r="A354" s="101"/>
      <c r="B354" s="70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  <c r="AC354" s="70"/>
      <c r="AD354" s="70"/>
      <c r="AE354" s="70"/>
      <c r="AF354" s="70"/>
      <c r="AG354" s="70"/>
      <c r="AH354" s="70"/>
      <c r="AI354" s="70"/>
      <c r="AJ354" s="70"/>
      <c r="AK354" s="70"/>
      <c r="AL354" s="70"/>
    </row>
    <row r="355" spans="1:38" ht="16.5" x14ac:dyDescent="0.25">
      <c r="A355" s="101"/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  <c r="AC355" s="70"/>
      <c r="AD355" s="70"/>
      <c r="AE355" s="70"/>
      <c r="AF355" s="70"/>
      <c r="AG355" s="70"/>
      <c r="AH355" s="70"/>
      <c r="AI355" s="70"/>
      <c r="AJ355" s="70"/>
      <c r="AK355" s="70"/>
      <c r="AL355" s="70"/>
    </row>
    <row r="356" spans="1:38" ht="16.5" x14ac:dyDescent="0.25">
      <c r="A356" s="101"/>
      <c r="B356" s="70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  <c r="AC356" s="70"/>
      <c r="AD356" s="70"/>
      <c r="AE356" s="70"/>
      <c r="AF356" s="70"/>
      <c r="AG356" s="70"/>
      <c r="AH356" s="70"/>
      <c r="AI356" s="70"/>
      <c r="AJ356" s="70"/>
      <c r="AK356" s="70"/>
      <c r="AL356" s="70"/>
    </row>
    <row r="357" spans="1:38" ht="16.5" x14ac:dyDescent="0.25">
      <c r="A357" s="101"/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  <c r="AC357" s="70"/>
      <c r="AD357" s="70"/>
      <c r="AE357" s="70"/>
      <c r="AF357" s="70"/>
      <c r="AG357" s="70"/>
      <c r="AH357" s="70"/>
      <c r="AI357" s="70"/>
      <c r="AJ357" s="70"/>
      <c r="AK357" s="70"/>
      <c r="AL357" s="70"/>
    </row>
    <row r="358" spans="1:38" ht="16.5" x14ac:dyDescent="0.25">
      <c r="A358" s="101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  <c r="AC358" s="70"/>
      <c r="AD358" s="70"/>
      <c r="AE358" s="70"/>
      <c r="AF358" s="70"/>
      <c r="AG358" s="70"/>
      <c r="AH358" s="70"/>
      <c r="AI358" s="70"/>
      <c r="AJ358" s="70"/>
      <c r="AK358" s="70"/>
      <c r="AL358" s="70"/>
    </row>
    <row r="359" spans="1:38" ht="16.5" x14ac:dyDescent="0.25">
      <c r="A359" s="101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  <c r="AC359" s="70"/>
      <c r="AD359" s="70"/>
      <c r="AE359" s="70"/>
      <c r="AF359" s="70"/>
      <c r="AG359" s="70"/>
      <c r="AH359" s="70"/>
      <c r="AI359" s="70"/>
      <c r="AJ359" s="70"/>
      <c r="AK359" s="70"/>
      <c r="AL359" s="70"/>
    </row>
    <row r="360" spans="1:38" ht="16.5" x14ac:dyDescent="0.25">
      <c r="A360" s="101"/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</row>
    <row r="361" spans="1:38" ht="16.5" x14ac:dyDescent="0.25">
      <c r="A361" s="101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  <c r="AC361" s="70"/>
      <c r="AD361" s="70"/>
      <c r="AE361" s="70"/>
      <c r="AF361" s="70"/>
      <c r="AG361" s="70"/>
      <c r="AH361" s="70"/>
      <c r="AI361" s="70"/>
      <c r="AJ361" s="70"/>
      <c r="AK361" s="70"/>
      <c r="AL361" s="70"/>
    </row>
    <row r="362" spans="1:38" ht="16.5" x14ac:dyDescent="0.25">
      <c r="A362" s="101"/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  <c r="AC362" s="70"/>
      <c r="AD362" s="70"/>
      <c r="AE362" s="70"/>
      <c r="AF362" s="70"/>
      <c r="AG362" s="70"/>
      <c r="AH362" s="70"/>
      <c r="AI362" s="70"/>
      <c r="AJ362" s="70"/>
      <c r="AK362" s="70"/>
      <c r="AL362" s="70"/>
    </row>
    <row r="363" spans="1:38" ht="16.5" x14ac:dyDescent="0.25">
      <c r="A363" s="101"/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  <c r="AC363" s="70"/>
      <c r="AD363" s="70"/>
      <c r="AE363" s="70"/>
      <c r="AF363" s="70"/>
      <c r="AG363" s="70"/>
      <c r="AH363" s="70"/>
      <c r="AI363" s="70"/>
      <c r="AJ363" s="70"/>
      <c r="AK363" s="70"/>
      <c r="AL363" s="70"/>
    </row>
    <row r="364" spans="1:38" ht="16.5" x14ac:dyDescent="0.25">
      <c r="A364" s="101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  <c r="AC364" s="70"/>
      <c r="AD364" s="70"/>
      <c r="AE364" s="70"/>
      <c r="AF364" s="70"/>
      <c r="AG364" s="70"/>
      <c r="AH364" s="70"/>
      <c r="AI364" s="70"/>
      <c r="AJ364" s="70"/>
      <c r="AK364" s="70"/>
      <c r="AL364" s="70"/>
    </row>
    <row r="365" spans="1:38" ht="16.5" x14ac:dyDescent="0.25">
      <c r="A365" s="101"/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  <c r="AC365" s="70"/>
      <c r="AD365" s="70"/>
      <c r="AE365" s="70"/>
      <c r="AF365" s="70"/>
      <c r="AG365" s="70"/>
      <c r="AH365" s="70"/>
      <c r="AI365" s="70"/>
      <c r="AJ365" s="70"/>
      <c r="AK365" s="70"/>
      <c r="AL365" s="70"/>
    </row>
    <row r="366" spans="1:38" ht="16.5" x14ac:dyDescent="0.25">
      <c r="A366" s="101"/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  <c r="AC366" s="70"/>
      <c r="AD366" s="70"/>
      <c r="AE366" s="70"/>
      <c r="AF366" s="70"/>
      <c r="AG366" s="70"/>
      <c r="AH366" s="70"/>
      <c r="AI366" s="70"/>
      <c r="AJ366" s="70"/>
      <c r="AK366" s="70"/>
      <c r="AL366" s="70"/>
    </row>
    <row r="367" spans="1:38" ht="16.5" x14ac:dyDescent="0.25">
      <c r="A367" s="101"/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  <c r="AC367" s="70"/>
      <c r="AD367" s="70"/>
      <c r="AE367" s="70"/>
      <c r="AF367" s="70"/>
      <c r="AG367" s="70"/>
      <c r="AH367" s="70"/>
      <c r="AI367" s="70"/>
      <c r="AJ367" s="70"/>
      <c r="AK367" s="70"/>
      <c r="AL367" s="70"/>
    </row>
    <row r="368" spans="1:38" ht="16.5" x14ac:dyDescent="0.25">
      <c r="A368" s="101"/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  <c r="AC368" s="70"/>
      <c r="AD368" s="70"/>
      <c r="AE368" s="70"/>
      <c r="AF368" s="70"/>
      <c r="AG368" s="70"/>
      <c r="AH368" s="70"/>
      <c r="AI368" s="70"/>
      <c r="AJ368" s="70"/>
      <c r="AK368" s="70"/>
      <c r="AL368" s="70"/>
    </row>
    <row r="369" spans="1:38" ht="16.5" x14ac:dyDescent="0.25">
      <c r="A369" s="101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</row>
    <row r="370" spans="1:38" ht="16.5" x14ac:dyDescent="0.25">
      <c r="A370" s="101"/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</row>
    <row r="371" spans="1:38" ht="16.5" x14ac:dyDescent="0.25">
      <c r="A371" s="101"/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</row>
    <row r="372" spans="1:38" ht="16.5" x14ac:dyDescent="0.25">
      <c r="A372" s="101"/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/>
      <c r="AF372" s="70"/>
      <c r="AG372" s="70"/>
      <c r="AH372" s="70"/>
      <c r="AI372" s="70"/>
      <c r="AJ372" s="70"/>
      <c r="AK372" s="70"/>
      <c r="AL372" s="70"/>
    </row>
    <row r="373" spans="1:38" ht="16.5" x14ac:dyDescent="0.25">
      <c r="A373" s="101"/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  <c r="AC373" s="70"/>
      <c r="AD373" s="70"/>
      <c r="AE373" s="70"/>
      <c r="AF373" s="70"/>
      <c r="AG373" s="70"/>
      <c r="AH373" s="70"/>
      <c r="AI373" s="70"/>
      <c r="AJ373" s="70"/>
      <c r="AK373" s="70"/>
      <c r="AL373" s="70"/>
    </row>
    <row r="374" spans="1:38" ht="16.5" x14ac:dyDescent="0.25">
      <c r="A374" s="101"/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  <c r="AC374" s="70"/>
      <c r="AD374" s="70"/>
      <c r="AE374" s="70"/>
      <c r="AF374" s="70"/>
      <c r="AG374" s="70"/>
      <c r="AH374" s="70"/>
      <c r="AI374" s="70"/>
      <c r="AJ374" s="70"/>
      <c r="AK374" s="70"/>
      <c r="AL374" s="70"/>
    </row>
    <row r="375" spans="1:38" ht="16.5" x14ac:dyDescent="0.25">
      <c r="A375" s="101"/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  <c r="AC375" s="70"/>
      <c r="AD375" s="70"/>
      <c r="AE375" s="70"/>
      <c r="AF375" s="70"/>
      <c r="AG375" s="70"/>
      <c r="AH375" s="70"/>
      <c r="AI375" s="70"/>
      <c r="AJ375" s="70"/>
      <c r="AK375" s="70"/>
      <c r="AL375" s="70"/>
    </row>
    <row r="376" spans="1:38" ht="16.5" x14ac:dyDescent="0.25">
      <c r="A376" s="101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  <c r="AC376" s="70"/>
      <c r="AD376" s="70"/>
      <c r="AE376" s="70"/>
      <c r="AF376" s="70"/>
      <c r="AG376" s="70"/>
      <c r="AH376" s="70"/>
      <c r="AI376" s="70"/>
      <c r="AJ376" s="70"/>
      <c r="AK376" s="70"/>
      <c r="AL376" s="70"/>
    </row>
    <row r="377" spans="1:38" ht="16.5" x14ac:dyDescent="0.25">
      <c r="A377" s="101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  <c r="AC377" s="70"/>
      <c r="AD377" s="70"/>
      <c r="AE377" s="70"/>
      <c r="AF377" s="70"/>
      <c r="AG377" s="70"/>
      <c r="AH377" s="70"/>
      <c r="AI377" s="70"/>
      <c r="AJ377" s="70"/>
      <c r="AK377" s="70"/>
      <c r="AL377" s="70"/>
    </row>
    <row r="378" spans="1:38" ht="16.5" x14ac:dyDescent="0.25">
      <c r="A378" s="101"/>
      <c r="B378" s="70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  <c r="AC378" s="70"/>
      <c r="AD378" s="70"/>
      <c r="AE378" s="70"/>
      <c r="AF378" s="70"/>
      <c r="AG378" s="70"/>
      <c r="AH378" s="70"/>
      <c r="AI378" s="70"/>
      <c r="AJ378" s="70"/>
      <c r="AK378" s="70"/>
      <c r="AL378" s="70"/>
    </row>
    <row r="379" spans="1:38" ht="16.5" x14ac:dyDescent="0.25">
      <c r="A379" s="101"/>
      <c r="B379" s="70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  <c r="AC379" s="70"/>
      <c r="AD379" s="70"/>
      <c r="AE379" s="70"/>
      <c r="AF379" s="70"/>
      <c r="AG379" s="70"/>
      <c r="AH379" s="70"/>
      <c r="AI379" s="70"/>
      <c r="AJ379" s="70"/>
      <c r="AK379" s="70"/>
      <c r="AL379" s="70"/>
    </row>
    <row r="380" spans="1:38" ht="16.5" x14ac:dyDescent="0.25">
      <c r="A380" s="101"/>
      <c r="B380" s="70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  <c r="AC380" s="70"/>
      <c r="AD380" s="70"/>
      <c r="AE380" s="70"/>
      <c r="AF380" s="70"/>
      <c r="AG380" s="70"/>
      <c r="AH380" s="70"/>
      <c r="AI380" s="70"/>
      <c r="AJ380" s="70"/>
      <c r="AK380" s="70"/>
      <c r="AL380" s="70"/>
    </row>
    <row r="381" spans="1:38" ht="16.5" x14ac:dyDescent="0.25">
      <c r="A381" s="101"/>
      <c r="B381" s="70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  <c r="AC381" s="70"/>
      <c r="AD381" s="70"/>
      <c r="AE381" s="70"/>
      <c r="AF381" s="70"/>
      <c r="AG381" s="70"/>
      <c r="AH381" s="70"/>
      <c r="AI381" s="70"/>
      <c r="AJ381" s="70"/>
      <c r="AK381" s="70"/>
      <c r="AL381" s="70"/>
    </row>
    <row r="382" spans="1:38" ht="16.5" x14ac:dyDescent="0.25">
      <c r="A382" s="101"/>
      <c r="B382" s="70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  <c r="AC382" s="70"/>
      <c r="AD382" s="70"/>
      <c r="AE382" s="70"/>
      <c r="AF382" s="70"/>
      <c r="AG382" s="70"/>
      <c r="AH382" s="70"/>
      <c r="AI382" s="70"/>
      <c r="AJ382" s="70"/>
      <c r="AK382" s="70"/>
      <c r="AL382" s="70"/>
    </row>
    <row r="383" spans="1:38" ht="16.5" x14ac:dyDescent="0.25">
      <c r="A383" s="101"/>
      <c r="B383" s="70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  <c r="AC383" s="70"/>
      <c r="AD383" s="70"/>
      <c r="AE383" s="70"/>
      <c r="AF383" s="70"/>
      <c r="AG383" s="70"/>
      <c r="AH383" s="70"/>
      <c r="AI383" s="70"/>
      <c r="AJ383" s="70"/>
      <c r="AK383" s="70"/>
      <c r="AL383" s="70"/>
    </row>
    <row r="384" spans="1:38" ht="16.5" x14ac:dyDescent="0.25">
      <c r="A384" s="101"/>
      <c r="B384" s="70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</row>
    <row r="385" spans="1:38" ht="16.5" x14ac:dyDescent="0.25">
      <c r="A385" s="101"/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  <c r="AC385" s="70"/>
      <c r="AD385" s="70"/>
      <c r="AE385" s="70"/>
      <c r="AF385" s="70"/>
      <c r="AG385" s="70"/>
      <c r="AH385" s="70"/>
      <c r="AI385" s="70"/>
      <c r="AJ385" s="70"/>
      <c r="AK385" s="70"/>
      <c r="AL385" s="70"/>
    </row>
    <row r="386" spans="1:38" ht="16.5" x14ac:dyDescent="0.25">
      <c r="A386" s="101"/>
      <c r="B386" s="70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  <c r="AC386" s="70"/>
      <c r="AD386" s="70"/>
      <c r="AE386" s="70"/>
      <c r="AF386" s="70"/>
      <c r="AG386" s="70"/>
      <c r="AH386" s="70"/>
      <c r="AI386" s="70"/>
      <c r="AJ386" s="70"/>
      <c r="AK386" s="70"/>
      <c r="AL386" s="70"/>
    </row>
    <row r="387" spans="1:38" ht="16.5" x14ac:dyDescent="0.25">
      <c r="A387" s="101"/>
      <c r="B387" s="70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  <c r="AC387" s="70"/>
      <c r="AD387" s="70"/>
      <c r="AE387" s="70"/>
      <c r="AF387" s="70"/>
      <c r="AG387" s="70"/>
      <c r="AH387" s="70"/>
      <c r="AI387" s="70"/>
      <c r="AJ387" s="70"/>
      <c r="AK387" s="70"/>
      <c r="AL387" s="70"/>
    </row>
    <row r="388" spans="1:38" ht="16.5" x14ac:dyDescent="0.25">
      <c r="A388" s="101"/>
      <c r="B388" s="70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</row>
    <row r="389" spans="1:38" ht="16.5" x14ac:dyDescent="0.25">
      <c r="A389" s="101"/>
      <c r="B389" s="70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  <c r="AC389" s="70"/>
      <c r="AD389" s="70"/>
      <c r="AE389" s="70"/>
      <c r="AF389" s="70"/>
      <c r="AG389" s="70"/>
      <c r="AH389" s="70"/>
      <c r="AI389" s="70"/>
      <c r="AJ389" s="70"/>
      <c r="AK389" s="70"/>
      <c r="AL389" s="70"/>
    </row>
    <row r="390" spans="1:38" ht="16.5" x14ac:dyDescent="0.25">
      <c r="A390" s="101"/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  <c r="AC390" s="70"/>
      <c r="AD390" s="70"/>
      <c r="AE390" s="70"/>
      <c r="AF390" s="70"/>
      <c r="AG390" s="70"/>
      <c r="AH390" s="70"/>
      <c r="AI390" s="70"/>
      <c r="AJ390" s="70"/>
      <c r="AK390" s="70"/>
      <c r="AL390" s="70"/>
    </row>
    <row r="391" spans="1:38" ht="16.5" x14ac:dyDescent="0.25">
      <c r="A391" s="101"/>
      <c r="B391" s="70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  <c r="AC391" s="70"/>
      <c r="AD391" s="70"/>
      <c r="AE391" s="70"/>
      <c r="AF391" s="70"/>
      <c r="AG391" s="70"/>
      <c r="AH391" s="70"/>
      <c r="AI391" s="70"/>
      <c r="AJ391" s="70"/>
      <c r="AK391" s="70"/>
      <c r="AL391" s="70"/>
    </row>
    <row r="392" spans="1:38" ht="16.5" x14ac:dyDescent="0.25">
      <c r="A392" s="101"/>
      <c r="B392" s="70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  <c r="AC392" s="70"/>
      <c r="AD392" s="70"/>
      <c r="AE392" s="70"/>
      <c r="AF392" s="70"/>
      <c r="AG392" s="70"/>
      <c r="AH392" s="70"/>
      <c r="AI392" s="70"/>
      <c r="AJ392" s="70"/>
      <c r="AK392" s="70"/>
      <c r="AL392" s="70"/>
    </row>
    <row r="393" spans="1:38" ht="16.5" x14ac:dyDescent="0.25">
      <c r="A393" s="101"/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  <c r="AC393" s="70"/>
      <c r="AD393" s="70"/>
      <c r="AE393" s="70"/>
      <c r="AF393" s="70"/>
      <c r="AG393" s="70"/>
      <c r="AH393" s="70"/>
      <c r="AI393" s="70"/>
      <c r="AJ393" s="70"/>
      <c r="AK393" s="70"/>
      <c r="AL393" s="70"/>
    </row>
    <row r="394" spans="1:38" ht="16.5" x14ac:dyDescent="0.25">
      <c r="A394" s="101"/>
      <c r="B394" s="70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/>
      <c r="AF394" s="70"/>
      <c r="AG394" s="70"/>
      <c r="AH394" s="70"/>
      <c r="AI394" s="70"/>
      <c r="AJ394" s="70"/>
      <c r="AK394" s="70"/>
      <c r="AL394" s="70"/>
    </row>
    <row r="395" spans="1:38" ht="16.5" x14ac:dyDescent="0.25">
      <c r="A395" s="101"/>
      <c r="B395" s="70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  <c r="AC395" s="70"/>
      <c r="AD395" s="70"/>
      <c r="AE395" s="70"/>
      <c r="AF395" s="70"/>
      <c r="AG395" s="70"/>
      <c r="AH395" s="70"/>
      <c r="AI395" s="70"/>
      <c r="AJ395" s="70"/>
      <c r="AK395" s="70"/>
      <c r="AL395" s="70"/>
    </row>
    <row r="396" spans="1:38" ht="16.5" x14ac:dyDescent="0.25">
      <c r="A396" s="101"/>
      <c r="B396" s="70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  <c r="AC396" s="70"/>
      <c r="AD396" s="70"/>
      <c r="AE396" s="70"/>
      <c r="AF396" s="70"/>
      <c r="AG396" s="70"/>
      <c r="AH396" s="70"/>
      <c r="AI396" s="70"/>
      <c r="AJ396" s="70"/>
      <c r="AK396" s="70"/>
      <c r="AL396" s="70"/>
    </row>
    <row r="397" spans="1:38" ht="16.5" x14ac:dyDescent="0.25">
      <c r="A397" s="101"/>
      <c r="B397" s="70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  <c r="AC397" s="70"/>
      <c r="AD397" s="70"/>
      <c r="AE397" s="70"/>
      <c r="AF397" s="70"/>
      <c r="AG397" s="70"/>
      <c r="AH397" s="70"/>
      <c r="AI397" s="70"/>
      <c r="AJ397" s="70"/>
      <c r="AK397" s="70"/>
      <c r="AL397" s="70"/>
    </row>
    <row r="398" spans="1:38" ht="16.5" x14ac:dyDescent="0.25">
      <c r="A398" s="101"/>
      <c r="B398" s="70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</row>
    <row r="399" spans="1:38" ht="16.5" x14ac:dyDescent="0.25">
      <c r="A399" s="101"/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</row>
    <row r="400" spans="1:38" ht="16.5" x14ac:dyDescent="0.25">
      <c r="A400" s="101"/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</row>
    <row r="401" spans="1:38" ht="16.5" x14ac:dyDescent="0.25">
      <c r="A401" s="101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  <c r="AC401" s="70"/>
      <c r="AD401" s="70"/>
      <c r="AE401" s="70"/>
      <c r="AF401" s="70"/>
      <c r="AG401" s="70"/>
      <c r="AH401" s="70"/>
      <c r="AI401" s="70"/>
      <c r="AJ401" s="70"/>
      <c r="AK401" s="70"/>
      <c r="AL401" s="70"/>
    </row>
    <row r="402" spans="1:38" ht="16.5" x14ac:dyDescent="0.25">
      <c r="A402" s="101"/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  <c r="AC402" s="70"/>
      <c r="AD402" s="70"/>
      <c r="AE402" s="70"/>
      <c r="AF402" s="70"/>
      <c r="AG402" s="70"/>
      <c r="AH402" s="70"/>
      <c r="AI402" s="70"/>
      <c r="AJ402" s="70"/>
      <c r="AK402" s="70"/>
      <c r="AL402" s="70"/>
    </row>
    <row r="403" spans="1:38" ht="16.5" x14ac:dyDescent="0.25">
      <c r="A403" s="101"/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  <c r="AC403" s="70"/>
      <c r="AD403" s="70"/>
      <c r="AE403" s="70"/>
      <c r="AF403" s="70"/>
      <c r="AG403" s="70"/>
      <c r="AH403" s="70"/>
      <c r="AI403" s="70"/>
      <c r="AJ403" s="70"/>
      <c r="AK403" s="70"/>
      <c r="AL403" s="70"/>
    </row>
    <row r="404" spans="1:38" ht="16.5" x14ac:dyDescent="0.25">
      <c r="A404" s="101"/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  <c r="AC404" s="70"/>
      <c r="AD404" s="70"/>
      <c r="AE404" s="70"/>
      <c r="AF404" s="70"/>
      <c r="AG404" s="70"/>
      <c r="AH404" s="70"/>
      <c r="AI404" s="70"/>
      <c r="AJ404" s="70"/>
      <c r="AK404" s="70"/>
      <c r="AL404" s="70"/>
    </row>
    <row r="405" spans="1:38" ht="16.5" x14ac:dyDescent="0.25">
      <c r="A405" s="101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  <c r="AC405" s="70"/>
      <c r="AD405" s="70"/>
      <c r="AE405" s="70"/>
      <c r="AF405" s="70"/>
      <c r="AG405" s="70"/>
      <c r="AH405" s="70"/>
      <c r="AI405" s="70"/>
      <c r="AJ405" s="70"/>
      <c r="AK405" s="70"/>
      <c r="AL405" s="70"/>
    </row>
    <row r="406" spans="1:38" ht="16.5" x14ac:dyDescent="0.25">
      <c r="A406" s="101"/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  <c r="AC406" s="70"/>
      <c r="AD406" s="70"/>
      <c r="AE406" s="70"/>
      <c r="AF406" s="70"/>
      <c r="AG406" s="70"/>
      <c r="AH406" s="70"/>
      <c r="AI406" s="70"/>
      <c r="AJ406" s="70"/>
      <c r="AK406" s="70"/>
      <c r="AL406" s="70"/>
    </row>
    <row r="407" spans="1:38" ht="16.5" x14ac:dyDescent="0.25">
      <c r="A407" s="101"/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  <c r="AC407" s="70"/>
      <c r="AD407" s="70"/>
      <c r="AE407" s="70"/>
      <c r="AF407" s="70"/>
      <c r="AG407" s="70"/>
      <c r="AH407" s="70"/>
      <c r="AI407" s="70"/>
      <c r="AJ407" s="70"/>
      <c r="AK407" s="70"/>
      <c r="AL407" s="70"/>
    </row>
    <row r="408" spans="1:38" ht="16.5" x14ac:dyDescent="0.25">
      <c r="A408" s="101"/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  <c r="AC408" s="70"/>
      <c r="AD408" s="70"/>
      <c r="AE408" s="70"/>
      <c r="AF408" s="70"/>
      <c r="AG408" s="70"/>
      <c r="AH408" s="70"/>
      <c r="AI408" s="70"/>
      <c r="AJ408" s="70"/>
      <c r="AK408" s="70"/>
      <c r="AL408" s="70"/>
    </row>
    <row r="409" spans="1:38" ht="16.5" x14ac:dyDescent="0.25">
      <c r="A409" s="101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  <c r="AC409" s="70"/>
      <c r="AD409" s="70"/>
      <c r="AE409" s="70"/>
      <c r="AF409" s="70"/>
      <c r="AG409" s="70"/>
      <c r="AH409" s="70"/>
      <c r="AI409" s="70"/>
      <c r="AJ409" s="70"/>
      <c r="AK409" s="70"/>
      <c r="AL409" s="70"/>
    </row>
    <row r="410" spans="1:38" ht="16.5" x14ac:dyDescent="0.25">
      <c r="A410" s="101"/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  <c r="AC410" s="70"/>
      <c r="AD410" s="70"/>
      <c r="AE410" s="70"/>
      <c r="AF410" s="70"/>
      <c r="AG410" s="70"/>
      <c r="AH410" s="70"/>
      <c r="AI410" s="70"/>
      <c r="AJ410" s="70"/>
      <c r="AK410" s="70"/>
      <c r="AL410" s="70"/>
    </row>
    <row r="411" spans="1:38" ht="16.5" x14ac:dyDescent="0.25">
      <c r="A411" s="101"/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  <c r="AC411" s="70"/>
      <c r="AD411" s="70"/>
      <c r="AE411" s="70"/>
      <c r="AF411" s="70"/>
      <c r="AG411" s="70"/>
      <c r="AH411" s="70"/>
      <c r="AI411" s="70"/>
      <c r="AJ411" s="70"/>
      <c r="AK411" s="70"/>
      <c r="AL411" s="70"/>
    </row>
    <row r="412" spans="1:38" ht="16.5" x14ac:dyDescent="0.25">
      <c r="A412" s="101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  <c r="AC412" s="70"/>
      <c r="AD412" s="70"/>
      <c r="AE412" s="70"/>
      <c r="AF412" s="70"/>
      <c r="AG412" s="70"/>
      <c r="AH412" s="70"/>
      <c r="AI412" s="70"/>
      <c r="AJ412" s="70"/>
      <c r="AK412" s="70"/>
      <c r="AL412" s="70"/>
    </row>
    <row r="413" spans="1:38" ht="16.5" x14ac:dyDescent="0.25">
      <c r="A413" s="101"/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  <c r="AC413" s="70"/>
      <c r="AD413" s="70"/>
      <c r="AE413" s="70"/>
      <c r="AF413" s="70"/>
      <c r="AG413" s="70"/>
      <c r="AH413" s="70"/>
      <c r="AI413" s="70"/>
      <c r="AJ413" s="70"/>
      <c r="AK413" s="70"/>
      <c r="AL413" s="70"/>
    </row>
    <row r="414" spans="1:38" ht="16.5" x14ac:dyDescent="0.25">
      <c r="A414" s="101"/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  <c r="AC414" s="70"/>
      <c r="AD414" s="70"/>
      <c r="AE414" s="70"/>
      <c r="AF414" s="70"/>
      <c r="AG414" s="70"/>
      <c r="AH414" s="70"/>
      <c r="AI414" s="70"/>
      <c r="AJ414" s="70"/>
      <c r="AK414" s="70"/>
      <c r="AL414" s="70"/>
    </row>
    <row r="415" spans="1:38" ht="16.5" x14ac:dyDescent="0.25">
      <c r="A415" s="101"/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  <c r="AC415" s="70"/>
      <c r="AD415" s="70"/>
      <c r="AE415" s="70"/>
      <c r="AF415" s="70"/>
      <c r="AG415" s="70"/>
      <c r="AH415" s="70"/>
      <c r="AI415" s="70"/>
      <c r="AJ415" s="70"/>
      <c r="AK415" s="70"/>
      <c r="AL415" s="70"/>
    </row>
    <row r="416" spans="1:38" ht="16.5" x14ac:dyDescent="0.25">
      <c r="A416" s="101"/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/>
      <c r="AF416" s="70"/>
      <c r="AG416" s="70"/>
      <c r="AH416" s="70"/>
      <c r="AI416" s="70"/>
      <c r="AJ416" s="70"/>
      <c r="AK416" s="70"/>
      <c r="AL416" s="70"/>
    </row>
    <row r="417" spans="1:38" ht="16.5" x14ac:dyDescent="0.25">
      <c r="A417" s="101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  <c r="AC417" s="70"/>
      <c r="AD417" s="70"/>
      <c r="AE417" s="70"/>
      <c r="AF417" s="70"/>
      <c r="AG417" s="70"/>
      <c r="AH417" s="70"/>
      <c r="AI417" s="70"/>
      <c r="AJ417" s="70"/>
      <c r="AK417" s="70"/>
      <c r="AL417" s="70"/>
    </row>
    <row r="418" spans="1:38" ht="16.5" x14ac:dyDescent="0.25">
      <c r="A418" s="101"/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  <c r="AC418" s="70"/>
      <c r="AD418" s="70"/>
      <c r="AE418" s="70"/>
      <c r="AF418" s="70"/>
      <c r="AG418" s="70"/>
      <c r="AH418" s="70"/>
      <c r="AI418" s="70"/>
      <c r="AJ418" s="70"/>
      <c r="AK418" s="70"/>
      <c r="AL418" s="70"/>
    </row>
    <row r="419" spans="1:38" ht="16.5" x14ac:dyDescent="0.25">
      <c r="A419" s="101"/>
      <c r="B419" s="70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  <c r="AC419" s="70"/>
      <c r="AD419" s="70"/>
      <c r="AE419" s="70"/>
      <c r="AF419" s="70"/>
      <c r="AG419" s="70"/>
      <c r="AH419" s="70"/>
      <c r="AI419" s="70"/>
      <c r="AJ419" s="70"/>
      <c r="AK419" s="70"/>
      <c r="AL419" s="70"/>
    </row>
    <row r="420" spans="1:38" ht="16.5" x14ac:dyDescent="0.25">
      <c r="A420" s="101"/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  <c r="AC420" s="70"/>
      <c r="AD420" s="70"/>
      <c r="AE420" s="70"/>
      <c r="AF420" s="70"/>
      <c r="AG420" s="70"/>
      <c r="AH420" s="70"/>
      <c r="AI420" s="70"/>
      <c r="AJ420" s="70"/>
      <c r="AK420" s="70"/>
      <c r="AL420" s="70"/>
    </row>
    <row r="421" spans="1:38" ht="16.5" x14ac:dyDescent="0.25">
      <c r="A421" s="101"/>
      <c r="B421" s="70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  <c r="AC421" s="70"/>
      <c r="AD421" s="70"/>
      <c r="AE421" s="70"/>
      <c r="AF421" s="70"/>
      <c r="AG421" s="70"/>
      <c r="AH421" s="70"/>
      <c r="AI421" s="70"/>
      <c r="AJ421" s="70"/>
      <c r="AK421" s="70"/>
      <c r="AL421" s="70"/>
    </row>
    <row r="422" spans="1:38" ht="16.5" x14ac:dyDescent="0.25">
      <c r="A422" s="101"/>
      <c r="B422" s="70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  <c r="AC422" s="70"/>
      <c r="AD422" s="70"/>
      <c r="AE422" s="70"/>
      <c r="AF422" s="70"/>
      <c r="AG422" s="70"/>
      <c r="AH422" s="70"/>
      <c r="AI422" s="70"/>
      <c r="AJ422" s="70"/>
      <c r="AK422" s="70"/>
      <c r="AL422" s="70"/>
    </row>
    <row r="423" spans="1:38" ht="16.5" x14ac:dyDescent="0.25">
      <c r="A423" s="101"/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  <c r="AC423" s="70"/>
      <c r="AD423" s="70"/>
      <c r="AE423" s="70"/>
      <c r="AF423" s="70"/>
      <c r="AG423" s="70"/>
      <c r="AH423" s="70"/>
      <c r="AI423" s="70"/>
      <c r="AJ423" s="70"/>
      <c r="AK423" s="70"/>
      <c r="AL423" s="70"/>
    </row>
    <row r="424" spans="1:38" ht="16.5" x14ac:dyDescent="0.25">
      <c r="A424" s="101"/>
      <c r="B424" s="70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  <c r="AC424" s="70"/>
      <c r="AD424" s="70"/>
      <c r="AE424" s="70"/>
      <c r="AF424" s="70"/>
      <c r="AG424" s="70"/>
      <c r="AH424" s="70"/>
      <c r="AI424" s="70"/>
      <c r="AJ424" s="70"/>
      <c r="AK424" s="70"/>
      <c r="AL424" s="70"/>
    </row>
    <row r="425" spans="1:38" ht="16.5" x14ac:dyDescent="0.25">
      <c r="A425" s="101"/>
      <c r="B425" s="70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  <c r="AC425" s="70"/>
      <c r="AD425" s="70"/>
      <c r="AE425" s="70"/>
      <c r="AF425" s="70"/>
      <c r="AG425" s="70"/>
      <c r="AH425" s="70"/>
      <c r="AI425" s="70"/>
      <c r="AJ425" s="70"/>
      <c r="AK425" s="70"/>
      <c r="AL425" s="70"/>
    </row>
    <row r="426" spans="1:38" ht="16.5" x14ac:dyDescent="0.25">
      <c r="A426" s="101"/>
      <c r="B426" s="70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  <c r="AC426" s="70"/>
      <c r="AD426" s="70"/>
      <c r="AE426" s="70"/>
      <c r="AF426" s="70"/>
      <c r="AG426" s="70"/>
      <c r="AH426" s="70"/>
      <c r="AI426" s="70"/>
      <c r="AJ426" s="70"/>
      <c r="AK426" s="70"/>
      <c r="AL426" s="70"/>
    </row>
    <row r="427" spans="1:38" ht="16.5" x14ac:dyDescent="0.25">
      <c r="A427" s="101"/>
      <c r="B427" s="70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  <c r="AC427" s="70"/>
      <c r="AD427" s="70"/>
      <c r="AE427" s="70"/>
      <c r="AF427" s="70"/>
      <c r="AG427" s="70"/>
      <c r="AH427" s="70"/>
      <c r="AI427" s="70"/>
      <c r="AJ427" s="70"/>
      <c r="AK427" s="70"/>
      <c r="AL427" s="70"/>
    </row>
    <row r="428" spans="1:38" ht="16.5" x14ac:dyDescent="0.25">
      <c r="A428" s="101"/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</row>
    <row r="429" spans="1:38" ht="16.5" x14ac:dyDescent="0.25">
      <c r="A429" s="101"/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</row>
    <row r="430" spans="1:38" ht="16.5" x14ac:dyDescent="0.25">
      <c r="A430" s="101"/>
      <c r="B430" s="70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  <c r="AC430" s="70"/>
      <c r="AD430" s="70"/>
      <c r="AE430" s="70"/>
      <c r="AF430" s="70"/>
      <c r="AG430" s="70"/>
      <c r="AH430" s="70"/>
      <c r="AI430" s="70"/>
      <c r="AJ430" s="70"/>
      <c r="AK430" s="70"/>
      <c r="AL430" s="70"/>
    </row>
    <row r="431" spans="1:38" ht="16.5" x14ac:dyDescent="0.25">
      <c r="A431" s="101"/>
      <c r="B431" s="70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  <c r="AC431" s="70"/>
      <c r="AD431" s="70"/>
      <c r="AE431" s="70"/>
      <c r="AF431" s="70"/>
      <c r="AG431" s="70"/>
      <c r="AH431" s="70"/>
      <c r="AI431" s="70"/>
      <c r="AJ431" s="70"/>
      <c r="AK431" s="70"/>
      <c r="AL431" s="70"/>
    </row>
    <row r="432" spans="1:38" ht="16.5" x14ac:dyDescent="0.25">
      <c r="A432" s="101"/>
      <c r="B432" s="70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/>
      <c r="AC432" s="70"/>
      <c r="AD432" s="70"/>
      <c r="AE432" s="70"/>
      <c r="AF432" s="70"/>
      <c r="AG432" s="70"/>
      <c r="AH432" s="70"/>
      <c r="AI432" s="70"/>
      <c r="AJ432" s="70"/>
      <c r="AK432" s="70"/>
      <c r="AL432" s="70"/>
    </row>
    <row r="433" spans="1:38" ht="16.5" x14ac:dyDescent="0.25">
      <c r="A433" s="101"/>
      <c r="B433" s="70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/>
      <c r="AC433" s="70"/>
      <c r="AD433" s="70"/>
      <c r="AE433" s="70"/>
      <c r="AF433" s="70"/>
      <c r="AG433" s="70"/>
      <c r="AH433" s="70"/>
      <c r="AI433" s="70"/>
      <c r="AJ433" s="70"/>
      <c r="AK433" s="70"/>
      <c r="AL433" s="70"/>
    </row>
    <row r="434" spans="1:38" ht="16.5" x14ac:dyDescent="0.25">
      <c r="A434" s="101"/>
      <c r="B434" s="70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  <c r="AC434" s="70"/>
      <c r="AD434" s="70"/>
      <c r="AE434" s="70"/>
      <c r="AF434" s="70"/>
      <c r="AG434" s="70"/>
      <c r="AH434" s="70"/>
      <c r="AI434" s="70"/>
      <c r="AJ434" s="70"/>
      <c r="AK434" s="70"/>
      <c r="AL434" s="70"/>
    </row>
    <row r="435" spans="1:38" ht="16.5" x14ac:dyDescent="0.25">
      <c r="A435" s="101"/>
      <c r="B435" s="70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  <c r="AC435" s="70"/>
      <c r="AD435" s="70"/>
      <c r="AE435" s="70"/>
      <c r="AF435" s="70"/>
      <c r="AG435" s="70"/>
      <c r="AH435" s="70"/>
      <c r="AI435" s="70"/>
      <c r="AJ435" s="70"/>
      <c r="AK435" s="70"/>
      <c r="AL435" s="70"/>
    </row>
    <row r="436" spans="1:38" ht="16.5" x14ac:dyDescent="0.25">
      <c r="A436" s="101"/>
      <c r="B436" s="70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  <c r="AC436" s="70"/>
      <c r="AD436" s="70"/>
      <c r="AE436" s="70"/>
      <c r="AF436" s="70"/>
      <c r="AG436" s="70"/>
      <c r="AH436" s="70"/>
      <c r="AI436" s="70"/>
      <c r="AJ436" s="70"/>
      <c r="AK436" s="70"/>
      <c r="AL436" s="70"/>
    </row>
    <row r="437" spans="1:38" ht="16.5" x14ac:dyDescent="0.25">
      <c r="A437" s="101"/>
      <c r="B437" s="70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  <c r="AC437" s="70"/>
      <c r="AD437" s="70"/>
      <c r="AE437" s="70"/>
      <c r="AF437" s="70"/>
      <c r="AG437" s="70"/>
      <c r="AH437" s="70"/>
      <c r="AI437" s="70"/>
      <c r="AJ437" s="70"/>
      <c r="AK437" s="70"/>
      <c r="AL437" s="70"/>
    </row>
    <row r="438" spans="1:38" ht="16.5" x14ac:dyDescent="0.25">
      <c r="A438" s="101"/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  <c r="AC438" s="70"/>
      <c r="AD438" s="70"/>
      <c r="AE438" s="70"/>
      <c r="AF438" s="70"/>
      <c r="AG438" s="70"/>
      <c r="AH438" s="70"/>
      <c r="AI438" s="70"/>
      <c r="AJ438" s="70"/>
      <c r="AK438" s="70"/>
      <c r="AL438" s="70"/>
    </row>
    <row r="439" spans="1:38" ht="16.5" x14ac:dyDescent="0.25">
      <c r="A439" s="101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/>
      <c r="AF439" s="70"/>
      <c r="AG439" s="70"/>
      <c r="AH439" s="70"/>
      <c r="AI439" s="70"/>
      <c r="AJ439" s="70"/>
      <c r="AK439" s="70"/>
      <c r="AL439" s="70"/>
    </row>
    <row r="440" spans="1:38" ht="16.5" x14ac:dyDescent="0.25">
      <c r="A440" s="101"/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  <c r="AC440" s="70"/>
      <c r="AD440" s="70"/>
      <c r="AE440" s="70"/>
      <c r="AF440" s="70"/>
      <c r="AG440" s="70"/>
      <c r="AH440" s="70"/>
      <c r="AI440" s="70"/>
      <c r="AJ440" s="70"/>
      <c r="AK440" s="70"/>
      <c r="AL440" s="70"/>
    </row>
    <row r="441" spans="1:38" ht="16.5" x14ac:dyDescent="0.25">
      <c r="A441" s="101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  <c r="AC441" s="70"/>
      <c r="AD441" s="70"/>
      <c r="AE441" s="70"/>
      <c r="AF441" s="70"/>
      <c r="AG441" s="70"/>
      <c r="AH441" s="70"/>
      <c r="AI441" s="70"/>
      <c r="AJ441" s="70"/>
      <c r="AK441" s="70"/>
      <c r="AL441" s="70"/>
    </row>
    <row r="442" spans="1:38" ht="16.5" x14ac:dyDescent="0.25">
      <c r="A442" s="101"/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  <c r="AC442" s="70"/>
      <c r="AD442" s="70"/>
      <c r="AE442" s="70"/>
      <c r="AF442" s="70"/>
      <c r="AG442" s="70"/>
      <c r="AH442" s="70"/>
      <c r="AI442" s="70"/>
      <c r="AJ442" s="70"/>
      <c r="AK442" s="70"/>
      <c r="AL442" s="70"/>
    </row>
    <row r="443" spans="1:38" ht="16.5" x14ac:dyDescent="0.25">
      <c r="A443" s="101"/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  <c r="AC443" s="70"/>
      <c r="AD443" s="70"/>
      <c r="AE443" s="70"/>
      <c r="AF443" s="70"/>
      <c r="AG443" s="70"/>
      <c r="AH443" s="70"/>
      <c r="AI443" s="70"/>
      <c r="AJ443" s="70"/>
      <c r="AK443" s="70"/>
      <c r="AL443" s="70"/>
    </row>
    <row r="444" spans="1:38" ht="16.5" x14ac:dyDescent="0.25">
      <c r="A444" s="101"/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  <c r="AC444" s="70"/>
      <c r="AD444" s="70"/>
      <c r="AE444" s="70"/>
      <c r="AF444" s="70"/>
      <c r="AG444" s="70"/>
      <c r="AH444" s="70"/>
      <c r="AI444" s="70"/>
      <c r="AJ444" s="70"/>
      <c r="AK444" s="70"/>
      <c r="AL444" s="70"/>
    </row>
    <row r="445" spans="1:38" ht="16.5" x14ac:dyDescent="0.25">
      <c r="A445" s="101"/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  <c r="AC445" s="70"/>
      <c r="AD445" s="70"/>
      <c r="AE445" s="70"/>
      <c r="AF445" s="70"/>
      <c r="AG445" s="70"/>
      <c r="AH445" s="70"/>
      <c r="AI445" s="70"/>
      <c r="AJ445" s="70"/>
      <c r="AK445" s="70"/>
      <c r="AL445" s="70"/>
    </row>
    <row r="446" spans="1:38" ht="16.5" x14ac:dyDescent="0.25">
      <c r="A446" s="101"/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  <c r="AC446" s="70"/>
      <c r="AD446" s="70"/>
      <c r="AE446" s="70"/>
      <c r="AF446" s="70"/>
      <c r="AG446" s="70"/>
      <c r="AH446" s="70"/>
      <c r="AI446" s="70"/>
      <c r="AJ446" s="70"/>
      <c r="AK446" s="70"/>
      <c r="AL446" s="70"/>
    </row>
    <row r="447" spans="1:38" ht="16.5" x14ac:dyDescent="0.25">
      <c r="A447" s="101"/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  <c r="AC447" s="70"/>
      <c r="AD447" s="70"/>
      <c r="AE447" s="70"/>
      <c r="AF447" s="70"/>
      <c r="AG447" s="70"/>
      <c r="AH447" s="70"/>
      <c r="AI447" s="70"/>
      <c r="AJ447" s="70"/>
      <c r="AK447" s="70"/>
      <c r="AL447" s="70"/>
    </row>
    <row r="448" spans="1:38" ht="16.5" x14ac:dyDescent="0.25">
      <c r="A448" s="101"/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  <c r="AC448" s="70"/>
      <c r="AD448" s="70"/>
      <c r="AE448" s="70"/>
      <c r="AF448" s="70"/>
      <c r="AG448" s="70"/>
      <c r="AH448" s="70"/>
      <c r="AI448" s="70"/>
      <c r="AJ448" s="70"/>
      <c r="AK448" s="70"/>
      <c r="AL448" s="70"/>
    </row>
    <row r="449" spans="1:38" ht="16.5" x14ac:dyDescent="0.25">
      <c r="A449" s="101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  <c r="AC449" s="70"/>
      <c r="AD449" s="70"/>
      <c r="AE449" s="70"/>
      <c r="AF449" s="70"/>
      <c r="AG449" s="70"/>
      <c r="AH449" s="70"/>
      <c r="AI449" s="70"/>
      <c r="AJ449" s="70"/>
      <c r="AK449" s="70"/>
      <c r="AL449" s="70"/>
    </row>
    <row r="450" spans="1:38" ht="16.5" x14ac:dyDescent="0.25">
      <c r="A450" s="101"/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  <c r="AC450" s="70"/>
      <c r="AD450" s="70"/>
      <c r="AE450" s="70"/>
      <c r="AF450" s="70"/>
      <c r="AG450" s="70"/>
      <c r="AH450" s="70"/>
      <c r="AI450" s="70"/>
      <c r="AJ450" s="70"/>
      <c r="AK450" s="70"/>
      <c r="AL450" s="70"/>
    </row>
    <row r="451" spans="1:38" ht="16.5" x14ac:dyDescent="0.25">
      <c r="A451" s="101"/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  <c r="AC451" s="70"/>
      <c r="AD451" s="70"/>
      <c r="AE451" s="70"/>
      <c r="AF451" s="70"/>
      <c r="AG451" s="70"/>
      <c r="AH451" s="70"/>
      <c r="AI451" s="70"/>
      <c r="AJ451" s="70"/>
      <c r="AK451" s="70"/>
      <c r="AL451" s="70"/>
    </row>
    <row r="452" spans="1:38" ht="16.5" x14ac:dyDescent="0.25">
      <c r="A452" s="101"/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  <c r="AC452" s="70"/>
      <c r="AD452" s="70"/>
      <c r="AE452" s="70"/>
      <c r="AF452" s="70"/>
      <c r="AG452" s="70"/>
      <c r="AH452" s="70"/>
      <c r="AI452" s="70"/>
      <c r="AJ452" s="70"/>
      <c r="AK452" s="70"/>
      <c r="AL452" s="70"/>
    </row>
    <row r="453" spans="1:38" ht="16.5" x14ac:dyDescent="0.25">
      <c r="A453" s="101"/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  <c r="AC453" s="70"/>
      <c r="AD453" s="70"/>
      <c r="AE453" s="70"/>
      <c r="AF453" s="70"/>
      <c r="AG453" s="70"/>
      <c r="AH453" s="70"/>
      <c r="AI453" s="70"/>
      <c r="AJ453" s="70"/>
      <c r="AK453" s="70"/>
      <c r="AL453" s="70"/>
    </row>
    <row r="454" spans="1:38" ht="16.5" x14ac:dyDescent="0.25">
      <c r="A454" s="101"/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  <c r="AC454" s="70"/>
      <c r="AD454" s="70"/>
      <c r="AE454" s="70"/>
      <c r="AF454" s="70"/>
      <c r="AG454" s="70"/>
      <c r="AH454" s="70"/>
      <c r="AI454" s="70"/>
      <c r="AJ454" s="70"/>
      <c r="AK454" s="70"/>
      <c r="AL454" s="70"/>
    </row>
    <row r="455" spans="1:38" ht="16.5" x14ac:dyDescent="0.25">
      <c r="A455" s="101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  <c r="AC455" s="70"/>
      <c r="AD455" s="70"/>
      <c r="AE455" s="70"/>
      <c r="AF455" s="70"/>
      <c r="AG455" s="70"/>
      <c r="AH455" s="70"/>
      <c r="AI455" s="70"/>
      <c r="AJ455" s="70"/>
      <c r="AK455" s="70"/>
      <c r="AL455" s="70"/>
    </row>
    <row r="456" spans="1:38" ht="16.5" x14ac:dyDescent="0.25">
      <c r="A456" s="101"/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</row>
    <row r="457" spans="1:38" ht="16.5" x14ac:dyDescent="0.25">
      <c r="A457" s="101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</row>
    <row r="458" spans="1:38" ht="16.5" x14ac:dyDescent="0.25">
      <c r="A458" s="101"/>
      <c r="B458" s="70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</row>
    <row r="459" spans="1:38" ht="16.5" x14ac:dyDescent="0.25">
      <c r="A459" s="101"/>
      <c r="B459" s="70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  <c r="AC459" s="70"/>
      <c r="AD459" s="70"/>
      <c r="AE459" s="70"/>
      <c r="AF459" s="70"/>
      <c r="AG459" s="70"/>
      <c r="AH459" s="70"/>
      <c r="AI459" s="70"/>
      <c r="AJ459" s="70"/>
      <c r="AK459" s="70"/>
      <c r="AL459" s="70"/>
    </row>
    <row r="460" spans="1:38" ht="16.5" x14ac:dyDescent="0.25">
      <c r="A460" s="101"/>
      <c r="B460" s="70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  <c r="AC460" s="70"/>
      <c r="AD460" s="70"/>
      <c r="AE460" s="70"/>
      <c r="AF460" s="70"/>
      <c r="AG460" s="70"/>
      <c r="AH460" s="70"/>
      <c r="AI460" s="70"/>
      <c r="AJ460" s="70"/>
      <c r="AK460" s="70"/>
      <c r="AL460" s="70"/>
    </row>
    <row r="461" spans="1:38" ht="16.5" x14ac:dyDescent="0.25">
      <c r="A461" s="101"/>
      <c r="B461" s="70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  <c r="AC461" s="70"/>
      <c r="AD461" s="70"/>
      <c r="AE461" s="70"/>
      <c r="AF461" s="70"/>
      <c r="AG461" s="70"/>
      <c r="AH461" s="70"/>
      <c r="AI461" s="70"/>
      <c r="AJ461" s="70"/>
      <c r="AK461" s="70"/>
      <c r="AL461" s="70"/>
    </row>
    <row r="462" spans="1:38" ht="16.5" x14ac:dyDescent="0.25">
      <c r="A462" s="101"/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/>
      <c r="AF462" s="70"/>
      <c r="AG462" s="70"/>
      <c r="AH462" s="70"/>
      <c r="AI462" s="70"/>
      <c r="AJ462" s="70"/>
      <c r="AK462" s="70"/>
      <c r="AL462" s="70"/>
    </row>
    <row r="463" spans="1:38" ht="16.5" x14ac:dyDescent="0.25">
      <c r="A463" s="101"/>
      <c r="B463" s="70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</row>
    <row r="464" spans="1:38" ht="16.5" x14ac:dyDescent="0.25">
      <c r="A464" s="101"/>
      <c r="B464" s="70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</row>
    <row r="465" spans="1:38" ht="16.5" x14ac:dyDescent="0.25">
      <c r="A465" s="101"/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  <c r="AC465" s="70"/>
      <c r="AD465" s="70"/>
      <c r="AE465" s="70"/>
      <c r="AF465" s="70"/>
      <c r="AG465" s="70"/>
      <c r="AH465" s="70"/>
      <c r="AI465" s="70"/>
      <c r="AJ465" s="70"/>
      <c r="AK465" s="70"/>
      <c r="AL465" s="70"/>
    </row>
    <row r="466" spans="1:38" ht="16.5" x14ac:dyDescent="0.25">
      <c r="A466" s="101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  <c r="AC466" s="70"/>
      <c r="AD466" s="70"/>
      <c r="AE466" s="70"/>
      <c r="AF466" s="70"/>
      <c r="AG466" s="70"/>
      <c r="AH466" s="70"/>
      <c r="AI466" s="70"/>
      <c r="AJ466" s="70"/>
      <c r="AK466" s="70"/>
      <c r="AL466" s="70"/>
    </row>
    <row r="467" spans="1:38" ht="16.5" x14ac:dyDescent="0.25">
      <c r="A467" s="101"/>
      <c r="B467" s="70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</row>
    <row r="468" spans="1:38" ht="16.5" x14ac:dyDescent="0.25">
      <c r="A468" s="101"/>
      <c r="B468" s="70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/>
      <c r="AK468" s="70"/>
      <c r="AL468" s="70"/>
    </row>
    <row r="469" spans="1:38" ht="16.5" x14ac:dyDescent="0.25">
      <c r="A469" s="101"/>
      <c r="B469" s="70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  <c r="AC469" s="70"/>
      <c r="AD469" s="70"/>
      <c r="AE469" s="70"/>
      <c r="AF469" s="70"/>
      <c r="AG469" s="70"/>
      <c r="AH469" s="70"/>
      <c r="AI469" s="70"/>
      <c r="AJ469" s="70"/>
      <c r="AK469" s="70"/>
      <c r="AL469" s="70"/>
    </row>
    <row r="470" spans="1:38" ht="16.5" x14ac:dyDescent="0.25">
      <c r="A470" s="101"/>
      <c r="B470" s="70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  <c r="AC470" s="70"/>
      <c r="AD470" s="70"/>
      <c r="AE470" s="70"/>
      <c r="AF470" s="70"/>
      <c r="AG470" s="70"/>
      <c r="AH470" s="70"/>
      <c r="AI470" s="70"/>
      <c r="AJ470" s="70"/>
      <c r="AK470" s="70"/>
      <c r="AL470" s="70"/>
    </row>
    <row r="471" spans="1:38" ht="16.5" x14ac:dyDescent="0.25">
      <c r="A471" s="101"/>
      <c r="B471" s="70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  <c r="AC471" s="70"/>
      <c r="AD471" s="70"/>
      <c r="AE471" s="70"/>
      <c r="AF471" s="70"/>
      <c r="AG471" s="70"/>
      <c r="AH471" s="70"/>
      <c r="AI471" s="70"/>
      <c r="AJ471" s="70"/>
      <c r="AK471" s="70"/>
      <c r="AL471" s="70"/>
    </row>
    <row r="472" spans="1:38" ht="16.5" x14ac:dyDescent="0.25">
      <c r="A472" s="101"/>
      <c r="B472" s="70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  <c r="AC472" s="70"/>
      <c r="AD472" s="70"/>
      <c r="AE472" s="70"/>
      <c r="AF472" s="70"/>
      <c r="AG472" s="70"/>
      <c r="AH472" s="70"/>
      <c r="AI472" s="70"/>
      <c r="AJ472" s="70"/>
      <c r="AK472" s="70"/>
      <c r="AL472" s="70"/>
    </row>
    <row r="473" spans="1:38" ht="16.5" x14ac:dyDescent="0.25">
      <c r="A473" s="101"/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  <c r="AC473" s="70"/>
      <c r="AD473" s="70"/>
      <c r="AE473" s="70"/>
      <c r="AF473" s="70"/>
      <c r="AG473" s="70"/>
      <c r="AH473" s="70"/>
      <c r="AI473" s="70"/>
      <c r="AJ473" s="70"/>
      <c r="AK473" s="70"/>
      <c r="AL473" s="70"/>
    </row>
    <row r="474" spans="1:38" ht="16.5" x14ac:dyDescent="0.25">
      <c r="A474" s="101"/>
      <c r="B474" s="70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  <c r="AC474" s="70"/>
      <c r="AD474" s="70"/>
      <c r="AE474" s="70"/>
      <c r="AF474" s="70"/>
      <c r="AG474" s="70"/>
      <c r="AH474" s="70"/>
      <c r="AI474" s="70"/>
      <c r="AJ474" s="70"/>
      <c r="AK474" s="70"/>
      <c r="AL474" s="70"/>
    </row>
    <row r="475" spans="1:38" ht="16.5" x14ac:dyDescent="0.25">
      <c r="A475" s="101"/>
      <c r="B475" s="70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  <c r="AC475" s="70"/>
      <c r="AD475" s="70"/>
      <c r="AE475" s="70"/>
      <c r="AF475" s="70"/>
      <c r="AG475" s="70"/>
      <c r="AH475" s="70"/>
      <c r="AI475" s="70"/>
      <c r="AJ475" s="70"/>
      <c r="AK475" s="70"/>
      <c r="AL475" s="70"/>
    </row>
    <row r="476" spans="1:38" ht="16.5" x14ac:dyDescent="0.25">
      <c r="A476" s="101"/>
      <c r="B476" s="70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  <c r="AC476" s="70"/>
      <c r="AD476" s="70"/>
      <c r="AE476" s="70"/>
      <c r="AF476" s="70"/>
      <c r="AG476" s="70"/>
      <c r="AH476" s="70"/>
      <c r="AI476" s="70"/>
      <c r="AJ476" s="70"/>
      <c r="AK476" s="70"/>
      <c r="AL476" s="70"/>
    </row>
    <row r="477" spans="1:38" ht="16.5" x14ac:dyDescent="0.25">
      <c r="A477" s="101"/>
      <c r="B477" s="70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  <c r="AC477" s="70"/>
      <c r="AD477" s="70"/>
      <c r="AE477" s="70"/>
      <c r="AF477" s="70"/>
      <c r="AG477" s="70"/>
      <c r="AH477" s="70"/>
      <c r="AI477" s="70"/>
      <c r="AJ477" s="70"/>
      <c r="AK477" s="70"/>
      <c r="AL477" s="70"/>
    </row>
    <row r="478" spans="1:38" ht="16.5" x14ac:dyDescent="0.25">
      <c r="A478" s="101"/>
      <c r="B478" s="70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  <c r="AC478" s="70"/>
      <c r="AD478" s="70"/>
      <c r="AE478" s="70"/>
      <c r="AF478" s="70"/>
      <c r="AG478" s="70"/>
      <c r="AH478" s="70"/>
      <c r="AI478" s="70"/>
      <c r="AJ478" s="70"/>
      <c r="AK478" s="70"/>
      <c r="AL478" s="70"/>
    </row>
    <row r="479" spans="1:38" ht="16.5" x14ac:dyDescent="0.25">
      <c r="A479" s="101"/>
      <c r="B479" s="70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  <c r="AC479" s="70"/>
      <c r="AD479" s="70"/>
      <c r="AE479" s="70"/>
      <c r="AF479" s="70"/>
      <c r="AG479" s="70"/>
      <c r="AH479" s="70"/>
      <c r="AI479" s="70"/>
      <c r="AJ479" s="70"/>
      <c r="AK479" s="70"/>
      <c r="AL479" s="70"/>
    </row>
    <row r="480" spans="1:38" ht="16.5" x14ac:dyDescent="0.25">
      <c r="A480" s="101"/>
      <c r="B480" s="70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  <c r="AC480" s="70"/>
      <c r="AD480" s="70"/>
      <c r="AE480" s="70"/>
      <c r="AF480" s="70"/>
      <c r="AG480" s="70"/>
      <c r="AH480" s="70"/>
      <c r="AI480" s="70"/>
      <c r="AJ480" s="70"/>
      <c r="AK480" s="70"/>
      <c r="AL480" s="70"/>
    </row>
    <row r="481" spans="1:38" ht="16.5" x14ac:dyDescent="0.25">
      <c r="A481" s="101"/>
      <c r="B481" s="70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  <c r="AC481" s="70"/>
      <c r="AD481" s="70"/>
      <c r="AE481" s="70"/>
      <c r="AF481" s="70"/>
      <c r="AG481" s="70"/>
      <c r="AH481" s="70"/>
      <c r="AI481" s="70"/>
      <c r="AJ481" s="70"/>
      <c r="AK481" s="70"/>
      <c r="AL481" s="70"/>
    </row>
    <row r="482" spans="1:38" ht="16.5" x14ac:dyDescent="0.25">
      <c r="A482" s="101"/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  <c r="AC482" s="70"/>
      <c r="AD482" s="70"/>
      <c r="AE482" s="70"/>
      <c r="AF482" s="70"/>
      <c r="AG482" s="70"/>
      <c r="AH482" s="70"/>
      <c r="AI482" s="70"/>
      <c r="AJ482" s="70"/>
      <c r="AK482" s="70"/>
      <c r="AL482" s="70"/>
    </row>
    <row r="483" spans="1:38" ht="16.5" x14ac:dyDescent="0.25">
      <c r="A483" s="101"/>
      <c r="B483" s="70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  <c r="AC483" s="70"/>
      <c r="AD483" s="70"/>
      <c r="AE483" s="70"/>
      <c r="AF483" s="70"/>
      <c r="AG483" s="70"/>
      <c r="AH483" s="70"/>
      <c r="AI483" s="70"/>
      <c r="AJ483" s="70"/>
      <c r="AK483" s="70"/>
      <c r="AL483" s="70"/>
    </row>
    <row r="484" spans="1:38" ht="16.5" x14ac:dyDescent="0.25">
      <c r="A484" s="101"/>
      <c r="B484" s="70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/>
      <c r="AF484" s="70"/>
      <c r="AG484" s="70"/>
      <c r="AH484" s="70"/>
      <c r="AI484" s="70"/>
      <c r="AJ484" s="70"/>
      <c r="AK484" s="70"/>
      <c r="AL484" s="70"/>
    </row>
    <row r="485" spans="1:38" ht="16.5" x14ac:dyDescent="0.25">
      <c r="A485" s="101"/>
      <c r="B485" s="70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</row>
    <row r="486" spans="1:38" ht="16.5" x14ac:dyDescent="0.25">
      <c r="A486" s="101"/>
      <c r="B486" s="70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  <c r="AC486" s="70"/>
      <c r="AD486" s="70"/>
      <c r="AE486" s="70"/>
      <c r="AF486" s="70"/>
      <c r="AG486" s="70"/>
      <c r="AH486" s="70"/>
      <c r="AI486" s="70"/>
      <c r="AJ486" s="70"/>
      <c r="AK486" s="70"/>
      <c r="AL486" s="70"/>
    </row>
    <row r="487" spans="1:38" ht="16.5" x14ac:dyDescent="0.25">
      <c r="A487" s="101"/>
      <c r="B487" s="70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  <c r="AC487" s="70"/>
      <c r="AD487" s="70"/>
      <c r="AE487" s="70"/>
      <c r="AF487" s="70"/>
      <c r="AG487" s="70"/>
      <c r="AH487" s="70"/>
      <c r="AI487" s="70"/>
      <c r="AJ487" s="70"/>
      <c r="AK487" s="70"/>
      <c r="AL487" s="70"/>
    </row>
    <row r="488" spans="1:38" ht="16.5" x14ac:dyDescent="0.25">
      <c r="A488" s="101"/>
      <c r="B488" s="70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  <c r="AC488" s="70"/>
      <c r="AD488" s="70"/>
      <c r="AE488" s="70"/>
      <c r="AF488" s="70"/>
      <c r="AG488" s="70"/>
      <c r="AH488" s="70"/>
      <c r="AI488" s="70"/>
      <c r="AJ488" s="70"/>
      <c r="AK488" s="70"/>
      <c r="AL488" s="70"/>
    </row>
    <row r="489" spans="1:38" ht="16.5" x14ac:dyDescent="0.25">
      <c r="A489" s="101"/>
      <c r="B489" s="70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  <c r="AC489" s="70"/>
      <c r="AD489" s="70"/>
      <c r="AE489" s="70"/>
      <c r="AF489" s="70"/>
      <c r="AG489" s="70"/>
      <c r="AH489" s="70"/>
      <c r="AI489" s="70"/>
      <c r="AJ489" s="70"/>
      <c r="AK489" s="70"/>
      <c r="AL489" s="70"/>
    </row>
    <row r="490" spans="1:38" ht="16.5" x14ac:dyDescent="0.25">
      <c r="A490" s="101"/>
      <c r="B490" s="70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  <c r="AC490" s="70"/>
      <c r="AD490" s="70"/>
      <c r="AE490" s="70"/>
      <c r="AF490" s="70"/>
      <c r="AG490" s="70"/>
      <c r="AH490" s="70"/>
      <c r="AI490" s="70"/>
      <c r="AJ490" s="70"/>
      <c r="AK490" s="70"/>
      <c r="AL490" s="70"/>
    </row>
    <row r="491" spans="1:38" ht="16.5" x14ac:dyDescent="0.25">
      <c r="A491" s="101"/>
      <c r="B491" s="70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  <c r="AC491" s="70"/>
      <c r="AD491" s="70"/>
      <c r="AE491" s="70"/>
      <c r="AF491" s="70"/>
      <c r="AG491" s="70"/>
      <c r="AH491" s="70"/>
      <c r="AI491" s="70"/>
      <c r="AJ491" s="70"/>
      <c r="AK491" s="70"/>
      <c r="AL491" s="70"/>
    </row>
    <row r="492" spans="1:38" ht="16.5" x14ac:dyDescent="0.25">
      <c r="A492" s="101"/>
      <c r="B492" s="70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  <c r="AC492" s="70"/>
      <c r="AD492" s="70"/>
      <c r="AE492" s="70"/>
      <c r="AF492" s="70"/>
      <c r="AG492" s="70"/>
      <c r="AH492" s="70"/>
      <c r="AI492" s="70"/>
      <c r="AJ492" s="70"/>
      <c r="AK492" s="70"/>
      <c r="AL492" s="70"/>
    </row>
    <row r="493" spans="1:38" ht="16.5" x14ac:dyDescent="0.25">
      <c r="A493" s="101"/>
      <c r="B493" s="70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  <c r="AC493" s="70"/>
      <c r="AD493" s="70"/>
      <c r="AE493" s="70"/>
      <c r="AF493" s="70"/>
      <c r="AG493" s="70"/>
      <c r="AH493" s="70"/>
      <c r="AI493" s="70"/>
      <c r="AJ493" s="70"/>
      <c r="AK493" s="70"/>
      <c r="AL493" s="70"/>
    </row>
    <row r="494" spans="1:38" ht="16.5" x14ac:dyDescent="0.25">
      <c r="A494" s="101"/>
      <c r="B494" s="70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  <c r="AC494" s="70"/>
      <c r="AD494" s="70"/>
      <c r="AE494" s="70"/>
      <c r="AF494" s="70"/>
      <c r="AG494" s="70"/>
      <c r="AH494" s="70"/>
      <c r="AI494" s="70"/>
      <c r="AJ494" s="70"/>
      <c r="AK494" s="70"/>
      <c r="AL494" s="70"/>
    </row>
    <row r="495" spans="1:38" ht="16.5" x14ac:dyDescent="0.25">
      <c r="A495" s="101"/>
      <c r="B495" s="70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  <c r="AC495" s="70"/>
      <c r="AD495" s="70"/>
      <c r="AE495" s="70"/>
      <c r="AF495" s="70"/>
      <c r="AG495" s="70"/>
      <c r="AH495" s="70"/>
      <c r="AI495" s="70"/>
      <c r="AJ495" s="70"/>
      <c r="AK495" s="70"/>
      <c r="AL495" s="70"/>
    </row>
    <row r="496" spans="1:38" ht="16.5" x14ac:dyDescent="0.25">
      <c r="A496" s="101"/>
      <c r="B496" s="70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  <c r="AC496" s="70"/>
      <c r="AD496" s="70"/>
      <c r="AE496" s="70"/>
      <c r="AF496" s="70"/>
      <c r="AG496" s="70"/>
      <c r="AH496" s="70"/>
      <c r="AI496" s="70"/>
      <c r="AJ496" s="70"/>
      <c r="AK496" s="70"/>
      <c r="AL496" s="70"/>
    </row>
    <row r="497" spans="1:38" ht="16.5" x14ac:dyDescent="0.25">
      <c r="A497" s="101"/>
      <c r="B497" s="70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  <c r="AC497" s="70"/>
      <c r="AD497" s="70"/>
      <c r="AE497" s="70"/>
      <c r="AF497" s="70"/>
      <c r="AG497" s="70"/>
      <c r="AH497" s="70"/>
      <c r="AI497" s="70"/>
      <c r="AJ497" s="70"/>
      <c r="AK497" s="70"/>
      <c r="AL497" s="70"/>
    </row>
    <row r="498" spans="1:38" ht="16.5" x14ac:dyDescent="0.25">
      <c r="A498" s="101"/>
      <c r="B498" s="70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  <c r="AC498" s="70"/>
      <c r="AD498" s="70"/>
      <c r="AE498" s="70"/>
      <c r="AF498" s="70"/>
      <c r="AG498" s="70"/>
      <c r="AH498" s="70"/>
      <c r="AI498" s="70"/>
      <c r="AJ498" s="70"/>
      <c r="AK498" s="70"/>
      <c r="AL498" s="70"/>
    </row>
    <row r="499" spans="1:38" ht="16.5" x14ac:dyDescent="0.25">
      <c r="A499" s="101"/>
      <c r="B499" s="70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  <c r="AC499" s="70"/>
      <c r="AD499" s="70"/>
      <c r="AE499" s="70"/>
      <c r="AF499" s="70"/>
      <c r="AG499" s="70"/>
      <c r="AH499" s="70"/>
      <c r="AI499" s="70"/>
      <c r="AJ499" s="70"/>
      <c r="AK499" s="70"/>
      <c r="AL499" s="70"/>
    </row>
    <row r="500" spans="1:38" ht="16.5" x14ac:dyDescent="0.25">
      <c r="A500" s="101"/>
      <c r="B500" s="70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  <c r="AC500" s="70"/>
      <c r="AD500" s="70"/>
      <c r="AE500" s="70"/>
      <c r="AF500" s="70"/>
      <c r="AG500" s="70"/>
      <c r="AH500" s="70"/>
      <c r="AI500" s="70"/>
      <c r="AJ500" s="70"/>
      <c r="AK500" s="70"/>
      <c r="AL500" s="70"/>
    </row>
    <row r="501" spans="1:38" ht="16.5" x14ac:dyDescent="0.25">
      <c r="A501" s="101"/>
      <c r="B501" s="70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  <c r="AC501" s="70"/>
      <c r="AD501" s="70"/>
      <c r="AE501" s="70"/>
      <c r="AF501" s="70"/>
      <c r="AG501" s="70"/>
      <c r="AH501" s="70"/>
      <c r="AI501" s="70"/>
      <c r="AJ501" s="70"/>
      <c r="AK501" s="70"/>
      <c r="AL501" s="70"/>
    </row>
    <row r="502" spans="1:38" ht="16.5" x14ac:dyDescent="0.25">
      <c r="A502" s="101"/>
      <c r="B502" s="70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  <c r="AB502" s="70"/>
      <c r="AC502" s="70"/>
      <c r="AD502" s="70"/>
      <c r="AE502" s="70"/>
      <c r="AF502" s="70"/>
      <c r="AG502" s="70"/>
      <c r="AH502" s="70"/>
      <c r="AI502" s="70"/>
      <c r="AJ502" s="70"/>
      <c r="AK502" s="70"/>
      <c r="AL502" s="70"/>
    </row>
    <row r="503" spans="1:38" ht="16.5" x14ac:dyDescent="0.25">
      <c r="A503" s="101"/>
      <c r="B503" s="70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  <c r="AC503" s="70"/>
      <c r="AD503" s="70"/>
      <c r="AE503" s="70"/>
      <c r="AF503" s="70"/>
      <c r="AG503" s="70"/>
      <c r="AH503" s="70"/>
      <c r="AI503" s="70"/>
      <c r="AJ503" s="70"/>
      <c r="AK503" s="70"/>
      <c r="AL503" s="70"/>
    </row>
    <row r="504" spans="1:38" ht="16.5" x14ac:dyDescent="0.25">
      <c r="A504" s="101"/>
      <c r="B504" s="70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  <c r="AC504" s="70"/>
      <c r="AD504" s="70"/>
      <c r="AE504" s="70"/>
      <c r="AF504" s="70"/>
      <c r="AG504" s="70"/>
      <c r="AH504" s="70"/>
      <c r="AI504" s="70"/>
      <c r="AJ504" s="70"/>
      <c r="AK504" s="70"/>
      <c r="AL504" s="70"/>
    </row>
    <row r="505" spans="1:38" ht="16.5" x14ac:dyDescent="0.25">
      <c r="A505" s="101"/>
      <c r="B505" s="70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  <c r="AC505" s="70"/>
      <c r="AD505" s="70"/>
      <c r="AE505" s="70"/>
      <c r="AF505" s="70"/>
      <c r="AG505" s="70"/>
      <c r="AH505" s="70"/>
      <c r="AI505" s="70"/>
      <c r="AJ505" s="70"/>
      <c r="AK505" s="70"/>
      <c r="AL505" s="70"/>
    </row>
    <row r="506" spans="1:38" ht="16.5" x14ac:dyDescent="0.25">
      <c r="A506" s="101"/>
      <c r="B506" s="70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  <c r="AC506" s="70"/>
      <c r="AD506" s="70"/>
      <c r="AE506" s="70"/>
      <c r="AF506" s="70"/>
      <c r="AG506" s="70"/>
      <c r="AH506" s="70"/>
      <c r="AI506" s="70"/>
      <c r="AJ506" s="70"/>
      <c r="AK506" s="70"/>
      <c r="AL506" s="70"/>
    </row>
    <row r="507" spans="1:38" ht="16.5" x14ac:dyDescent="0.25">
      <c r="A507" s="101"/>
      <c r="B507" s="70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  <c r="AC507" s="70"/>
      <c r="AD507" s="70"/>
      <c r="AE507" s="70"/>
      <c r="AF507" s="70"/>
      <c r="AG507" s="70"/>
      <c r="AH507" s="70"/>
      <c r="AI507" s="70"/>
      <c r="AJ507" s="70"/>
      <c r="AK507" s="70"/>
      <c r="AL507" s="70"/>
    </row>
    <row r="508" spans="1:38" ht="16.5" x14ac:dyDescent="0.25">
      <c r="A508" s="101"/>
      <c r="B508" s="70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  <c r="AC508" s="70"/>
      <c r="AD508" s="70"/>
      <c r="AE508" s="70"/>
      <c r="AF508" s="70"/>
      <c r="AG508" s="70"/>
      <c r="AH508" s="70"/>
      <c r="AI508" s="70"/>
      <c r="AJ508" s="70"/>
      <c r="AK508" s="70"/>
      <c r="AL508" s="70"/>
    </row>
    <row r="509" spans="1:38" ht="16.5" x14ac:dyDescent="0.25">
      <c r="A509" s="101"/>
      <c r="B509" s="70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  <c r="AC509" s="70"/>
      <c r="AD509" s="70"/>
      <c r="AE509" s="70"/>
      <c r="AF509" s="70"/>
      <c r="AG509" s="70"/>
      <c r="AH509" s="70"/>
      <c r="AI509" s="70"/>
      <c r="AJ509" s="70"/>
      <c r="AK509" s="70"/>
      <c r="AL509" s="70"/>
    </row>
    <row r="510" spans="1:38" ht="16.5" x14ac:dyDescent="0.25">
      <c r="A510" s="101"/>
      <c r="B510" s="70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  <c r="AC510" s="70"/>
      <c r="AD510" s="70"/>
      <c r="AE510" s="70"/>
      <c r="AF510" s="70"/>
      <c r="AG510" s="70"/>
      <c r="AH510" s="70"/>
      <c r="AI510" s="70"/>
      <c r="AJ510" s="70"/>
      <c r="AK510" s="70"/>
      <c r="AL510" s="70"/>
    </row>
    <row r="511" spans="1:38" ht="16.5" x14ac:dyDescent="0.25">
      <c r="A511" s="101"/>
      <c r="B511" s="70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  <c r="AC511" s="70"/>
      <c r="AD511" s="70"/>
      <c r="AE511" s="70"/>
      <c r="AF511" s="70"/>
      <c r="AG511" s="70"/>
      <c r="AH511" s="70"/>
      <c r="AI511" s="70"/>
      <c r="AJ511" s="70"/>
      <c r="AK511" s="70"/>
      <c r="AL511" s="70"/>
    </row>
    <row r="512" spans="1:38" ht="16.5" x14ac:dyDescent="0.25">
      <c r="A512" s="101"/>
      <c r="B512" s="70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  <c r="AC512" s="70"/>
      <c r="AD512" s="70"/>
      <c r="AE512" s="70"/>
      <c r="AF512" s="70"/>
      <c r="AG512" s="70"/>
      <c r="AH512" s="70"/>
      <c r="AI512" s="70"/>
      <c r="AJ512" s="70"/>
      <c r="AK512" s="70"/>
      <c r="AL512" s="70"/>
    </row>
    <row r="513" spans="1:38" ht="16.5" x14ac:dyDescent="0.25">
      <c r="A513" s="101"/>
      <c r="B513" s="70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  <c r="AC513" s="70"/>
      <c r="AD513" s="70"/>
      <c r="AE513" s="70"/>
      <c r="AF513" s="70"/>
      <c r="AG513" s="70"/>
      <c r="AH513" s="70"/>
      <c r="AI513" s="70"/>
      <c r="AJ513" s="70"/>
      <c r="AK513" s="70"/>
      <c r="AL513" s="70"/>
    </row>
    <row r="514" spans="1:38" ht="16.5" x14ac:dyDescent="0.25">
      <c r="A514" s="101"/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</row>
    <row r="515" spans="1:38" ht="16.5" x14ac:dyDescent="0.25">
      <c r="A515" s="101"/>
      <c r="B515" s="70"/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  <c r="AC515" s="70"/>
      <c r="AD515" s="70"/>
      <c r="AE515" s="70"/>
      <c r="AF515" s="70"/>
      <c r="AG515" s="70"/>
      <c r="AH515" s="70"/>
      <c r="AI515" s="70"/>
      <c r="AJ515" s="70"/>
      <c r="AK515" s="70"/>
      <c r="AL515" s="70"/>
    </row>
    <row r="516" spans="1:38" ht="16.5" x14ac:dyDescent="0.25">
      <c r="A516" s="101"/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</row>
    <row r="517" spans="1:38" ht="16.5" x14ac:dyDescent="0.25">
      <c r="A517" s="101"/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  <c r="AC517" s="70"/>
      <c r="AD517" s="70"/>
      <c r="AE517" s="70"/>
      <c r="AF517" s="70"/>
      <c r="AG517" s="70"/>
      <c r="AH517" s="70"/>
      <c r="AI517" s="70"/>
      <c r="AJ517" s="70"/>
      <c r="AK517" s="70"/>
      <c r="AL517" s="70"/>
    </row>
    <row r="518" spans="1:38" ht="16.5" x14ac:dyDescent="0.25">
      <c r="A518" s="101"/>
      <c r="B518" s="70"/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  <c r="AC518" s="70"/>
      <c r="AD518" s="70"/>
      <c r="AE518" s="70"/>
      <c r="AF518" s="70"/>
      <c r="AG518" s="70"/>
      <c r="AH518" s="70"/>
      <c r="AI518" s="70"/>
      <c r="AJ518" s="70"/>
      <c r="AK518" s="70"/>
      <c r="AL518" s="70"/>
    </row>
    <row r="519" spans="1:38" ht="16.5" x14ac:dyDescent="0.25">
      <c r="A519" s="101"/>
      <c r="B519" s="70"/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  <c r="AC519" s="70"/>
      <c r="AD519" s="70"/>
      <c r="AE519" s="70"/>
      <c r="AF519" s="70"/>
      <c r="AG519" s="70"/>
      <c r="AH519" s="70"/>
      <c r="AI519" s="70"/>
      <c r="AJ519" s="70"/>
      <c r="AK519" s="70"/>
      <c r="AL519" s="70"/>
    </row>
    <row r="520" spans="1:38" ht="16.5" x14ac:dyDescent="0.25">
      <c r="A520" s="101"/>
      <c r="B520" s="70"/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  <c r="AC520" s="70"/>
      <c r="AD520" s="70"/>
      <c r="AE520" s="70"/>
      <c r="AF520" s="70"/>
      <c r="AG520" s="70"/>
      <c r="AH520" s="70"/>
      <c r="AI520" s="70"/>
      <c r="AJ520" s="70"/>
      <c r="AK520" s="70"/>
      <c r="AL520" s="70"/>
    </row>
    <row r="521" spans="1:38" ht="16.5" x14ac:dyDescent="0.25">
      <c r="A521" s="101"/>
      <c r="B521" s="70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  <c r="AC521" s="70"/>
      <c r="AD521" s="70"/>
      <c r="AE521" s="70"/>
      <c r="AF521" s="70"/>
      <c r="AG521" s="70"/>
      <c r="AH521" s="70"/>
      <c r="AI521" s="70"/>
      <c r="AJ521" s="70"/>
      <c r="AK521" s="70"/>
      <c r="AL521" s="70"/>
    </row>
    <row r="522" spans="1:38" ht="16.5" x14ac:dyDescent="0.25">
      <c r="A522" s="101"/>
      <c r="B522" s="70"/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  <c r="AC522" s="70"/>
      <c r="AD522" s="70"/>
      <c r="AE522" s="70"/>
      <c r="AF522" s="70"/>
      <c r="AG522" s="70"/>
      <c r="AH522" s="70"/>
      <c r="AI522" s="70"/>
      <c r="AJ522" s="70"/>
      <c r="AK522" s="70"/>
      <c r="AL522" s="70"/>
    </row>
    <row r="523" spans="1:38" ht="16.5" x14ac:dyDescent="0.25">
      <c r="A523" s="101"/>
      <c r="B523" s="70"/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  <c r="AC523" s="70"/>
      <c r="AD523" s="70"/>
      <c r="AE523" s="70"/>
      <c r="AF523" s="70"/>
      <c r="AG523" s="70"/>
      <c r="AH523" s="70"/>
      <c r="AI523" s="70"/>
      <c r="AJ523" s="70"/>
      <c r="AK523" s="70"/>
      <c r="AL523" s="70"/>
    </row>
    <row r="524" spans="1:38" ht="16.5" x14ac:dyDescent="0.25">
      <c r="A524" s="101"/>
      <c r="B524" s="70"/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  <c r="AC524" s="70"/>
      <c r="AD524" s="70"/>
      <c r="AE524" s="70"/>
      <c r="AF524" s="70"/>
      <c r="AG524" s="70"/>
      <c r="AH524" s="70"/>
      <c r="AI524" s="70"/>
      <c r="AJ524" s="70"/>
      <c r="AK524" s="70"/>
      <c r="AL524" s="70"/>
    </row>
    <row r="525" spans="1:38" ht="16.5" x14ac:dyDescent="0.25">
      <c r="A525" s="101"/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  <c r="AC525" s="70"/>
      <c r="AD525" s="70"/>
      <c r="AE525" s="70"/>
      <c r="AF525" s="70"/>
      <c r="AG525" s="70"/>
      <c r="AH525" s="70"/>
      <c r="AI525" s="70"/>
      <c r="AJ525" s="70"/>
      <c r="AK525" s="70"/>
      <c r="AL525" s="70"/>
    </row>
    <row r="526" spans="1:38" ht="16.5" x14ac:dyDescent="0.25">
      <c r="A526" s="101"/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  <c r="AC526" s="70"/>
      <c r="AD526" s="70"/>
      <c r="AE526" s="70"/>
      <c r="AF526" s="70"/>
      <c r="AG526" s="70"/>
      <c r="AH526" s="70"/>
      <c r="AI526" s="70"/>
      <c r="AJ526" s="70"/>
      <c r="AK526" s="70"/>
      <c r="AL526" s="70"/>
    </row>
    <row r="527" spans="1:38" ht="16.5" x14ac:dyDescent="0.25">
      <c r="A527" s="101"/>
      <c r="B527" s="70"/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  <c r="AC527" s="70"/>
      <c r="AD527" s="70"/>
      <c r="AE527" s="70"/>
      <c r="AF527" s="70"/>
      <c r="AG527" s="70"/>
      <c r="AH527" s="70"/>
      <c r="AI527" s="70"/>
      <c r="AJ527" s="70"/>
      <c r="AK527" s="70"/>
      <c r="AL527" s="70"/>
    </row>
    <row r="528" spans="1:38" ht="16.5" x14ac:dyDescent="0.25">
      <c r="A528" s="101"/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  <c r="AC528" s="70"/>
      <c r="AD528" s="70"/>
      <c r="AE528" s="70"/>
      <c r="AF528" s="70"/>
      <c r="AG528" s="70"/>
      <c r="AH528" s="70"/>
      <c r="AI528" s="70"/>
      <c r="AJ528" s="70"/>
      <c r="AK528" s="70"/>
      <c r="AL528" s="70"/>
    </row>
    <row r="529" spans="1:38" ht="16.5" x14ac:dyDescent="0.25">
      <c r="A529" s="101"/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/>
      <c r="AF529" s="70"/>
      <c r="AG529" s="70"/>
      <c r="AH529" s="70"/>
      <c r="AI529" s="70"/>
      <c r="AJ529" s="70"/>
      <c r="AK529" s="70"/>
      <c r="AL529" s="70"/>
    </row>
    <row r="530" spans="1:38" ht="16.5" x14ac:dyDescent="0.25">
      <c r="A530" s="101"/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  <c r="AC530" s="70"/>
      <c r="AD530" s="70"/>
      <c r="AE530" s="70"/>
      <c r="AF530" s="70"/>
      <c r="AG530" s="70"/>
      <c r="AH530" s="70"/>
      <c r="AI530" s="70"/>
      <c r="AJ530" s="70"/>
      <c r="AK530" s="70"/>
      <c r="AL530" s="70"/>
    </row>
    <row r="531" spans="1:38" ht="16.5" x14ac:dyDescent="0.25">
      <c r="A531" s="101"/>
      <c r="B531" s="70"/>
      <c r="C531" s="70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  <c r="AC531" s="70"/>
      <c r="AD531" s="70"/>
      <c r="AE531" s="70"/>
      <c r="AF531" s="70"/>
      <c r="AG531" s="70"/>
      <c r="AH531" s="70"/>
      <c r="AI531" s="70"/>
      <c r="AJ531" s="70"/>
      <c r="AK531" s="70"/>
      <c r="AL531" s="70"/>
    </row>
    <row r="532" spans="1:38" ht="16.5" x14ac:dyDescent="0.25">
      <c r="A532" s="101"/>
      <c r="B532" s="70"/>
      <c r="C532" s="70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  <c r="AC532" s="70"/>
      <c r="AD532" s="70"/>
      <c r="AE532" s="70"/>
      <c r="AF532" s="70"/>
      <c r="AG532" s="70"/>
      <c r="AH532" s="70"/>
      <c r="AI532" s="70"/>
      <c r="AJ532" s="70"/>
      <c r="AK532" s="70"/>
      <c r="AL532" s="70"/>
    </row>
    <row r="533" spans="1:38" ht="16.5" x14ac:dyDescent="0.25">
      <c r="A533" s="101"/>
      <c r="B533" s="70"/>
      <c r="C533" s="70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  <c r="AC533" s="70"/>
      <c r="AD533" s="70"/>
      <c r="AE533" s="70"/>
      <c r="AF533" s="70"/>
      <c r="AG533" s="70"/>
      <c r="AH533" s="70"/>
      <c r="AI533" s="70"/>
      <c r="AJ533" s="70"/>
      <c r="AK533" s="70"/>
      <c r="AL533" s="70"/>
    </row>
    <row r="534" spans="1:38" ht="16.5" x14ac:dyDescent="0.25">
      <c r="A534" s="101"/>
      <c r="B534" s="70"/>
      <c r="C534" s="70"/>
      <c r="D534" s="70"/>
      <c r="E534" s="70"/>
      <c r="F534" s="70"/>
      <c r="G534" s="70"/>
      <c r="H534" s="70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  <c r="AC534" s="70"/>
      <c r="AD534" s="70"/>
      <c r="AE534" s="70"/>
      <c r="AF534" s="70"/>
      <c r="AG534" s="70"/>
      <c r="AH534" s="70"/>
      <c r="AI534" s="70"/>
      <c r="AJ534" s="70"/>
      <c r="AK534" s="70"/>
      <c r="AL534" s="70"/>
    </row>
    <row r="535" spans="1:38" ht="16.5" x14ac:dyDescent="0.25">
      <c r="A535" s="101"/>
      <c r="B535" s="70"/>
      <c r="C535" s="70"/>
      <c r="D535" s="70"/>
      <c r="E535" s="70"/>
      <c r="F535" s="70"/>
      <c r="G535" s="70"/>
      <c r="H535" s="70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  <c r="AC535" s="70"/>
      <c r="AD535" s="70"/>
      <c r="AE535" s="70"/>
      <c r="AF535" s="70"/>
      <c r="AG535" s="70"/>
      <c r="AH535" s="70"/>
      <c r="AI535" s="70"/>
      <c r="AJ535" s="70"/>
      <c r="AK535" s="70"/>
      <c r="AL535" s="70"/>
    </row>
    <row r="536" spans="1:38" ht="16.5" x14ac:dyDescent="0.25">
      <c r="A536" s="101"/>
      <c r="B536" s="70"/>
      <c r="C536" s="70"/>
      <c r="D536" s="70"/>
      <c r="E536" s="70"/>
      <c r="F536" s="70"/>
      <c r="G536" s="70"/>
      <c r="H536" s="70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  <c r="AC536" s="70"/>
      <c r="AD536" s="70"/>
      <c r="AE536" s="70"/>
      <c r="AF536" s="70"/>
      <c r="AG536" s="70"/>
      <c r="AH536" s="70"/>
      <c r="AI536" s="70"/>
      <c r="AJ536" s="70"/>
      <c r="AK536" s="70"/>
      <c r="AL536" s="70"/>
    </row>
    <row r="537" spans="1:38" ht="16.5" x14ac:dyDescent="0.25">
      <c r="A537" s="101"/>
      <c r="B537" s="70"/>
      <c r="C537" s="70"/>
      <c r="D537" s="70"/>
      <c r="E537" s="70"/>
      <c r="F537" s="70"/>
      <c r="G537" s="70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  <c r="AC537" s="70"/>
      <c r="AD537" s="70"/>
      <c r="AE537" s="70"/>
      <c r="AF537" s="70"/>
      <c r="AG537" s="70"/>
      <c r="AH537" s="70"/>
      <c r="AI537" s="70"/>
      <c r="AJ537" s="70"/>
      <c r="AK537" s="70"/>
      <c r="AL537" s="70"/>
    </row>
    <row r="538" spans="1:38" ht="16.5" x14ac:dyDescent="0.25">
      <c r="A538" s="101"/>
      <c r="B538" s="70"/>
      <c r="C538" s="70"/>
      <c r="D538" s="70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  <c r="AC538" s="70"/>
      <c r="AD538" s="70"/>
      <c r="AE538" s="70"/>
      <c r="AF538" s="70"/>
      <c r="AG538" s="70"/>
      <c r="AH538" s="70"/>
      <c r="AI538" s="70"/>
      <c r="AJ538" s="70"/>
      <c r="AK538" s="70"/>
      <c r="AL538" s="70"/>
    </row>
    <row r="539" spans="1:38" ht="16.5" x14ac:dyDescent="0.25">
      <c r="A539" s="101"/>
      <c r="B539" s="70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  <c r="AC539" s="70"/>
      <c r="AD539" s="70"/>
      <c r="AE539" s="70"/>
      <c r="AF539" s="70"/>
      <c r="AG539" s="70"/>
      <c r="AH539" s="70"/>
      <c r="AI539" s="70"/>
      <c r="AJ539" s="70"/>
      <c r="AK539" s="70"/>
      <c r="AL539" s="70"/>
    </row>
    <row r="540" spans="1:38" ht="16.5" x14ac:dyDescent="0.25">
      <c r="A540" s="101"/>
      <c r="B540" s="70"/>
      <c r="C540" s="70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  <c r="AC540" s="70"/>
      <c r="AD540" s="70"/>
      <c r="AE540" s="70"/>
      <c r="AF540" s="70"/>
      <c r="AG540" s="70"/>
      <c r="AH540" s="70"/>
      <c r="AI540" s="70"/>
      <c r="AJ540" s="70"/>
      <c r="AK540" s="70"/>
      <c r="AL540" s="70"/>
    </row>
    <row r="541" spans="1:38" ht="16.5" x14ac:dyDescent="0.25">
      <c r="A541" s="101"/>
      <c r="B541" s="70"/>
      <c r="C541" s="70"/>
      <c r="D541" s="70"/>
      <c r="E541" s="70"/>
      <c r="F541" s="70"/>
      <c r="G541" s="70"/>
      <c r="H541" s="70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  <c r="AC541" s="70"/>
      <c r="AD541" s="70"/>
      <c r="AE541" s="70"/>
      <c r="AF541" s="70"/>
      <c r="AG541" s="70"/>
      <c r="AH541" s="70"/>
      <c r="AI541" s="70"/>
      <c r="AJ541" s="70"/>
      <c r="AK541" s="70"/>
      <c r="AL541" s="70"/>
    </row>
    <row r="542" spans="1:38" ht="16.5" x14ac:dyDescent="0.25">
      <c r="A542" s="101"/>
      <c r="B542" s="70"/>
      <c r="C542" s="70"/>
      <c r="D542" s="70"/>
      <c r="E542" s="70"/>
      <c r="F542" s="70"/>
      <c r="G542" s="70"/>
      <c r="H542" s="70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  <c r="AC542" s="70"/>
      <c r="AD542" s="70"/>
      <c r="AE542" s="70"/>
      <c r="AF542" s="70"/>
      <c r="AG542" s="70"/>
      <c r="AH542" s="70"/>
      <c r="AI542" s="70"/>
      <c r="AJ542" s="70"/>
      <c r="AK542" s="70"/>
      <c r="AL542" s="70"/>
    </row>
    <row r="543" spans="1:38" ht="16.5" x14ac:dyDescent="0.25">
      <c r="A543" s="101"/>
      <c r="B543" s="70"/>
      <c r="C543" s="70"/>
      <c r="D543" s="70"/>
      <c r="E543" s="70"/>
      <c r="F543" s="70"/>
      <c r="G543" s="70"/>
      <c r="H543" s="70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  <c r="AC543" s="70"/>
      <c r="AD543" s="70"/>
      <c r="AE543" s="70"/>
      <c r="AF543" s="70"/>
      <c r="AG543" s="70"/>
      <c r="AH543" s="70"/>
      <c r="AI543" s="70"/>
      <c r="AJ543" s="70"/>
      <c r="AK543" s="70"/>
      <c r="AL543" s="70"/>
    </row>
    <row r="544" spans="1:38" ht="16.5" x14ac:dyDescent="0.25">
      <c r="A544" s="101"/>
      <c r="B544" s="70"/>
      <c r="C544" s="70"/>
      <c r="D544" s="70"/>
      <c r="E544" s="70"/>
      <c r="F544" s="70"/>
      <c r="G544" s="70"/>
      <c r="H544" s="70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  <c r="AC544" s="70"/>
      <c r="AD544" s="70"/>
      <c r="AE544" s="70"/>
      <c r="AF544" s="70"/>
      <c r="AG544" s="70"/>
      <c r="AH544" s="70"/>
      <c r="AI544" s="70"/>
      <c r="AJ544" s="70"/>
      <c r="AK544" s="70"/>
      <c r="AL544" s="70"/>
    </row>
    <row r="545" spans="1:38" ht="16.5" x14ac:dyDescent="0.25">
      <c r="A545" s="101"/>
      <c r="B545" s="70"/>
      <c r="C545" s="70"/>
      <c r="D545" s="70"/>
      <c r="E545" s="70"/>
      <c r="F545" s="70"/>
      <c r="G545" s="70"/>
      <c r="H545" s="70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  <c r="AC545" s="70"/>
      <c r="AD545" s="70"/>
      <c r="AE545" s="70"/>
      <c r="AF545" s="70"/>
      <c r="AG545" s="70"/>
      <c r="AH545" s="70"/>
      <c r="AI545" s="70"/>
      <c r="AJ545" s="70"/>
      <c r="AK545" s="70"/>
      <c r="AL545" s="70"/>
    </row>
    <row r="546" spans="1:38" ht="16.5" x14ac:dyDescent="0.25">
      <c r="A546" s="101"/>
      <c r="B546" s="70"/>
      <c r="C546" s="70"/>
      <c r="D546" s="70"/>
      <c r="E546" s="70"/>
      <c r="F546" s="70"/>
      <c r="G546" s="70"/>
      <c r="H546" s="70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  <c r="AC546" s="70"/>
      <c r="AD546" s="70"/>
      <c r="AE546" s="70"/>
      <c r="AF546" s="70"/>
      <c r="AG546" s="70"/>
      <c r="AH546" s="70"/>
      <c r="AI546" s="70"/>
      <c r="AJ546" s="70"/>
      <c r="AK546" s="70"/>
      <c r="AL546" s="70"/>
    </row>
    <row r="547" spans="1:38" ht="16.5" x14ac:dyDescent="0.25">
      <c r="A547" s="101"/>
      <c r="B547" s="70"/>
      <c r="C547" s="70"/>
      <c r="D547" s="70"/>
      <c r="E547" s="70"/>
      <c r="F547" s="70"/>
      <c r="G547" s="70"/>
      <c r="H547" s="70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  <c r="AC547" s="70"/>
      <c r="AD547" s="70"/>
      <c r="AE547" s="70"/>
      <c r="AF547" s="70"/>
      <c r="AG547" s="70"/>
      <c r="AH547" s="70"/>
      <c r="AI547" s="70"/>
      <c r="AJ547" s="70"/>
      <c r="AK547" s="70"/>
      <c r="AL547" s="70"/>
    </row>
    <row r="548" spans="1:38" ht="16.5" x14ac:dyDescent="0.25">
      <c r="A548" s="101"/>
      <c r="B548" s="70"/>
      <c r="C548" s="70"/>
      <c r="D548" s="70"/>
      <c r="E548" s="70"/>
      <c r="F548" s="70"/>
      <c r="G548" s="70"/>
      <c r="H548" s="70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  <c r="AC548" s="70"/>
      <c r="AD548" s="70"/>
      <c r="AE548" s="70"/>
      <c r="AF548" s="70"/>
      <c r="AG548" s="70"/>
      <c r="AH548" s="70"/>
      <c r="AI548" s="70"/>
      <c r="AJ548" s="70"/>
      <c r="AK548" s="70"/>
      <c r="AL548" s="70"/>
    </row>
    <row r="549" spans="1:38" ht="16.5" x14ac:dyDescent="0.25">
      <c r="A549" s="101"/>
      <c r="B549" s="70"/>
      <c r="C549" s="70"/>
      <c r="D549" s="70"/>
      <c r="E549" s="70"/>
      <c r="F549" s="70"/>
      <c r="G549" s="70"/>
      <c r="H549" s="70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  <c r="AC549" s="70"/>
      <c r="AD549" s="70"/>
      <c r="AE549" s="70"/>
      <c r="AF549" s="70"/>
      <c r="AG549" s="70"/>
      <c r="AH549" s="70"/>
      <c r="AI549" s="70"/>
      <c r="AJ549" s="70"/>
      <c r="AK549" s="70"/>
      <c r="AL549" s="70"/>
    </row>
    <row r="550" spans="1:38" ht="16.5" x14ac:dyDescent="0.25">
      <c r="A550" s="101"/>
      <c r="B550" s="70"/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  <c r="AC550" s="70"/>
      <c r="AD550" s="70"/>
      <c r="AE550" s="70"/>
      <c r="AF550" s="70"/>
      <c r="AG550" s="70"/>
      <c r="AH550" s="70"/>
      <c r="AI550" s="70"/>
      <c r="AJ550" s="70"/>
      <c r="AK550" s="70"/>
      <c r="AL550" s="70"/>
    </row>
    <row r="551" spans="1:38" ht="16.5" x14ac:dyDescent="0.25">
      <c r="A551" s="101"/>
      <c r="B551" s="70"/>
      <c r="C551" s="70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/>
      <c r="AF551" s="70"/>
      <c r="AG551" s="70"/>
      <c r="AH551" s="70"/>
      <c r="AI551" s="70"/>
      <c r="AJ551" s="70"/>
      <c r="AK551" s="70"/>
      <c r="AL551" s="70"/>
    </row>
    <row r="552" spans="1:38" ht="16.5" x14ac:dyDescent="0.25">
      <c r="A552" s="101"/>
      <c r="B552" s="70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  <c r="AC552" s="70"/>
      <c r="AD552" s="70"/>
      <c r="AE552" s="70"/>
      <c r="AF552" s="70"/>
      <c r="AG552" s="70"/>
      <c r="AH552" s="70"/>
      <c r="AI552" s="70"/>
      <c r="AJ552" s="70"/>
      <c r="AK552" s="70"/>
      <c r="AL552" s="70"/>
    </row>
    <row r="553" spans="1:38" ht="16.5" x14ac:dyDescent="0.25">
      <c r="A553" s="101"/>
      <c r="B553" s="70"/>
      <c r="C553" s="70"/>
      <c r="D553" s="70"/>
      <c r="E553" s="70"/>
      <c r="F553" s="70"/>
      <c r="G553" s="70"/>
      <c r="H553" s="70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  <c r="AC553" s="70"/>
      <c r="AD553" s="70"/>
      <c r="AE553" s="70"/>
      <c r="AF553" s="70"/>
      <c r="AG553" s="70"/>
      <c r="AH553" s="70"/>
      <c r="AI553" s="70"/>
      <c r="AJ553" s="70"/>
      <c r="AK553" s="70"/>
      <c r="AL553" s="70"/>
    </row>
    <row r="554" spans="1:38" ht="16.5" x14ac:dyDescent="0.25">
      <c r="A554" s="101"/>
      <c r="B554" s="70"/>
      <c r="C554" s="70"/>
      <c r="D554" s="70"/>
      <c r="E554" s="70"/>
      <c r="F554" s="70"/>
      <c r="G554" s="70"/>
      <c r="H554" s="70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  <c r="AC554" s="70"/>
      <c r="AD554" s="70"/>
      <c r="AE554" s="70"/>
      <c r="AF554" s="70"/>
      <c r="AG554" s="70"/>
      <c r="AH554" s="70"/>
      <c r="AI554" s="70"/>
      <c r="AJ554" s="70"/>
      <c r="AK554" s="70"/>
      <c r="AL554" s="70"/>
    </row>
    <row r="555" spans="1:38" ht="16.5" x14ac:dyDescent="0.25">
      <c r="A555" s="101"/>
      <c r="B555" s="70"/>
      <c r="C555" s="70"/>
      <c r="D555" s="70"/>
      <c r="E555" s="70"/>
      <c r="F555" s="70"/>
      <c r="G555" s="70"/>
      <c r="H555" s="70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  <c r="AC555" s="70"/>
      <c r="AD555" s="70"/>
      <c r="AE555" s="70"/>
      <c r="AF555" s="70"/>
      <c r="AG555" s="70"/>
      <c r="AH555" s="70"/>
      <c r="AI555" s="70"/>
      <c r="AJ555" s="70"/>
      <c r="AK555" s="70"/>
      <c r="AL555" s="70"/>
    </row>
    <row r="556" spans="1:38" ht="16.5" x14ac:dyDescent="0.25">
      <c r="A556" s="101"/>
      <c r="B556" s="70"/>
      <c r="C556" s="70"/>
      <c r="D556" s="70"/>
      <c r="E556" s="70"/>
      <c r="F556" s="70"/>
      <c r="G556" s="70"/>
      <c r="H556" s="70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  <c r="AC556" s="70"/>
      <c r="AD556" s="70"/>
      <c r="AE556" s="70"/>
      <c r="AF556" s="70"/>
      <c r="AG556" s="70"/>
      <c r="AH556" s="70"/>
      <c r="AI556" s="70"/>
      <c r="AJ556" s="70"/>
      <c r="AK556" s="70"/>
      <c r="AL556" s="70"/>
    </row>
    <row r="557" spans="1:38" ht="16.5" x14ac:dyDescent="0.25">
      <c r="A557" s="101"/>
      <c r="B557" s="70"/>
      <c r="C557" s="70"/>
      <c r="D557" s="70"/>
      <c r="E557" s="70"/>
      <c r="F557" s="70"/>
      <c r="G557" s="70"/>
      <c r="H557" s="70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  <c r="AC557" s="70"/>
      <c r="AD557" s="70"/>
      <c r="AE557" s="70"/>
      <c r="AF557" s="70"/>
      <c r="AG557" s="70"/>
      <c r="AH557" s="70"/>
      <c r="AI557" s="70"/>
      <c r="AJ557" s="70"/>
      <c r="AK557" s="70"/>
      <c r="AL557" s="70"/>
    </row>
    <row r="558" spans="1:38" ht="16.5" x14ac:dyDescent="0.25">
      <c r="A558" s="101"/>
      <c r="B558" s="70"/>
      <c r="C558" s="70"/>
      <c r="D558" s="70"/>
      <c r="E558" s="70"/>
      <c r="F558" s="70"/>
      <c r="G558" s="70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  <c r="AC558" s="70"/>
      <c r="AD558" s="70"/>
      <c r="AE558" s="70"/>
      <c r="AF558" s="70"/>
      <c r="AG558" s="70"/>
      <c r="AH558" s="70"/>
      <c r="AI558" s="70"/>
      <c r="AJ558" s="70"/>
      <c r="AK558" s="70"/>
      <c r="AL558" s="70"/>
    </row>
    <row r="559" spans="1:38" ht="16.5" x14ac:dyDescent="0.25">
      <c r="A559" s="101"/>
      <c r="B559" s="70"/>
      <c r="C559" s="70"/>
      <c r="D559" s="70"/>
      <c r="E559" s="70"/>
      <c r="F559" s="70"/>
      <c r="G559" s="70"/>
      <c r="H559" s="70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  <c r="AC559" s="70"/>
      <c r="AD559" s="70"/>
      <c r="AE559" s="70"/>
      <c r="AF559" s="70"/>
      <c r="AG559" s="70"/>
      <c r="AH559" s="70"/>
      <c r="AI559" s="70"/>
      <c r="AJ559" s="70"/>
      <c r="AK559" s="70"/>
      <c r="AL559" s="70"/>
    </row>
    <row r="560" spans="1:38" ht="16.5" x14ac:dyDescent="0.25">
      <c r="A560" s="101"/>
      <c r="B560" s="70"/>
      <c r="C560" s="70"/>
      <c r="D560" s="70"/>
      <c r="E560" s="70"/>
      <c r="F560" s="70"/>
      <c r="G560" s="70"/>
      <c r="H560" s="70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  <c r="AC560" s="70"/>
      <c r="AD560" s="70"/>
      <c r="AE560" s="70"/>
      <c r="AF560" s="70"/>
      <c r="AG560" s="70"/>
      <c r="AH560" s="70"/>
      <c r="AI560" s="70"/>
      <c r="AJ560" s="70"/>
      <c r="AK560" s="70"/>
      <c r="AL560" s="70"/>
    </row>
    <row r="561" spans="1:38" ht="16.5" x14ac:dyDescent="0.25">
      <c r="A561" s="101"/>
      <c r="B561" s="70"/>
      <c r="C561" s="70"/>
      <c r="D561" s="70"/>
      <c r="E561" s="70"/>
      <c r="F561" s="70"/>
      <c r="G561" s="70"/>
      <c r="H561" s="70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  <c r="AC561" s="70"/>
      <c r="AD561" s="70"/>
      <c r="AE561" s="70"/>
      <c r="AF561" s="70"/>
      <c r="AG561" s="70"/>
      <c r="AH561" s="70"/>
      <c r="AI561" s="70"/>
      <c r="AJ561" s="70"/>
      <c r="AK561" s="70"/>
      <c r="AL561" s="70"/>
    </row>
    <row r="562" spans="1:38" ht="16.5" x14ac:dyDescent="0.25">
      <c r="A562" s="101"/>
      <c r="B562" s="70"/>
      <c r="C562" s="70"/>
      <c r="D562" s="70"/>
      <c r="E562" s="70"/>
      <c r="F562" s="70"/>
      <c r="G562" s="70"/>
      <c r="H562" s="70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  <c r="AC562" s="70"/>
      <c r="AD562" s="70"/>
      <c r="AE562" s="70"/>
      <c r="AF562" s="70"/>
      <c r="AG562" s="70"/>
      <c r="AH562" s="70"/>
      <c r="AI562" s="70"/>
      <c r="AJ562" s="70"/>
      <c r="AK562" s="70"/>
      <c r="AL562" s="70"/>
    </row>
    <row r="563" spans="1:38" ht="16.5" x14ac:dyDescent="0.25">
      <c r="A563" s="101"/>
      <c r="B563" s="70"/>
      <c r="C563" s="70"/>
      <c r="D563" s="70"/>
      <c r="E563" s="70"/>
      <c r="F563" s="70"/>
      <c r="G563" s="70"/>
      <c r="H563" s="70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  <c r="AC563" s="70"/>
      <c r="AD563" s="70"/>
      <c r="AE563" s="70"/>
      <c r="AF563" s="70"/>
      <c r="AG563" s="70"/>
      <c r="AH563" s="70"/>
      <c r="AI563" s="70"/>
      <c r="AJ563" s="70"/>
      <c r="AK563" s="70"/>
      <c r="AL563" s="70"/>
    </row>
    <row r="564" spans="1:38" ht="16.5" x14ac:dyDescent="0.25">
      <c r="A564" s="101"/>
      <c r="B564" s="70"/>
      <c r="C564" s="70"/>
      <c r="D564" s="70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  <c r="AC564" s="70"/>
      <c r="AD564" s="70"/>
      <c r="AE564" s="70"/>
      <c r="AF564" s="70"/>
      <c r="AG564" s="70"/>
      <c r="AH564" s="70"/>
      <c r="AI564" s="70"/>
      <c r="AJ564" s="70"/>
      <c r="AK564" s="70"/>
      <c r="AL564" s="70"/>
    </row>
    <row r="565" spans="1:38" ht="16.5" x14ac:dyDescent="0.25">
      <c r="A565" s="101"/>
      <c r="B565" s="70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  <c r="AC565" s="70"/>
      <c r="AD565" s="70"/>
      <c r="AE565" s="70"/>
      <c r="AF565" s="70"/>
      <c r="AG565" s="70"/>
      <c r="AH565" s="70"/>
      <c r="AI565" s="70"/>
      <c r="AJ565" s="70"/>
      <c r="AK565" s="70"/>
      <c r="AL565" s="70"/>
    </row>
    <row r="566" spans="1:38" ht="16.5" x14ac:dyDescent="0.25">
      <c r="A566" s="101"/>
      <c r="B566" s="70"/>
      <c r="C566" s="70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  <c r="AC566" s="70"/>
      <c r="AD566" s="70"/>
      <c r="AE566" s="70"/>
      <c r="AF566" s="70"/>
      <c r="AG566" s="70"/>
      <c r="AH566" s="70"/>
      <c r="AI566" s="70"/>
      <c r="AJ566" s="70"/>
      <c r="AK566" s="70"/>
      <c r="AL566" s="70"/>
    </row>
    <row r="567" spans="1:38" ht="16.5" x14ac:dyDescent="0.25">
      <c r="A567" s="101"/>
      <c r="B567" s="70"/>
      <c r="C567" s="70"/>
      <c r="D567" s="70"/>
      <c r="E567" s="70"/>
      <c r="F567" s="70"/>
      <c r="G567" s="70"/>
      <c r="H567" s="70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  <c r="AC567" s="70"/>
      <c r="AD567" s="70"/>
      <c r="AE567" s="70"/>
      <c r="AF567" s="70"/>
      <c r="AG567" s="70"/>
      <c r="AH567" s="70"/>
      <c r="AI567" s="70"/>
      <c r="AJ567" s="70"/>
      <c r="AK567" s="70"/>
      <c r="AL567" s="70"/>
    </row>
    <row r="568" spans="1:38" ht="16.5" x14ac:dyDescent="0.25">
      <c r="A568" s="101"/>
      <c r="B568" s="70"/>
      <c r="C568" s="70"/>
      <c r="D568" s="70"/>
      <c r="E568" s="70"/>
      <c r="F568" s="70"/>
      <c r="G568" s="70"/>
      <c r="H568" s="70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  <c r="AC568" s="70"/>
      <c r="AD568" s="70"/>
      <c r="AE568" s="70"/>
      <c r="AF568" s="70"/>
      <c r="AG568" s="70"/>
      <c r="AH568" s="70"/>
      <c r="AI568" s="70"/>
      <c r="AJ568" s="70"/>
      <c r="AK568" s="70"/>
      <c r="AL568" s="70"/>
    </row>
    <row r="569" spans="1:38" ht="16.5" x14ac:dyDescent="0.25">
      <c r="A569" s="101"/>
      <c r="B569" s="70"/>
      <c r="C569" s="70"/>
      <c r="D569" s="70"/>
      <c r="E569" s="70"/>
      <c r="F569" s="70"/>
      <c r="G569" s="70"/>
      <c r="H569" s="70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  <c r="AC569" s="70"/>
      <c r="AD569" s="70"/>
      <c r="AE569" s="70"/>
      <c r="AF569" s="70"/>
      <c r="AG569" s="70"/>
      <c r="AH569" s="70"/>
      <c r="AI569" s="70"/>
      <c r="AJ569" s="70"/>
      <c r="AK569" s="70"/>
      <c r="AL569" s="70"/>
    </row>
    <row r="570" spans="1:38" ht="16.5" x14ac:dyDescent="0.25">
      <c r="A570" s="101"/>
      <c r="B570" s="70"/>
      <c r="C570" s="70"/>
      <c r="D570" s="70"/>
      <c r="E570" s="70"/>
      <c r="F570" s="70"/>
      <c r="G570" s="70"/>
      <c r="H570" s="70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  <c r="AC570" s="70"/>
      <c r="AD570" s="70"/>
      <c r="AE570" s="70"/>
      <c r="AF570" s="70"/>
      <c r="AG570" s="70"/>
      <c r="AH570" s="70"/>
      <c r="AI570" s="70"/>
      <c r="AJ570" s="70"/>
      <c r="AK570" s="70"/>
      <c r="AL570" s="70"/>
    </row>
    <row r="571" spans="1:38" ht="16.5" x14ac:dyDescent="0.25">
      <c r="A571" s="101"/>
      <c r="B571" s="70"/>
      <c r="C571" s="70"/>
      <c r="D571" s="70"/>
      <c r="E571" s="70"/>
      <c r="F571" s="70"/>
      <c r="G571" s="70"/>
      <c r="H571" s="70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  <c r="AC571" s="70"/>
      <c r="AD571" s="70"/>
      <c r="AE571" s="70"/>
      <c r="AF571" s="70"/>
      <c r="AG571" s="70"/>
      <c r="AH571" s="70"/>
      <c r="AI571" s="70"/>
      <c r="AJ571" s="70"/>
      <c r="AK571" s="70"/>
      <c r="AL571" s="70"/>
    </row>
    <row r="572" spans="1:38" ht="16.5" x14ac:dyDescent="0.25">
      <c r="A572" s="101"/>
      <c r="B572" s="70"/>
      <c r="C572" s="70"/>
      <c r="D572" s="70"/>
      <c r="E572" s="70"/>
      <c r="F572" s="70"/>
      <c r="G572" s="70"/>
      <c r="H572" s="70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</row>
    <row r="573" spans="1:38" ht="16.5" x14ac:dyDescent="0.25">
      <c r="A573" s="101"/>
      <c r="B573" s="70"/>
      <c r="C573" s="70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</row>
    <row r="574" spans="1:38" ht="16.5" x14ac:dyDescent="0.25">
      <c r="A574" s="101"/>
      <c r="B574" s="70"/>
      <c r="C574" s="70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</row>
    <row r="575" spans="1:38" ht="16.5" x14ac:dyDescent="0.25">
      <c r="A575" s="101"/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  <c r="AC575" s="70"/>
      <c r="AD575" s="70"/>
      <c r="AE575" s="70"/>
      <c r="AF575" s="70"/>
      <c r="AG575" s="70"/>
      <c r="AH575" s="70"/>
      <c r="AI575" s="70"/>
      <c r="AJ575" s="70"/>
      <c r="AK575" s="70"/>
      <c r="AL575" s="70"/>
    </row>
    <row r="576" spans="1:38" ht="16.5" x14ac:dyDescent="0.25">
      <c r="A576" s="101"/>
      <c r="B576" s="70"/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  <c r="AC576" s="70"/>
      <c r="AD576" s="70"/>
      <c r="AE576" s="70"/>
      <c r="AF576" s="70"/>
      <c r="AG576" s="70"/>
      <c r="AH576" s="70"/>
      <c r="AI576" s="70"/>
      <c r="AJ576" s="70"/>
      <c r="AK576" s="70"/>
      <c r="AL576" s="70"/>
    </row>
    <row r="577" spans="1:38" ht="16.5" x14ac:dyDescent="0.25">
      <c r="A577" s="101"/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  <c r="AC577" s="70"/>
      <c r="AD577" s="70"/>
      <c r="AE577" s="70"/>
      <c r="AF577" s="70"/>
      <c r="AG577" s="70"/>
      <c r="AH577" s="70"/>
      <c r="AI577" s="70"/>
      <c r="AJ577" s="70"/>
      <c r="AK577" s="70"/>
      <c r="AL577" s="70"/>
    </row>
    <row r="578" spans="1:38" ht="16.5" x14ac:dyDescent="0.25">
      <c r="A578" s="101"/>
      <c r="B578" s="70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  <c r="AC578" s="70"/>
      <c r="AD578" s="70"/>
      <c r="AE578" s="70"/>
      <c r="AF578" s="70"/>
      <c r="AG578" s="70"/>
      <c r="AH578" s="70"/>
      <c r="AI578" s="70"/>
      <c r="AJ578" s="70"/>
      <c r="AK578" s="70"/>
      <c r="AL578" s="70"/>
    </row>
    <row r="579" spans="1:38" ht="16.5" x14ac:dyDescent="0.25">
      <c r="A579" s="101"/>
      <c r="B579" s="70"/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  <c r="AC579" s="70"/>
      <c r="AD579" s="70"/>
      <c r="AE579" s="70"/>
      <c r="AF579" s="70"/>
      <c r="AG579" s="70"/>
      <c r="AH579" s="70"/>
      <c r="AI579" s="70"/>
      <c r="AJ579" s="70"/>
      <c r="AK579" s="70"/>
      <c r="AL579" s="70"/>
    </row>
    <row r="580" spans="1:38" ht="16.5" x14ac:dyDescent="0.25">
      <c r="A580" s="101"/>
      <c r="B580" s="70"/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  <c r="AC580" s="70"/>
      <c r="AD580" s="70"/>
      <c r="AE580" s="70"/>
      <c r="AF580" s="70"/>
      <c r="AG580" s="70"/>
      <c r="AH580" s="70"/>
      <c r="AI580" s="70"/>
      <c r="AJ580" s="70"/>
      <c r="AK580" s="70"/>
      <c r="AL580" s="70"/>
    </row>
    <row r="581" spans="1:38" ht="16.5" x14ac:dyDescent="0.25">
      <c r="A581" s="101"/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  <c r="AC581" s="70"/>
      <c r="AD581" s="70"/>
      <c r="AE581" s="70"/>
      <c r="AF581" s="70"/>
      <c r="AG581" s="70"/>
      <c r="AH581" s="70"/>
      <c r="AI581" s="70"/>
      <c r="AJ581" s="70"/>
      <c r="AK581" s="70"/>
      <c r="AL581" s="70"/>
    </row>
    <row r="582" spans="1:38" ht="16.5" x14ac:dyDescent="0.25">
      <c r="A582" s="101"/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  <c r="AC582" s="70"/>
      <c r="AD582" s="70"/>
      <c r="AE582" s="70"/>
      <c r="AF582" s="70"/>
      <c r="AG582" s="70"/>
      <c r="AH582" s="70"/>
      <c r="AI582" s="70"/>
      <c r="AJ582" s="70"/>
      <c r="AK582" s="70"/>
      <c r="AL582" s="70"/>
    </row>
    <row r="583" spans="1:38" ht="16.5" x14ac:dyDescent="0.25">
      <c r="A583" s="101"/>
      <c r="B583" s="70"/>
      <c r="C583" s="70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  <c r="AC583" s="70"/>
      <c r="AD583" s="70"/>
      <c r="AE583" s="70"/>
      <c r="AF583" s="70"/>
      <c r="AG583" s="70"/>
      <c r="AH583" s="70"/>
      <c r="AI583" s="70"/>
      <c r="AJ583" s="70"/>
      <c r="AK583" s="70"/>
      <c r="AL583" s="70"/>
    </row>
    <row r="584" spans="1:38" ht="16.5" x14ac:dyDescent="0.25">
      <c r="A584" s="101"/>
      <c r="B584" s="70"/>
      <c r="C584" s="70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  <c r="AC584" s="70"/>
      <c r="AD584" s="70"/>
      <c r="AE584" s="70"/>
      <c r="AF584" s="70"/>
      <c r="AG584" s="70"/>
      <c r="AH584" s="70"/>
      <c r="AI584" s="70"/>
      <c r="AJ584" s="70"/>
      <c r="AK584" s="70"/>
      <c r="AL584" s="70"/>
    </row>
    <row r="585" spans="1:38" ht="16.5" x14ac:dyDescent="0.25">
      <c r="A585" s="101"/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  <c r="AC585" s="70"/>
      <c r="AD585" s="70"/>
      <c r="AE585" s="70"/>
      <c r="AF585" s="70"/>
      <c r="AG585" s="70"/>
      <c r="AH585" s="70"/>
      <c r="AI585" s="70"/>
      <c r="AJ585" s="70"/>
      <c r="AK585" s="70"/>
      <c r="AL585" s="70"/>
    </row>
    <row r="586" spans="1:38" ht="16.5" x14ac:dyDescent="0.25">
      <c r="A586" s="101"/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  <c r="AC586" s="70"/>
      <c r="AD586" s="70"/>
      <c r="AE586" s="70"/>
      <c r="AF586" s="70"/>
      <c r="AG586" s="70"/>
      <c r="AH586" s="70"/>
      <c r="AI586" s="70"/>
      <c r="AJ586" s="70"/>
      <c r="AK586" s="70"/>
      <c r="AL586" s="70"/>
    </row>
    <row r="587" spans="1:38" ht="16.5" x14ac:dyDescent="0.25">
      <c r="A587" s="101"/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  <c r="AC587" s="70"/>
      <c r="AD587" s="70"/>
      <c r="AE587" s="70"/>
      <c r="AF587" s="70"/>
      <c r="AG587" s="70"/>
      <c r="AH587" s="70"/>
      <c r="AI587" s="70"/>
      <c r="AJ587" s="70"/>
      <c r="AK587" s="70"/>
      <c r="AL587" s="70"/>
    </row>
    <row r="588" spans="1:38" ht="16.5" x14ac:dyDescent="0.25">
      <c r="A588" s="101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  <c r="AC588" s="70"/>
      <c r="AD588" s="70"/>
      <c r="AE588" s="70"/>
      <c r="AF588" s="70"/>
      <c r="AG588" s="70"/>
      <c r="AH588" s="70"/>
      <c r="AI588" s="70"/>
      <c r="AJ588" s="70"/>
      <c r="AK588" s="70"/>
      <c r="AL588" s="70"/>
    </row>
    <row r="589" spans="1:38" ht="16.5" x14ac:dyDescent="0.25">
      <c r="A589" s="101"/>
      <c r="B589" s="70"/>
      <c r="C589" s="70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  <c r="AC589" s="70"/>
      <c r="AD589" s="70"/>
      <c r="AE589" s="70"/>
      <c r="AF589" s="70"/>
      <c r="AG589" s="70"/>
      <c r="AH589" s="70"/>
      <c r="AI589" s="70"/>
      <c r="AJ589" s="70"/>
      <c r="AK589" s="70"/>
      <c r="AL589" s="70"/>
    </row>
    <row r="590" spans="1:38" ht="16.5" x14ac:dyDescent="0.25">
      <c r="A590" s="101"/>
      <c r="B590" s="70"/>
      <c r="C590" s="70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  <c r="AC590" s="70"/>
      <c r="AD590" s="70"/>
      <c r="AE590" s="70"/>
      <c r="AF590" s="70"/>
      <c r="AG590" s="70"/>
      <c r="AH590" s="70"/>
      <c r="AI590" s="70"/>
      <c r="AJ590" s="70"/>
      <c r="AK590" s="70"/>
      <c r="AL590" s="70"/>
    </row>
    <row r="591" spans="1:38" ht="16.5" x14ac:dyDescent="0.25">
      <c r="A591" s="101"/>
      <c r="B591" s="70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  <c r="AC591" s="70"/>
      <c r="AD591" s="70"/>
      <c r="AE591" s="70"/>
      <c r="AF591" s="70"/>
      <c r="AG591" s="70"/>
      <c r="AH591" s="70"/>
      <c r="AI591" s="70"/>
      <c r="AJ591" s="70"/>
      <c r="AK591" s="70"/>
      <c r="AL591" s="70"/>
    </row>
    <row r="592" spans="1:38" ht="16.5" x14ac:dyDescent="0.25">
      <c r="A592" s="101"/>
      <c r="B592" s="70"/>
      <c r="C592" s="70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  <c r="AC592" s="70"/>
      <c r="AD592" s="70"/>
      <c r="AE592" s="70"/>
      <c r="AF592" s="70"/>
      <c r="AG592" s="70"/>
      <c r="AH592" s="70"/>
      <c r="AI592" s="70"/>
      <c r="AJ592" s="70"/>
      <c r="AK592" s="70"/>
      <c r="AL592" s="70"/>
    </row>
    <row r="593" spans="1:38" ht="16.5" x14ac:dyDescent="0.25">
      <c r="A593" s="101"/>
      <c r="B593" s="70"/>
      <c r="C593" s="70"/>
      <c r="D593" s="70"/>
      <c r="E593" s="70"/>
      <c r="F593" s="70"/>
      <c r="G593" s="70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  <c r="AC593" s="70"/>
      <c r="AD593" s="70"/>
      <c r="AE593" s="70"/>
      <c r="AF593" s="70"/>
      <c r="AG593" s="70"/>
      <c r="AH593" s="70"/>
      <c r="AI593" s="70"/>
      <c r="AJ593" s="70"/>
      <c r="AK593" s="70"/>
      <c r="AL593" s="70"/>
    </row>
    <row r="594" spans="1:38" ht="16.5" x14ac:dyDescent="0.25">
      <c r="A594" s="101"/>
      <c r="B594" s="70"/>
      <c r="C594" s="70"/>
      <c r="D594" s="70"/>
      <c r="E594" s="70"/>
      <c r="F594" s="70"/>
      <c r="G594" s="70"/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  <c r="AC594" s="70"/>
      <c r="AD594" s="70"/>
      <c r="AE594" s="70"/>
      <c r="AF594" s="70"/>
      <c r="AG594" s="70"/>
      <c r="AH594" s="70"/>
      <c r="AI594" s="70"/>
      <c r="AJ594" s="70"/>
      <c r="AK594" s="70"/>
      <c r="AL594" s="70"/>
    </row>
    <row r="595" spans="1:38" ht="16.5" x14ac:dyDescent="0.25">
      <c r="A595" s="101"/>
      <c r="B595" s="70"/>
      <c r="C595" s="70"/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/>
      <c r="AF595" s="70"/>
      <c r="AG595" s="70"/>
      <c r="AH595" s="70"/>
      <c r="AI595" s="70"/>
      <c r="AJ595" s="70"/>
      <c r="AK595" s="70"/>
      <c r="AL595" s="70"/>
    </row>
    <row r="596" spans="1:38" ht="16.5" x14ac:dyDescent="0.25">
      <c r="A596" s="101"/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  <c r="AC596" s="70"/>
      <c r="AD596" s="70"/>
      <c r="AE596" s="70"/>
      <c r="AF596" s="70"/>
      <c r="AG596" s="70"/>
      <c r="AH596" s="70"/>
      <c r="AI596" s="70"/>
      <c r="AJ596" s="70"/>
      <c r="AK596" s="70"/>
      <c r="AL596" s="70"/>
    </row>
    <row r="597" spans="1:38" ht="16.5" x14ac:dyDescent="0.25">
      <c r="A597" s="101"/>
      <c r="B597" s="70"/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  <c r="AC597" s="70"/>
      <c r="AD597" s="70"/>
      <c r="AE597" s="70"/>
      <c r="AF597" s="70"/>
      <c r="AG597" s="70"/>
      <c r="AH597" s="70"/>
      <c r="AI597" s="70"/>
      <c r="AJ597" s="70"/>
      <c r="AK597" s="70"/>
      <c r="AL597" s="70"/>
    </row>
    <row r="598" spans="1:38" ht="16.5" x14ac:dyDescent="0.25">
      <c r="A598" s="101"/>
      <c r="B598" s="70"/>
      <c r="C598" s="70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  <c r="AC598" s="70"/>
      <c r="AD598" s="70"/>
      <c r="AE598" s="70"/>
      <c r="AF598" s="70"/>
      <c r="AG598" s="70"/>
      <c r="AH598" s="70"/>
      <c r="AI598" s="70"/>
      <c r="AJ598" s="70"/>
      <c r="AK598" s="70"/>
      <c r="AL598" s="70"/>
    </row>
    <row r="599" spans="1:38" ht="16.5" x14ac:dyDescent="0.25">
      <c r="A599" s="101"/>
      <c r="B599" s="70"/>
      <c r="C599" s="70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  <c r="AC599" s="70"/>
      <c r="AD599" s="70"/>
      <c r="AE599" s="70"/>
      <c r="AF599" s="70"/>
      <c r="AG599" s="70"/>
      <c r="AH599" s="70"/>
      <c r="AI599" s="70"/>
      <c r="AJ599" s="70"/>
      <c r="AK599" s="70"/>
      <c r="AL599" s="70"/>
    </row>
    <row r="600" spans="1:38" ht="16.5" x14ac:dyDescent="0.25">
      <c r="A600" s="101"/>
      <c r="B600" s="70"/>
      <c r="C600" s="70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  <c r="AC600" s="70"/>
      <c r="AD600" s="70"/>
      <c r="AE600" s="70"/>
      <c r="AF600" s="70"/>
      <c r="AG600" s="70"/>
      <c r="AH600" s="70"/>
      <c r="AI600" s="70"/>
      <c r="AJ600" s="70"/>
      <c r="AK600" s="70"/>
      <c r="AL600" s="70"/>
    </row>
    <row r="601" spans="1:38" ht="16.5" x14ac:dyDescent="0.25">
      <c r="A601" s="101"/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</row>
    <row r="602" spans="1:38" ht="16.5" x14ac:dyDescent="0.25">
      <c r="A602" s="101"/>
      <c r="B602" s="70"/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</row>
    <row r="603" spans="1:38" ht="16.5" x14ac:dyDescent="0.25">
      <c r="A603" s="101"/>
      <c r="B603" s="70"/>
      <c r="C603" s="70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</row>
    <row r="604" spans="1:38" ht="16.5" x14ac:dyDescent="0.25">
      <c r="A604" s="101"/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  <c r="AC604" s="70"/>
      <c r="AD604" s="70"/>
      <c r="AE604" s="70"/>
      <c r="AF604" s="70"/>
      <c r="AG604" s="70"/>
      <c r="AH604" s="70"/>
      <c r="AI604" s="70"/>
      <c r="AJ604" s="70"/>
      <c r="AK604" s="70"/>
      <c r="AL604" s="70"/>
    </row>
    <row r="605" spans="1:38" ht="16.5" x14ac:dyDescent="0.25">
      <c r="A605" s="101"/>
      <c r="B605" s="70"/>
      <c r="C605" s="70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  <c r="AC605" s="70"/>
      <c r="AD605" s="70"/>
      <c r="AE605" s="70"/>
      <c r="AF605" s="70"/>
      <c r="AG605" s="70"/>
      <c r="AH605" s="70"/>
      <c r="AI605" s="70"/>
      <c r="AJ605" s="70"/>
      <c r="AK605" s="70"/>
      <c r="AL605" s="70"/>
    </row>
    <row r="606" spans="1:38" ht="16.5" x14ac:dyDescent="0.25">
      <c r="A606" s="101"/>
      <c r="B606" s="70"/>
      <c r="C606" s="70"/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  <c r="AC606" s="70"/>
      <c r="AD606" s="70"/>
      <c r="AE606" s="70"/>
      <c r="AF606" s="70"/>
      <c r="AG606" s="70"/>
      <c r="AH606" s="70"/>
      <c r="AI606" s="70"/>
      <c r="AJ606" s="70"/>
      <c r="AK606" s="70"/>
      <c r="AL606" s="70"/>
    </row>
    <row r="607" spans="1:38" ht="16.5" x14ac:dyDescent="0.25">
      <c r="A607" s="101"/>
      <c r="B607" s="70"/>
      <c r="C607" s="70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  <c r="AC607" s="70"/>
      <c r="AD607" s="70"/>
      <c r="AE607" s="70"/>
      <c r="AF607" s="70"/>
      <c r="AG607" s="70"/>
      <c r="AH607" s="70"/>
      <c r="AI607" s="70"/>
      <c r="AJ607" s="70"/>
      <c r="AK607" s="70"/>
      <c r="AL607" s="70"/>
    </row>
    <row r="608" spans="1:38" ht="16.5" x14ac:dyDescent="0.25">
      <c r="A608" s="101"/>
      <c r="B608" s="70"/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  <c r="AC608" s="70"/>
      <c r="AD608" s="70"/>
      <c r="AE608" s="70"/>
      <c r="AF608" s="70"/>
      <c r="AG608" s="70"/>
      <c r="AH608" s="70"/>
      <c r="AI608" s="70"/>
      <c r="AJ608" s="70"/>
      <c r="AK608" s="70"/>
      <c r="AL608" s="70"/>
    </row>
    <row r="609" spans="1:38" ht="16.5" x14ac:dyDescent="0.25">
      <c r="A609" s="101"/>
      <c r="B609" s="70"/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  <c r="AC609" s="70"/>
      <c r="AD609" s="70"/>
      <c r="AE609" s="70"/>
      <c r="AF609" s="70"/>
      <c r="AG609" s="70"/>
      <c r="AH609" s="70"/>
      <c r="AI609" s="70"/>
      <c r="AJ609" s="70"/>
      <c r="AK609" s="70"/>
      <c r="AL609" s="70"/>
    </row>
    <row r="610" spans="1:38" ht="16.5" x14ac:dyDescent="0.25">
      <c r="A610" s="101"/>
      <c r="B610" s="70"/>
      <c r="C610" s="70"/>
      <c r="D610" s="70"/>
      <c r="E610" s="70"/>
      <c r="F610" s="70"/>
      <c r="G610" s="70"/>
      <c r="H610" s="70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  <c r="AC610" s="70"/>
      <c r="AD610" s="70"/>
      <c r="AE610" s="70"/>
      <c r="AF610" s="70"/>
      <c r="AG610" s="70"/>
      <c r="AH610" s="70"/>
      <c r="AI610" s="70"/>
      <c r="AJ610" s="70"/>
      <c r="AK610" s="70"/>
      <c r="AL610" s="70"/>
    </row>
    <row r="611" spans="1:38" ht="16.5" x14ac:dyDescent="0.25">
      <c r="A611" s="101"/>
      <c r="B611" s="70"/>
      <c r="C611" s="70"/>
      <c r="D611" s="70"/>
      <c r="E611" s="70"/>
      <c r="F611" s="70"/>
      <c r="G611" s="70"/>
      <c r="H611" s="70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  <c r="AC611" s="70"/>
      <c r="AD611" s="70"/>
      <c r="AE611" s="70"/>
      <c r="AF611" s="70"/>
      <c r="AG611" s="70"/>
      <c r="AH611" s="70"/>
      <c r="AI611" s="70"/>
      <c r="AJ611" s="70"/>
      <c r="AK611" s="70"/>
      <c r="AL611" s="70"/>
    </row>
    <row r="612" spans="1:38" ht="16.5" x14ac:dyDescent="0.25">
      <c r="A612" s="101"/>
      <c r="B612" s="70"/>
      <c r="C612" s="70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  <c r="AC612" s="70"/>
      <c r="AD612" s="70"/>
      <c r="AE612" s="70"/>
      <c r="AF612" s="70"/>
      <c r="AG612" s="70"/>
      <c r="AH612" s="70"/>
      <c r="AI612" s="70"/>
      <c r="AJ612" s="70"/>
      <c r="AK612" s="70"/>
      <c r="AL612" s="70"/>
    </row>
    <row r="613" spans="1:38" ht="16.5" x14ac:dyDescent="0.25">
      <c r="A613" s="101"/>
      <c r="B613" s="70"/>
      <c r="C613" s="70"/>
      <c r="D613" s="70"/>
      <c r="E613" s="70"/>
      <c r="F613" s="70"/>
      <c r="G613" s="70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  <c r="AC613" s="70"/>
      <c r="AD613" s="70"/>
      <c r="AE613" s="70"/>
      <c r="AF613" s="70"/>
      <c r="AG613" s="70"/>
      <c r="AH613" s="70"/>
      <c r="AI613" s="70"/>
      <c r="AJ613" s="70"/>
      <c r="AK613" s="70"/>
      <c r="AL613" s="70"/>
    </row>
    <row r="614" spans="1:38" ht="16.5" x14ac:dyDescent="0.25">
      <c r="A614" s="101"/>
      <c r="B614" s="70"/>
      <c r="C614" s="70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  <c r="AC614" s="70"/>
      <c r="AD614" s="70"/>
      <c r="AE614" s="70"/>
      <c r="AF614" s="70"/>
      <c r="AG614" s="70"/>
      <c r="AH614" s="70"/>
      <c r="AI614" s="70"/>
      <c r="AJ614" s="70"/>
      <c r="AK614" s="70"/>
      <c r="AL614" s="70"/>
    </row>
    <row r="615" spans="1:38" ht="16.5" x14ac:dyDescent="0.25">
      <c r="A615" s="101"/>
      <c r="B615" s="70"/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  <c r="AC615" s="70"/>
      <c r="AD615" s="70"/>
      <c r="AE615" s="70"/>
      <c r="AF615" s="70"/>
      <c r="AG615" s="70"/>
      <c r="AH615" s="70"/>
      <c r="AI615" s="70"/>
      <c r="AJ615" s="70"/>
      <c r="AK615" s="70"/>
      <c r="AL615" s="70"/>
    </row>
    <row r="616" spans="1:38" ht="16.5" x14ac:dyDescent="0.25">
      <c r="A616" s="101"/>
      <c r="B616" s="70"/>
      <c r="C616" s="70"/>
      <c r="D616" s="70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  <c r="AC616" s="70"/>
      <c r="AD616" s="70"/>
      <c r="AE616" s="70"/>
      <c r="AF616" s="70"/>
      <c r="AG616" s="70"/>
      <c r="AH616" s="70"/>
      <c r="AI616" s="70"/>
      <c r="AJ616" s="70"/>
      <c r="AK616" s="70"/>
      <c r="AL616" s="70"/>
    </row>
    <row r="617" spans="1:38" ht="16.5" x14ac:dyDescent="0.25">
      <c r="A617" s="101"/>
      <c r="B617" s="70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/>
      <c r="AF617" s="70"/>
      <c r="AG617" s="70"/>
      <c r="AH617" s="70"/>
      <c r="AI617" s="70"/>
      <c r="AJ617" s="70"/>
      <c r="AK617" s="70"/>
      <c r="AL617" s="70"/>
    </row>
    <row r="618" spans="1:38" ht="16.5" x14ac:dyDescent="0.25">
      <c r="A618" s="101"/>
      <c r="B618" s="70"/>
      <c r="C618" s="70"/>
      <c r="D618" s="70"/>
      <c r="E618" s="70"/>
      <c r="F618" s="70"/>
      <c r="G618" s="70"/>
      <c r="H618" s="70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  <c r="AC618" s="70"/>
      <c r="AD618" s="70"/>
      <c r="AE618" s="70"/>
      <c r="AF618" s="70"/>
      <c r="AG618" s="70"/>
      <c r="AH618" s="70"/>
      <c r="AI618" s="70"/>
      <c r="AJ618" s="70"/>
      <c r="AK618" s="70"/>
      <c r="AL618" s="70"/>
    </row>
    <row r="619" spans="1:38" ht="16.5" x14ac:dyDescent="0.25">
      <c r="A619" s="101"/>
      <c r="B619" s="70"/>
      <c r="C619" s="70"/>
      <c r="D619" s="70"/>
      <c r="E619" s="70"/>
      <c r="F619" s="70"/>
      <c r="G619" s="70"/>
      <c r="H619" s="70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  <c r="AC619" s="70"/>
      <c r="AD619" s="70"/>
      <c r="AE619" s="70"/>
      <c r="AF619" s="70"/>
      <c r="AG619" s="70"/>
      <c r="AH619" s="70"/>
      <c r="AI619" s="70"/>
      <c r="AJ619" s="70"/>
      <c r="AK619" s="70"/>
      <c r="AL619" s="70"/>
    </row>
    <row r="620" spans="1:38" ht="16.5" x14ac:dyDescent="0.25">
      <c r="A620" s="101"/>
      <c r="B620" s="70"/>
      <c r="C620" s="70"/>
      <c r="D620" s="70"/>
      <c r="E620" s="70"/>
      <c r="F620" s="70"/>
      <c r="G620" s="70"/>
      <c r="H620" s="70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  <c r="AC620" s="70"/>
      <c r="AD620" s="70"/>
      <c r="AE620" s="70"/>
      <c r="AF620" s="70"/>
      <c r="AG620" s="70"/>
      <c r="AH620" s="70"/>
      <c r="AI620" s="70"/>
      <c r="AJ620" s="70"/>
      <c r="AK620" s="70"/>
      <c r="AL620" s="70"/>
    </row>
    <row r="621" spans="1:38" ht="16.5" x14ac:dyDescent="0.25">
      <c r="A621" s="101"/>
      <c r="B621" s="70"/>
      <c r="C621" s="70"/>
      <c r="D621" s="70"/>
      <c r="E621" s="70"/>
      <c r="F621" s="70"/>
      <c r="G621" s="70"/>
      <c r="H621" s="70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  <c r="AC621" s="70"/>
      <c r="AD621" s="70"/>
      <c r="AE621" s="70"/>
      <c r="AF621" s="70"/>
      <c r="AG621" s="70"/>
      <c r="AH621" s="70"/>
      <c r="AI621" s="70"/>
      <c r="AJ621" s="70"/>
      <c r="AK621" s="70"/>
      <c r="AL621" s="70"/>
    </row>
    <row r="622" spans="1:38" ht="16.5" x14ac:dyDescent="0.25">
      <c r="A622" s="101"/>
      <c r="B622" s="70"/>
      <c r="C622" s="70"/>
      <c r="D622" s="70"/>
      <c r="E622" s="70"/>
      <c r="F622" s="70"/>
      <c r="G622" s="70"/>
      <c r="H622" s="70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  <c r="AC622" s="70"/>
      <c r="AD622" s="70"/>
      <c r="AE622" s="70"/>
      <c r="AF622" s="70"/>
      <c r="AG622" s="70"/>
      <c r="AH622" s="70"/>
      <c r="AI622" s="70"/>
      <c r="AJ622" s="70"/>
      <c r="AK622" s="70"/>
      <c r="AL622" s="70"/>
    </row>
    <row r="623" spans="1:38" ht="16.5" x14ac:dyDescent="0.25">
      <c r="A623" s="101"/>
      <c r="B623" s="70"/>
      <c r="C623" s="70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  <c r="AC623" s="70"/>
      <c r="AD623" s="70"/>
      <c r="AE623" s="70"/>
      <c r="AF623" s="70"/>
      <c r="AG623" s="70"/>
      <c r="AH623" s="70"/>
      <c r="AI623" s="70"/>
      <c r="AJ623" s="70"/>
      <c r="AK623" s="70"/>
      <c r="AL623" s="70"/>
    </row>
    <row r="624" spans="1:38" ht="16.5" x14ac:dyDescent="0.25">
      <c r="A624" s="101"/>
      <c r="B624" s="70"/>
      <c r="C624" s="70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  <c r="AC624" s="70"/>
      <c r="AD624" s="70"/>
      <c r="AE624" s="70"/>
      <c r="AF624" s="70"/>
      <c r="AG624" s="70"/>
      <c r="AH624" s="70"/>
      <c r="AI624" s="70"/>
      <c r="AJ624" s="70"/>
      <c r="AK624" s="70"/>
      <c r="AL624" s="70"/>
    </row>
    <row r="625" spans="1:38" ht="16.5" x14ac:dyDescent="0.25">
      <c r="A625" s="101"/>
      <c r="B625" s="70"/>
      <c r="C625" s="70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  <c r="AC625" s="70"/>
      <c r="AD625" s="70"/>
      <c r="AE625" s="70"/>
      <c r="AF625" s="70"/>
      <c r="AG625" s="70"/>
      <c r="AH625" s="70"/>
      <c r="AI625" s="70"/>
      <c r="AJ625" s="70"/>
      <c r="AK625" s="70"/>
      <c r="AL625" s="70"/>
    </row>
    <row r="626" spans="1:38" ht="16.5" x14ac:dyDescent="0.25">
      <c r="A626" s="101"/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  <c r="AC626" s="70"/>
      <c r="AD626" s="70"/>
      <c r="AE626" s="70"/>
      <c r="AF626" s="70"/>
      <c r="AG626" s="70"/>
      <c r="AH626" s="70"/>
      <c r="AI626" s="70"/>
      <c r="AJ626" s="70"/>
      <c r="AK626" s="70"/>
      <c r="AL626" s="70"/>
    </row>
    <row r="627" spans="1:38" ht="16.5" x14ac:dyDescent="0.25">
      <c r="A627" s="101"/>
      <c r="B627" s="70"/>
      <c r="C627" s="70"/>
      <c r="D627" s="70"/>
      <c r="E627" s="70"/>
      <c r="F627" s="70"/>
      <c r="G627" s="70"/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  <c r="AC627" s="70"/>
      <c r="AD627" s="70"/>
      <c r="AE627" s="70"/>
      <c r="AF627" s="70"/>
      <c r="AG627" s="70"/>
      <c r="AH627" s="70"/>
      <c r="AI627" s="70"/>
      <c r="AJ627" s="70"/>
      <c r="AK627" s="70"/>
      <c r="AL627" s="70"/>
    </row>
    <row r="628" spans="1:38" ht="16.5" x14ac:dyDescent="0.25">
      <c r="A628" s="101"/>
      <c r="B628" s="70"/>
      <c r="C628" s="70"/>
      <c r="D628" s="70"/>
      <c r="E628" s="70"/>
      <c r="F628" s="70"/>
      <c r="G628" s="70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  <c r="AC628" s="70"/>
      <c r="AD628" s="70"/>
      <c r="AE628" s="70"/>
      <c r="AF628" s="70"/>
      <c r="AG628" s="70"/>
      <c r="AH628" s="70"/>
      <c r="AI628" s="70"/>
      <c r="AJ628" s="70"/>
      <c r="AK628" s="70"/>
      <c r="AL628" s="70"/>
    </row>
    <row r="629" spans="1:38" ht="16.5" x14ac:dyDescent="0.25">
      <c r="A629" s="101"/>
      <c r="B629" s="70"/>
      <c r="C629" s="70"/>
      <c r="D629" s="70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  <c r="AC629" s="70"/>
      <c r="AD629" s="70"/>
      <c r="AE629" s="70"/>
      <c r="AF629" s="70"/>
      <c r="AG629" s="70"/>
      <c r="AH629" s="70"/>
      <c r="AI629" s="70"/>
      <c r="AJ629" s="70"/>
      <c r="AK629" s="70"/>
      <c r="AL629" s="70"/>
    </row>
    <row r="630" spans="1:38" ht="16.5" x14ac:dyDescent="0.25">
      <c r="A630" s="101"/>
      <c r="B630" s="70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  <c r="AC630" s="70"/>
      <c r="AD630" s="70"/>
      <c r="AE630" s="70"/>
      <c r="AF630" s="70"/>
      <c r="AG630" s="70"/>
      <c r="AH630" s="70"/>
      <c r="AI630" s="70"/>
      <c r="AJ630" s="70"/>
      <c r="AK630" s="70"/>
      <c r="AL630" s="70"/>
    </row>
    <row r="631" spans="1:38" ht="16.5" x14ac:dyDescent="0.25">
      <c r="A631" s="101"/>
      <c r="B631" s="70"/>
      <c r="C631" s="70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  <c r="AC631" s="70"/>
      <c r="AD631" s="70"/>
      <c r="AE631" s="70"/>
      <c r="AF631" s="70"/>
      <c r="AG631" s="70"/>
      <c r="AH631" s="70"/>
      <c r="AI631" s="70"/>
      <c r="AJ631" s="70"/>
      <c r="AK631" s="70"/>
      <c r="AL631" s="70"/>
    </row>
    <row r="632" spans="1:38" ht="16.5" x14ac:dyDescent="0.25">
      <c r="A632" s="101"/>
      <c r="B632" s="70"/>
      <c r="C632" s="70"/>
      <c r="D632" s="70"/>
      <c r="E632" s="70"/>
      <c r="F632" s="70"/>
      <c r="G632" s="70"/>
      <c r="H632" s="70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  <c r="AC632" s="70"/>
      <c r="AD632" s="70"/>
      <c r="AE632" s="70"/>
      <c r="AF632" s="70"/>
      <c r="AG632" s="70"/>
      <c r="AH632" s="70"/>
      <c r="AI632" s="70"/>
      <c r="AJ632" s="70"/>
      <c r="AK632" s="70"/>
      <c r="AL632" s="70"/>
    </row>
    <row r="633" spans="1:38" ht="16.5" x14ac:dyDescent="0.25">
      <c r="A633" s="101"/>
      <c r="B633" s="70"/>
      <c r="C633" s="70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  <c r="AC633" s="70"/>
      <c r="AD633" s="70"/>
      <c r="AE633" s="70"/>
      <c r="AF633" s="70"/>
      <c r="AG633" s="70"/>
      <c r="AH633" s="70"/>
      <c r="AI633" s="70"/>
      <c r="AJ633" s="70"/>
      <c r="AK633" s="70"/>
      <c r="AL633" s="70"/>
    </row>
    <row r="634" spans="1:38" ht="16.5" x14ac:dyDescent="0.25">
      <c r="A634" s="101"/>
      <c r="B634" s="70"/>
      <c r="C634" s="70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  <c r="AC634" s="70"/>
      <c r="AD634" s="70"/>
      <c r="AE634" s="70"/>
      <c r="AF634" s="70"/>
      <c r="AG634" s="70"/>
      <c r="AH634" s="70"/>
      <c r="AI634" s="70"/>
      <c r="AJ634" s="70"/>
      <c r="AK634" s="70"/>
      <c r="AL634" s="70"/>
    </row>
    <row r="635" spans="1:38" ht="16.5" x14ac:dyDescent="0.25">
      <c r="A635" s="101"/>
      <c r="B635" s="70"/>
      <c r="C635" s="70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  <c r="AC635" s="70"/>
      <c r="AD635" s="70"/>
      <c r="AE635" s="70"/>
      <c r="AF635" s="70"/>
      <c r="AG635" s="70"/>
      <c r="AH635" s="70"/>
      <c r="AI635" s="70"/>
      <c r="AJ635" s="70"/>
      <c r="AK635" s="70"/>
      <c r="AL635" s="70"/>
    </row>
    <row r="636" spans="1:38" ht="16.5" x14ac:dyDescent="0.25">
      <c r="A636" s="101"/>
      <c r="B636" s="70"/>
      <c r="C636" s="70"/>
      <c r="D636" s="70"/>
      <c r="E636" s="70"/>
      <c r="F636" s="70"/>
      <c r="G636" s="70"/>
      <c r="H636" s="70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  <c r="AC636" s="70"/>
      <c r="AD636" s="70"/>
      <c r="AE636" s="70"/>
      <c r="AF636" s="70"/>
      <c r="AG636" s="70"/>
      <c r="AH636" s="70"/>
      <c r="AI636" s="70"/>
      <c r="AJ636" s="70"/>
      <c r="AK636" s="70"/>
      <c r="AL636" s="70"/>
    </row>
    <row r="637" spans="1:38" ht="16.5" x14ac:dyDescent="0.25">
      <c r="A637" s="101"/>
      <c r="B637" s="70"/>
      <c r="C637" s="70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  <c r="AC637" s="70"/>
      <c r="AD637" s="70"/>
      <c r="AE637" s="70"/>
      <c r="AF637" s="70"/>
      <c r="AG637" s="70"/>
      <c r="AH637" s="70"/>
      <c r="AI637" s="70"/>
      <c r="AJ637" s="70"/>
      <c r="AK637" s="70"/>
      <c r="AL637" s="70"/>
    </row>
    <row r="638" spans="1:38" ht="16.5" x14ac:dyDescent="0.25">
      <c r="A638" s="101"/>
      <c r="B638" s="70"/>
      <c r="C638" s="70"/>
      <c r="D638" s="70"/>
      <c r="E638" s="70"/>
      <c r="F638" s="70"/>
      <c r="G638" s="70"/>
      <c r="H638" s="70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  <c r="AC638" s="70"/>
      <c r="AD638" s="70"/>
      <c r="AE638" s="70"/>
      <c r="AF638" s="70"/>
      <c r="AG638" s="70"/>
      <c r="AH638" s="70"/>
      <c r="AI638" s="70"/>
      <c r="AJ638" s="70"/>
      <c r="AK638" s="70"/>
      <c r="AL638" s="70"/>
    </row>
    <row r="639" spans="1:38" ht="16.5" x14ac:dyDescent="0.25">
      <c r="A639" s="101"/>
      <c r="B639" s="70"/>
      <c r="C639" s="70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  <c r="AC639" s="70"/>
      <c r="AD639" s="70"/>
      <c r="AE639" s="70"/>
      <c r="AF639" s="70"/>
      <c r="AG639" s="70"/>
      <c r="AH639" s="70"/>
      <c r="AI639" s="70"/>
      <c r="AJ639" s="70"/>
      <c r="AK639" s="70"/>
      <c r="AL639" s="70"/>
    </row>
    <row r="640" spans="1:38" ht="16.5" x14ac:dyDescent="0.25">
      <c r="A640" s="101"/>
      <c r="B640" s="70"/>
      <c r="C640" s="70"/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  <c r="AC640" s="70"/>
      <c r="AD640" s="70"/>
      <c r="AE640" s="70"/>
      <c r="AF640" s="70"/>
      <c r="AG640" s="70"/>
      <c r="AH640" s="70"/>
      <c r="AI640" s="70"/>
      <c r="AJ640" s="70"/>
      <c r="AK640" s="70"/>
      <c r="AL640" s="70"/>
    </row>
    <row r="641" spans="1:38" ht="16.5" x14ac:dyDescent="0.25">
      <c r="A641" s="101"/>
      <c r="B641" s="70"/>
      <c r="C641" s="70"/>
      <c r="D641" s="70"/>
      <c r="E641" s="70"/>
      <c r="F641" s="70"/>
      <c r="G641" s="70"/>
      <c r="H641" s="70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  <c r="AC641" s="70"/>
      <c r="AD641" s="70"/>
      <c r="AE641" s="70"/>
      <c r="AF641" s="70"/>
      <c r="AG641" s="70"/>
      <c r="AH641" s="70"/>
      <c r="AI641" s="70"/>
      <c r="AJ641" s="70"/>
      <c r="AK641" s="70"/>
      <c r="AL641" s="70"/>
    </row>
    <row r="642" spans="1:38" ht="16.5" x14ac:dyDescent="0.25">
      <c r="A642" s="101"/>
      <c r="B642" s="70"/>
      <c r="C642" s="70"/>
      <c r="D642" s="70"/>
      <c r="E642" s="70"/>
      <c r="F642" s="70"/>
      <c r="G642" s="70"/>
      <c r="H642" s="70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  <c r="AB642" s="70"/>
      <c r="AC642" s="70"/>
      <c r="AD642" s="70"/>
      <c r="AE642" s="70"/>
      <c r="AF642" s="70"/>
      <c r="AG642" s="70"/>
      <c r="AH642" s="70"/>
      <c r="AI642" s="70"/>
      <c r="AJ642" s="70"/>
      <c r="AK642" s="70"/>
      <c r="AL642" s="70"/>
    </row>
    <row r="643" spans="1:38" ht="16.5" x14ac:dyDescent="0.25">
      <c r="A643" s="101"/>
      <c r="B643" s="70"/>
      <c r="C643" s="70"/>
      <c r="D643" s="70"/>
      <c r="E643" s="70"/>
      <c r="F643" s="70"/>
      <c r="G643" s="70"/>
      <c r="H643" s="70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  <c r="AC643" s="70"/>
      <c r="AD643" s="70"/>
      <c r="AE643" s="70"/>
      <c r="AF643" s="70"/>
      <c r="AG643" s="70"/>
      <c r="AH643" s="70"/>
      <c r="AI643" s="70"/>
      <c r="AJ643" s="70"/>
      <c r="AK643" s="70"/>
      <c r="AL643" s="70"/>
    </row>
    <row r="644" spans="1:38" ht="16.5" x14ac:dyDescent="0.25">
      <c r="A644" s="101"/>
      <c r="B644" s="70"/>
      <c r="C644" s="70"/>
      <c r="D644" s="70"/>
      <c r="E644" s="70"/>
      <c r="F644" s="70"/>
      <c r="G644" s="70"/>
      <c r="H644" s="70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  <c r="AA644" s="70"/>
      <c r="AB644" s="70"/>
      <c r="AC644" s="70"/>
      <c r="AD644" s="70"/>
      <c r="AE644" s="70"/>
      <c r="AF644" s="70"/>
      <c r="AG644" s="70"/>
      <c r="AH644" s="70"/>
      <c r="AI644" s="70"/>
      <c r="AJ644" s="70"/>
      <c r="AK644" s="70"/>
      <c r="AL644" s="70"/>
    </row>
    <row r="645" spans="1:38" ht="16.5" x14ac:dyDescent="0.25">
      <c r="A645" s="101"/>
      <c r="B645" s="70"/>
      <c r="C645" s="70"/>
      <c r="D645" s="70"/>
      <c r="E645" s="70"/>
      <c r="F645" s="70"/>
      <c r="G645" s="70"/>
      <c r="H645" s="70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  <c r="AC645" s="70"/>
      <c r="AD645" s="70"/>
      <c r="AE645" s="70"/>
      <c r="AF645" s="70"/>
      <c r="AG645" s="70"/>
      <c r="AH645" s="70"/>
      <c r="AI645" s="70"/>
      <c r="AJ645" s="70"/>
      <c r="AK645" s="70"/>
      <c r="AL645" s="70"/>
    </row>
    <row r="646" spans="1:38" ht="16.5" x14ac:dyDescent="0.25">
      <c r="A646" s="101"/>
      <c r="B646" s="70"/>
      <c r="C646" s="70"/>
      <c r="D646" s="70"/>
      <c r="E646" s="70"/>
      <c r="F646" s="70"/>
      <c r="G646" s="70"/>
      <c r="H646" s="70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/>
      <c r="AB646" s="70"/>
      <c r="AC646" s="70"/>
      <c r="AD646" s="70"/>
      <c r="AE646" s="70"/>
      <c r="AF646" s="70"/>
      <c r="AG646" s="70"/>
      <c r="AH646" s="70"/>
      <c r="AI646" s="70"/>
      <c r="AJ646" s="70"/>
      <c r="AK646" s="70"/>
      <c r="AL646" s="70"/>
    </row>
    <row r="647" spans="1:38" ht="16.5" x14ac:dyDescent="0.25">
      <c r="A647" s="101"/>
      <c r="B647" s="70"/>
      <c r="C647" s="70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  <c r="AC647" s="70"/>
      <c r="AD647" s="70"/>
      <c r="AE647" s="70"/>
      <c r="AF647" s="70"/>
      <c r="AG647" s="70"/>
      <c r="AH647" s="70"/>
      <c r="AI647" s="70"/>
      <c r="AJ647" s="70"/>
      <c r="AK647" s="70"/>
      <c r="AL647" s="70"/>
    </row>
    <row r="648" spans="1:38" ht="16.5" x14ac:dyDescent="0.25">
      <c r="A648" s="101"/>
      <c r="B648" s="70"/>
      <c r="C648" s="70"/>
      <c r="D648" s="70"/>
      <c r="E648" s="70"/>
      <c r="F648" s="70"/>
      <c r="G648" s="70"/>
      <c r="H648" s="70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  <c r="AC648" s="70"/>
      <c r="AD648" s="70"/>
      <c r="AE648" s="70"/>
      <c r="AF648" s="70"/>
      <c r="AG648" s="70"/>
      <c r="AH648" s="70"/>
      <c r="AI648" s="70"/>
      <c r="AJ648" s="70"/>
      <c r="AK648" s="70"/>
      <c r="AL648" s="70"/>
    </row>
    <row r="649" spans="1:38" ht="16.5" x14ac:dyDescent="0.25">
      <c r="A649" s="101"/>
      <c r="B649" s="70"/>
      <c r="C649" s="70"/>
      <c r="D649" s="70"/>
      <c r="E649" s="70"/>
      <c r="F649" s="70"/>
      <c r="G649" s="70"/>
      <c r="H649" s="70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  <c r="AB649" s="70"/>
      <c r="AC649" s="70"/>
      <c r="AD649" s="70"/>
      <c r="AE649" s="70"/>
      <c r="AF649" s="70"/>
      <c r="AG649" s="70"/>
      <c r="AH649" s="70"/>
      <c r="AI649" s="70"/>
      <c r="AJ649" s="70"/>
      <c r="AK649" s="70"/>
      <c r="AL649" s="70"/>
    </row>
    <row r="650" spans="1:38" ht="16.5" x14ac:dyDescent="0.25">
      <c r="A650" s="101"/>
      <c r="B650" s="70"/>
      <c r="C650" s="70"/>
      <c r="D650" s="70"/>
      <c r="E650" s="70"/>
      <c r="F650" s="70"/>
      <c r="G650" s="70"/>
      <c r="H650" s="70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  <c r="AC650" s="70"/>
      <c r="AD650" s="70"/>
      <c r="AE650" s="70"/>
      <c r="AF650" s="70"/>
      <c r="AG650" s="70"/>
      <c r="AH650" s="70"/>
      <c r="AI650" s="70"/>
      <c r="AJ650" s="70"/>
      <c r="AK650" s="70"/>
      <c r="AL650" s="70"/>
    </row>
    <row r="651" spans="1:38" ht="16.5" x14ac:dyDescent="0.25">
      <c r="A651" s="101"/>
      <c r="B651" s="70"/>
      <c r="C651" s="70"/>
      <c r="D651" s="70"/>
      <c r="E651" s="70"/>
      <c r="F651" s="70"/>
      <c r="G651" s="70"/>
      <c r="H651" s="70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  <c r="AC651" s="70"/>
      <c r="AD651" s="70"/>
      <c r="AE651" s="70"/>
      <c r="AF651" s="70"/>
      <c r="AG651" s="70"/>
      <c r="AH651" s="70"/>
      <c r="AI651" s="70"/>
      <c r="AJ651" s="70"/>
      <c r="AK651" s="70"/>
      <c r="AL651" s="70"/>
    </row>
    <row r="652" spans="1:38" ht="16.5" x14ac:dyDescent="0.25">
      <c r="A652" s="101"/>
      <c r="B652" s="70"/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  <c r="AC652" s="70"/>
      <c r="AD652" s="70"/>
      <c r="AE652" s="70"/>
      <c r="AF652" s="70"/>
      <c r="AG652" s="70"/>
      <c r="AH652" s="70"/>
      <c r="AI652" s="70"/>
      <c r="AJ652" s="70"/>
      <c r="AK652" s="70"/>
      <c r="AL652" s="70"/>
    </row>
    <row r="653" spans="1:38" ht="16.5" x14ac:dyDescent="0.25">
      <c r="A653" s="101"/>
      <c r="B653" s="70"/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  <c r="AC653" s="70"/>
      <c r="AD653" s="70"/>
      <c r="AE653" s="70"/>
      <c r="AF653" s="70"/>
      <c r="AG653" s="70"/>
      <c r="AH653" s="70"/>
      <c r="AI653" s="70"/>
      <c r="AJ653" s="70"/>
      <c r="AK653" s="70"/>
      <c r="AL653" s="70"/>
    </row>
    <row r="654" spans="1:38" ht="16.5" x14ac:dyDescent="0.25">
      <c r="A654" s="101"/>
      <c r="B654" s="70"/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  <c r="AC654" s="70"/>
      <c r="AD654" s="70"/>
      <c r="AE654" s="70"/>
      <c r="AF654" s="70"/>
      <c r="AG654" s="70"/>
      <c r="AH654" s="70"/>
      <c r="AI654" s="70"/>
      <c r="AJ654" s="70"/>
      <c r="AK654" s="70"/>
      <c r="AL654" s="70"/>
    </row>
    <row r="655" spans="1:38" ht="16.5" x14ac:dyDescent="0.25">
      <c r="A655" s="101"/>
      <c r="B655" s="70"/>
      <c r="C655" s="70"/>
      <c r="D655" s="70"/>
      <c r="E655" s="70"/>
      <c r="F655" s="70"/>
      <c r="G655" s="70"/>
      <c r="H655" s="70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  <c r="AC655" s="70"/>
      <c r="AD655" s="70"/>
      <c r="AE655" s="70"/>
      <c r="AF655" s="70"/>
      <c r="AG655" s="70"/>
      <c r="AH655" s="70"/>
      <c r="AI655" s="70"/>
      <c r="AJ655" s="70"/>
      <c r="AK655" s="70"/>
      <c r="AL655" s="70"/>
    </row>
    <row r="656" spans="1:38" ht="16.5" x14ac:dyDescent="0.25">
      <c r="A656" s="101"/>
      <c r="B656" s="70"/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  <c r="AC656" s="70"/>
      <c r="AD656" s="70"/>
      <c r="AE656" s="70"/>
      <c r="AF656" s="70"/>
      <c r="AG656" s="70"/>
      <c r="AH656" s="70"/>
      <c r="AI656" s="70"/>
      <c r="AJ656" s="70"/>
      <c r="AK656" s="70"/>
      <c r="AL656" s="70"/>
    </row>
    <row r="657" spans="1:38" ht="16.5" x14ac:dyDescent="0.25">
      <c r="A657" s="101"/>
      <c r="B657" s="70"/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  <c r="AC657" s="70"/>
      <c r="AD657" s="70"/>
      <c r="AE657" s="70"/>
      <c r="AF657" s="70"/>
      <c r="AG657" s="70"/>
      <c r="AH657" s="70"/>
      <c r="AI657" s="70"/>
      <c r="AJ657" s="70"/>
      <c r="AK657" s="70"/>
      <c r="AL657" s="70"/>
    </row>
    <row r="658" spans="1:38" ht="16.5" x14ac:dyDescent="0.25">
      <c r="A658" s="101"/>
      <c r="B658" s="70"/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  <c r="AC658" s="70"/>
      <c r="AD658" s="70"/>
      <c r="AE658" s="70"/>
      <c r="AF658" s="70"/>
      <c r="AG658" s="70"/>
      <c r="AH658" s="70"/>
      <c r="AI658" s="70"/>
      <c r="AJ658" s="70"/>
      <c r="AK658" s="70"/>
      <c r="AL658" s="70"/>
    </row>
    <row r="659" spans="1:38" ht="16.5" x14ac:dyDescent="0.25">
      <c r="A659" s="101"/>
      <c r="B659" s="70"/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0"/>
      <c r="AL659" s="70"/>
    </row>
    <row r="660" spans="1:38" ht="16.5" x14ac:dyDescent="0.25">
      <c r="A660" s="101"/>
      <c r="B660" s="70"/>
      <c r="C660" s="70"/>
      <c r="D660" s="70"/>
      <c r="E660" s="70"/>
      <c r="F660" s="70"/>
      <c r="G660" s="70"/>
      <c r="H660" s="70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  <c r="AC660" s="70"/>
      <c r="AD660" s="70"/>
      <c r="AE660" s="70"/>
      <c r="AF660" s="70"/>
      <c r="AG660" s="70"/>
      <c r="AH660" s="70"/>
      <c r="AI660" s="70"/>
      <c r="AJ660" s="70"/>
      <c r="AK660" s="70"/>
      <c r="AL660" s="70"/>
    </row>
    <row r="661" spans="1:38" ht="16.5" x14ac:dyDescent="0.25">
      <c r="A661" s="101"/>
      <c r="B661" s="70"/>
      <c r="C661" s="70"/>
      <c r="D661" s="70"/>
      <c r="E661" s="70"/>
      <c r="F661" s="70"/>
      <c r="G661" s="70"/>
      <c r="H661" s="70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  <c r="AC661" s="70"/>
      <c r="AD661" s="70"/>
      <c r="AE661" s="70"/>
      <c r="AF661" s="70"/>
      <c r="AG661" s="70"/>
      <c r="AH661" s="70"/>
      <c r="AI661" s="70"/>
      <c r="AJ661" s="70"/>
      <c r="AK661" s="70"/>
      <c r="AL661" s="70"/>
    </row>
    <row r="662" spans="1:38" ht="16.5" x14ac:dyDescent="0.25">
      <c r="A662" s="101"/>
      <c r="B662" s="70"/>
      <c r="C662" s="70"/>
      <c r="D662" s="70"/>
      <c r="E662" s="70"/>
      <c r="F662" s="70"/>
      <c r="G662" s="70"/>
      <c r="H662" s="70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  <c r="AC662" s="70"/>
      <c r="AD662" s="70"/>
      <c r="AE662" s="70"/>
      <c r="AF662" s="70"/>
      <c r="AG662" s="70"/>
      <c r="AH662" s="70"/>
      <c r="AI662" s="70"/>
      <c r="AJ662" s="70"/>
      <c r="AK662" s="70"/>
      <c r="AL662" s="70"/>
    </row>
    <row r="663" spans="1:38" ht="16.5" x14ac:dyDescent="0.25">
      <c r="A663" s="101"/>
      <c r="B663" s="70"/>
      <c r="C663" s="70"/>
      <c r="D663" s="70"/>
      <c r="E663" s="70"/>
      <c r="F663" s="70"/>
      <c r="G663" s="70"/>
      <c r="H663" s="70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  <c r="AC663" s="70"/>
      <c r="AD663" s="70"/>
      <c r="AE663" s="70"/>
      <c r="AF663" s="70"/>
      <c r="AG663" s="70"/>
      <c r="AH663" s="70"/>
      <c r="AI663" s="70"/>
      <c r="AJ663" s="70"/>
      <c r="AK663" s="70"/>
      <c r="AL663" s="70"/>
    </row>
    <row r="664" spans="1:38" ht="16.5" x14ac:dyDescent="0.25">
      <c r="A664" s="101"/>
      <c r="B664" s="70"/>
      <c r="C664" s="70"/>
      <c r="D664" s="70"/>
      <c r="E664" s="70"/>
      <c r="F664" s="70"/>
      <c r="G664" s="70"/>
      <c r="H664" s="70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  <c r="AC664" s="70"/>
      <c r="AD664" s="70"/>
      <c r="AE664" s="70"/>
      <c r="AF664" s="70"/>
      <c r="AG664" s="70"/>
      <c r="AH664" s="70"/>
      <c r="AI664" s="70"/>
      <c r="AJ664" s="70"/>
      <c r="AK664" s="70"/>
      <c r="AL664" s="70"/>
    </row>
    <row r="665" spans="1:38" ht="16.5" x14ac:dyDescent="0.25">
      <c r="A665" s="101"/>
      <c r="B665" s="70"/>
      <c r="C665" s="70"/>
      <c r="D665" s="70"/>
      <c r="E665" s="70"/>
      <c r="F665" s="70"/>
      <c r="G665" s="70"/>
      <c r="H665" s="70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  <c r="AC665" s="70"/>
      <c r="AD665" s="70"/>
      <c r="AE665" s="70"/>
      <c r="AF665" s="70"/>
      <c r="AG665" s="70"/>
      <c r="AH665" s="70"/>
      <c r="AI665" s="70"/>
      <c r="AJ665" s="70"/>
      <c r="AK665" s="70"/>
      <c r="AL665" s="70"/>
    </row>
    <row r="666" spans="1:38" ht="16.5" x14ac:dyDescent="0.25">
      <c r="A666" s="101"/>
      <c r="B666" s="70"/>
      <c r="C666" s="70"/>
      <c r="D666" s="70"/>
      <c r="E666" s="70"/>
      <c r="F666" s="70"/>
      <c r="G666" s="70"/>
      <c r="H666" s="70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  <c r="AC666" s="70"/>
      <c r="AD666" s="70"/>
      <c r="AE666" s="70"/>
      <c r="AF666" s="70"/>
      <c r="AG666" s="70"/>
      <c r="AH666" s="70"/>
      <c r="AI666" s="70"/>
      <c r="AJ666" s="70"/>
      <c r="AK666" s="70"/>
      <c r="AL666" s="70"/>
    </row>
    <row r="667" spans="1:38" ht="16.5" x14ac:dyDescent="0.25">
      <c r="A667" s="101"/>
      <c r="B667" s="70"/>
      <c r="C667" s="70"/>
      <c r="D667" s="70"/>
      <c r="E667" s="70"/>
      <c r="F667" s="70"/>
      <c r="G667" s="70"/>
      <c r="H667" s="70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  <c r="AC667" s="70"/>
      <c r="AD667" s="70"/>
      <c r="AE667" s="70"/>
      <c r="AF667" s="70"/>
      <c r="AG667" s="70"/>
      <c r="AH667" s="70"/>
      <c r="AI667" s="70"/>
      <c r="AJ667" s="70"/>
      <c r="AK667" s="70"/>
      <c r="AL667" s="70"/>
    </row>
    <row r="668" spans="1:38" ht="16.5" x14ac:dyDescent="0.25">
      <c r="A668" s="101"/>
      <c r="B668" s="70"/>
      <c r="C668" s="70"/>
      <c r="D668" s="70"/>
      <c r="E668" s="70"/>
      <c r="F668" s="70"/>
      <c r="G668" s="70"/>
      <c r="H668" s="70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  <c r="AC668" s="70"/>
      <c r="AD668" s="70"/>
      <c r="AE668" s="70"/>
      <c r="AF668" s="70"/>
      <c r="AG668" s="70"/>
      <c r="AH668" s="70"/>
      <c r="AI668" s="70"/>
      <c r="AJ668" s="70"/>
      <c r="AK668" s="70"/>
      <c r="AL668" s="70"/>
    </row>
    <row r="669" spans="1:38" ht="16.5" x14ac:dyDescent="0.25">
      <c r="A669" s="101"/>
      <c r="B669" s="70"/>
      <c r="C669" s="70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  <c r="AC669" s="70"/>
      <c r="AD669" s="70"/>
      <c r="AE669" s="70"/>
      <c r="AF669" s="70"/>
      <c r="AG669" s="70"/>
      <c r="AH669" s="70"/>
      <c r="AI669" s="70"/>
      <c r="AJ669" s="70"/>
      <c r="AK669" s="70"/>
      <c r="AL669" s="70"/>
    </row>
    <row r="670" spans="1:38" ht="16.5" x14ac:dyDescent="0.25">
      <c r="A670" s="101"/>
      <c r="B670" s="70"/>
      <c r="C670" s="70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  <c r="AB670" s="70"/>
      <c r="AC670" s="70"/>
      <c r="AD670" s="70"/>
      <c r="AE670" s="70"/>
      <c r="AF670" s="70"/>
      <c r="AG670" s="70"/>
      <c r="AH670" s="70"/>
      <c r="AI670" s="70"/>
      <c r="AJ670" s="70"/>
      <c r="AK670" s="70"/>
      <c r="AL670" s="70"/>
    </row>
    <row r="671" spans="1:38" ht="16.5" x14ac:dyDescent="0.25">
      <c r="A671" s="101"/>
      <c r="B671" s="70"/>
      <c r="C671" s="70"/>
      <c r="D671" s="70"/>
      <c r="E671" s="70"/>
      <c r="F671" s="70"/>
      <c r="G671" s="70"/>
      <c r="H671" s="70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  <c r="AC671" s="70"/>
      <c r="AD671" s="70"/>
      <c r="AE671" s="70"/>
      <c r="AF671" s="70"/>
      <c r="AG671" s="70"/>
      <c r="AH671" s="70"/>
      <c r="AI671" s="70"/>
      <c r="AJ671" s="70"/>
      <c r="AK671" s="70"/>
      <c r="AL671" s="70"/>
    </row>
    <row r="672" spans="1:38" ht="16.5" x14ac:dyDescent="0.25">
      <c r="A672" s="101"/>
      <c r="B672" s="70"/>
      <c r="C672" s="70"/>
      <c r="D672" s="70"/>
      <c r="E672" s="70"/>
      <c r="F672" s="70"/>
      <c r="G672" s="70"/>
      <c r="H672" s="70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  <c r="AC672" s="70"/>
      <c r="AD672" s="70"/>
      <c r="AE672" s="70"/>
      <c r="AF672" s="70"/>
      <c r="AG672" s="70"/>
      <c r="AH672" s="70"/>
      <c r="AI672" s="70"/>
      <c r="AJ672" s="70"/>
      <c r="AK672" s="70"/>
      <c r="AL672" s="70"/>
    </row>
    <row r="673" spans="1:38" ht="16.5" x14ac:dyDescent="0.25">
      <c r="A673" s="101"/>
      <c r="B673" s="70"/>
      <c r="C673" s="70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  <c r="AC673" s="70"/>
      <c r="AD673" s="70"/>
      <c r="AE673" s="70"/>
      <c r="AF673" s="70"/>
      <c r="AG673" s="70"/>
      <c r="AH673" s="70"/>
      <c r="AI673" s="70"/>
      <c r="AJ673" s="70"/>
      <c r="AK673" s="70"/>
      <c r="AL673" s="70"/>
    </row>
    <row r="674" spans="1:38" ht="16.5" x14ac:dyDescent="0.25">
      <c r="A674" s="101"/>
      <c r="B674" s="70"/>
      <c r="C674" s="70"/>
      <c r="D674" s="70"/>
      <c r="E674" s="70"/>
      <c r="F674" s="70"/>
      <c r="G674" s="70"/>
      <c r="H674" s="70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  <c r="AC674" s="70"/>
      <c r="AD674" s="70"/>
      <c r="AE674" s="70"/>
      <c r="AF674" s="70"/>
      <c r="AG674" s="70"/>
      <c r="AH674" s="70"/>
      <c r="AI674" s="70"/>
      <c r="AJ674" s="70"/>
      <c r="AK674" s="70"/>
      <c r="AL674" s="70"/>
    </row>
    <row r="675" spans="1:38" ht="16.5" x14ac:dyDescent="0.25">
      <c r="A675" s="101"/>
      <c r="B675" s="70"/>
      <c r="C675" s="70"/>
      <c r="D675" s="70"/>
      <c r="E675" s="70"/>
      <c r="F675" s="70"/>
      <c r="G675" s="70"/>
      <c r="H675" s="70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  <c r="AC675" s="70"/>
      <c r="AD675" s="70"/>
      <c r="AE675" s="70"/>
      <c r="AF675" s="70"/>
      <c r="AG675" s="70"/>
      <c r="AH675" s="70"/>
      <c r="AI675" s="70"/>
      <c r="AJ675" s="70"/>
      <c r="AK675" s="70"/>
      <c r="AL675" s="70"/>
    </row>
    <row r="676" spans="1:38" ht="16.5" x14ac:dyDescent="0.25">
      <c r="A676" s="101"/>
      <c r="B676" s="70"/>
      <c r="C676" s="70"/>
      <c r="D676" s="70"/>
      <c r="E676" s="70"/>
      <c r="F676" s="70"/>
      <c r="G676" s="70"/>
      <c r="H676" s="70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  <c r="AC676" s="70"/>
      <c r="AD676" s="70"/>
      <c r="AE676" s="70"/>
      <c r="AF676" s="70"/>
      <c r="AG676" s="70"/>
      <c r="AH676" s="70"/>
      <c r="AI676" s="70"/>
      <c r="AJ676" s="70"/>
      <c r="AK676" s="70"/>
      <c r="AL676" s="70"/>
    </row>
    <row r="677" spans="1:38" ht="16.5" x14ac:dyDescent="0.25">
      <c r="A677" s="101"/>
      <c r="B677" s="70"/>
      <c r="C677" s="70"/>
      <c r="D677" s="70"/>
      <c r="E677" s="70"/>
      <c r="F677" s="70"/>
      <c r="G677" s="70"/>
      <c r="H677" s="70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  <c r="AC677" s="70"/>
      <c r="AD677" s="70"/>
      <c r="AE677" s="70"/>
      <c r="AF677" s="70"/>
      <c r="AG677" s="70"/>
      <c r="AH677" s="70"/>
      <c r="AI677" s="70"/>
      <c r="AJ677" s="70"/>
      <c r="AK677" s="70"/>
      <c r="AL677" s="70"/>
    </row>
    <row r="678" spans="1:38" ht="16.5" x14ac:dyDescent="0.25">
      <c r="A678" s="101"/>
      <c r="B678" s="70"/>
      <c r="C678" s="70"/>
      <c r="D678" s="70"/>
      <c r="E678" s="70"/>
      <c r="F678" s="70"/>
      <c r="G678" s="70"/>
      <c r="H678" s="70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  <c r="AC678" s="70"/>
      <c r="AD678" s="70"/>
      <c r="AE678" s="70"/>
      <c r="AF678" s="70"/>
      <c r="AG678" s="70"/>
      <c r="AH678" s="70"/>
      <c r="AI678" s="70"/>
      <c r="AJ678" s="70"/>
      <c r="AK678" s="70"/>
      <c r="AL678" s="70"/>
    </row>
    <row r="679" spans="1:38" ht="16.5" x14ac:dyDescent="0.25">
      <c r="A679" s="101"/>
      <c r="B679" s="70"/>
      <c r="C679" s="70"/>
      <c r="D679" s="70"/>
      <c r="E679" s="70"/>
      <c r="F679" s="70"/>
      <c r="G679" s="70"/>
      <c r="H679" s="70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  <c r="AB679" s="70"/>
      <c r="AC679" s="70"/>
      <c r="AD679" s="70"/>
      <c r="AE679" s="70"/>
      <c r="AF679" s="70"/>
      <c r="AG679" s="70"/>
      <c r="AH679" s="70"/>
      <c r="AI679" s="70"/>
      <c r="AJ679" s="70"/>
      <c r="AK679" s="70"/>
      <c r="AL679" s="70"/>
    </row>
    <row r="680" spans="1:38" ht="16.5" x14ac:dyDescent="0.25">
      <c r="A680" s="101"/>
      <c r="B680" s="70"/>
      <c r="C680" s="70"/>
      <c r="D680" s="70"/>
      <c r="E680" s="70"/>
      <c r="F680" s="70"/>
      <c r="G680" s="70"/>
      <c r="H680" s="70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  <c r="AC680" s="70"/>
      <c r="AD680" s="70"/>
      <c r="AE680" s="70"/>
      <c r="AF680" s="70"/>
      <c r="AG680" s="70"/>
      <c r="AH680" s="70"/>
      <c r="AI680" s="70"/>
      <c r="AJ680" s="70"/>
      <c r="AK680" s="70"/>
      <c r="AL680" s="70"/>
    </row>
    <row r="681" spans="1:38" ht="16.5" x14ac:dyDescent="0.25">
      <c r="A681" s="101"/>
      <c r="B681" s="70"/>
      <c r="C681" s="70"/>
      <c r="D681" s="70"/>
      <c r="E681" s="70"/>
      <c r="F681" s="70"/>
      <c r="G681" s="70"/>
      <c r="H681" s="70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  <c r="AC681" s="70"/>
      <c r="AD681" s="70"/>
      <c r="AE681" s="70"/>
      <c r="AF681" s="70"/>
      <c r="AG681" s="70"/>
      <c r="AH681" s="70"/>
      <c r="AI681" s="70"/>
      <c r="AJ681" s="70"/>
      <c r="AK681" s="70"/>
      <c r="AL681" s="70"/>
    </row>
    <row r="682" spans="1:38" ht="16.5" x14ac:dyDescent="0.25">
      <c r="A682" s="101"/>
      <c r="B682" s="70"/>
      <c r="C682" s="70"/>
      <c r="D682" s="70"/>
      <c r="E682" s="70"/>
      <c r="F682" s="70"/>
      <c r="G682" s="70"/>
      <c r="H682" s="70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  <c r="AC682" s="70"/>
      <c r="AD682" s="70"/>
      <c r="AE682" s="70"/>
      <c r="AF682" s="70"/>
      <c r="AG682" s="70"/>
      <c r="AH682" s="70"/>
      <c r="AI682" s="70"/>
      <c r="AJ682" s="70"/>
      <c r="AK682" s="70"/>
      <c r="AL682" s="70"/>
    </row>
    <row r="683" spans="1:38" ht="16.5" x14ac:dyDescent="0.25">
      <c r="A683" s="101"/>
      <c r="B683" s="70"/>
      <c r="C683" s="70"/>
      <c r="D683" s="70"/>
      <c r="E683" s="70"/>
      <c r="F683" s="70"/>
      <c r="G683" s="70"/>
      <c r="H683" s="70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  <c r="AB683" s="70"/>
      <c r="AC683" s="70"/>
      <c r="AD683" s="70"/>
      <c r="AE683" s="70"/>
      <c r="AF683" s="70"/>
      <c r="AG683" s="70"/>
      <c r="AH683" s="70"/>
      <c r="AI683" s="70"/>
      <c r="AJ683" s="70"/>
      <c r="AK683" s="70"/>
      <c r="AL683" s="70"/>
    </row>
    <row r="684" spans="1:38" ht="16.5" x14ac:dyDescent="0.25">
      <c r="A684" s="101"/>
      <c r="B684" s="70"/>
      <c r="C684" s="70"/>
      <c r="D684" s="70"/>
      <c r="E684" s="70"/>
      <c r="F684" s="70"/>
      <c r="G684" s="70"/>
      <c r="H684" s="70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  <c r="AA684" s="70"/>
      <c r="AB684" s="70"/>
      <c r="AC684" s="70"/>
      <c r="AD684" s="70"/>
      <c r="AE684" s="70"/>
      <c r="AF684" s="70"/>
      <c r="AG684" s="70"/>
      <c r="AH684" s="70"/>
      <c r="AI684" s="70"/>
      <c r="AJ684" s="70"/>
      <c r="AK684" s="70"/>
      <c r="AL684" s="70"/>
    </row>
    <row r="685" spans="1:38" ht="16.5" x14ac:dyDescent="0.25">
      <c r="A685" s="101"/>
      <c r="B685" s="70"/>
      <c r="C685" s="70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  <c r="AB685" s="70"/>
      <c r="AC685" s="70"/>
      <c r="AD685" s="70"/>
      <c r="AE685" s="70"/>
      <c r="AF685" s="70"/>
      <c r="AG685" s="70"/>
      <c r="AH685" s="70"/>
      <c r="AI685" s="70"/>
      <c r="AJ685" s="70"/>
      <c r="AK685" s="70"/>
      <c r="AL685" s="70"/>
    </row>
    <row r="686" spans="1:38" ht="16.5" x14ac:dyDescent="0.25">
      <c r="A686" s="101"/>
      <c r="B686" s="70"/>
      <c r="C686" s="70"/>
      <c r="D686" s="70"/>
      <c r="E686" s="70"/>
      <c r="F686" s="70"/>
      <c r="G686" s="70"/>
      <c r="H686" s="70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  <c r="AA686" s="70"/>
      <c r="AB686" s="70"/>
      <c r="AC686" s="70"/>
      <c r="AD686" s="70"/>
      <c r="AE686" s="70"/>
      <c r="AF686" s="70"/>
      <c r="AG686" s="70"/>
      <c r="AH686" s="70"/>
      <c r="AI686" s="70"/>
      <c r="AJ686" s="70"/>
      <c r="AK686" s="70"/>
      <c r="AL686" s="70"/>
    </row>
    <row r="687" spans="1:38" ht="16.5" x14ac:dyDescent="0.25">
      <c r="A687" s="101"/>
      <c r="B687" s="70"/>
      <c r="C687" s="70"/>
      <c r="D687" s="70"/>
      <c r="E687" s="70"/>
      <c r="F687" s="70"/>
      <c r="G687" s="70"/>
      <c r="H687" s="70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  <c r="AA687" s="70"/>
      <c r="AB687" s="70"/>
      <c r="AC687" s="70"/>
      <c r="AD687" s="70"/>
      <c r="AE687" s="70"/>
      <c r="AF687" s="70"/>
      <c r="AG687" s="70"/>
      <c r="AH687" s="70"/>
      <c r="AI687" s="70"/>
      <c r="AJ687" s="70"/>
      <c r="AK687" s="70"/>
      <c r="AL687" s="70"/>
    </row>
    <row r="688" spans="1:38" ht="16.5" x14ac:dyDescent="0.25">
      <c r="A688" s="101"/>
      <c r="B688" s="70"/>
      <c r="C688" s="70"/>
      <c r="D688" s="70"/>
      <c r="E688" s="70"/>
      <c r="F688" s="70"/>
      <c r="G688" s="70"/>
      <c r="H688" s="70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  <c r="AA688" s="70"/>
      <c r="AB688" s="70"/>
      <c r="AC688" s="70"/>
      <c r="AD688" s="70"/>
      <c r="AE688" s="70"/>
      <c r="AF688" s="70"/>
      <c r="AG688" s="70"/>
      <c r="AH688" s="70"/>
      <c r="AI688" s="70"/>
      <c r="AJ688" s="70"/>
      <c r="AK688" s="70"/>
      <c r="AL688" s="70"/>
    </row>
    <row r="689" spans="1:38" ht="16.5" x14ac:dyDescent="0.25">
      <c r="A689" s="101"/>
      <c r="B689" s="70"/>
      <c r="C689" s="70"/>
      <c r="D689" s="70"/>
      <c r="E689" s="70"/>
      <c r="F689" s="70"/>
      <c r="G689" s="70"/>
      <c r="H689" s="70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  <c r="AA689" s="70"/>
      <c r="AB689" s="70"/>
      <c r="AC689" s="70"/>
      <c r="AD689" s="70"/>
      <c r="AE689" s="70"/>
      <c r="AF689" s="70"/>
      <c r="AG689" s="70"/>
      <c r="AH689" s="70"/>
      <c r="AI689" s="70"/>
      <c r="AJ689" s="70"/>
      <c r="AK689" s="70"/>
      <c r="AL689" s="70"/>
    </row>
    <row r="690" spans="1:38" ht="16.5" x14ac:dyDescent="0.25">
      <c r="A690" s="101"/>
      <c r="B690" s="70"/>
      <c r="C690" s="70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  <c r="AB690" s="70"/>
      <c r="AC690" s="70"/>
      <c r="AD690" s="70"/>
      <c r="AE690" s="70"/>
      <c r="AF690" s="70"/>
      <c r="AG690" s="70"/>
      <c r="AH690" s="70"/>
      <c r="AI690" s="70"/>
      <c r="AJ690" s="70"/>
      <c r="AK690" s="70"/>
      <c r="AL690" s="70"/>
    </row>
    <row r="691" spans="1:38" ht="16.5" x14ac:dyDescent="0.25">
      <c r="A691" s="101"/>
      <c r="B691" s="70"/>
      <c r="C691" s="70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  <c r="AB691" s="70"/>
      <c r="AC691" s="70"/>
      <c r="AD691" s="70"/>
      <c r="AE691" s="70"/>
      <c r="AF691" s="70"/>
      <c r="AG691" s="70"/>
      <c r="AH691" s="70"/>
      <c r="AI691" s="70"/>
      <c r="AJ691" s="70"/>
      <c r="AK691" s="70"/>
      <c r="AL691" s="70"/>
    </row>
    <row r="692" spans="1:38" ht="16.5" x14ac:dyDescent="0.25">
      <c r="A692" s="101"/>
      <c r="B692" s="70"/>
      <c r="C692" s="70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  <c r="AC692" s="70"/>
      <c r="AD692" s="70"/>
      <c r="AE692" s="70"/>
      <c r="AF692" s="70"/>
      <c r="AG692" s="70"/>
      <c r="AH692" s="70"/>
      <c r="AI692" s="70"/>
      <c r="AJ692" s="70"/>
      <c r="AK692" s="70"/>
      <c r="AL692" s="70"/>
    </row>
    <row r="693" spans="1:38" ht="16.5" x14ac:dyDescent="0.25">
      <c r="A693" s="101"/>
      <c r="B693" s="70"/>
      <c r="C693" s="70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  <c r="AB693" s="70"/>
      <c r="AC693" s="70"/>
      <c r="AD693" s="70"/>
      <c r="AE693" s="70"/>
      <c r="AF693" s="70"/>
      <c r="AG693" s="70"/>
      <c r="AH693" s="70"/>
      <c r="AI693" s="70"/>
      <c r="AJ693" s="70"/>
      <c r="AK693" s="70"/>
      <c r="AL693" s="70"/>
    </row>
    <row r="694" spans="1:38" ht="16.5" x14ac:dyDescent="0.25">
      <c r="A694" s="101"/>
      <c r="B694" s="70"/>
      <c r="C694" s="70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  <c r="AC694" s="70"/>
      <c r="AD694" s="70"/>
      <c r="AE694" s="70"/>
      <c r="AF694" s="70"/>
      <c r="AG694" s="70"/>
      <c r="AH694" s="70"/>
      <c r="AI694" s="70"/>
      <c r="AJ694" s="70"/>
      <c r="AK694" s="70"/>
      <c r="AL694" s="70"/>
    </row>
    <row r="695" spans="1:38" ht="16.5" x14ac:dyDescent="0.25">
      <c r="A695" s="101"/>
      <c r="B695" s="70"/>
      <c r="C695" s="70"/>
      <c r="D695" s="70"/>
      <c r="E695" s="70"/>
      <c r="F695" s="70"/>
      <c r="G695" s="70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  <c r="AC695" s="70"/>
      <c r="AD695" s="70"/>
      <c r="AE695" s="70"/>
      <c r="AF695" s="70"/>
      <c r="AG695" s="70"/>
      <c r="AH695" s="70"/>
      <c r="AI695" s="70"/>
      <c r="AJ695" s="70"/>
      <c r="AK695" s="70"/>
      <c r="AL695" s="70"/>
    </row>
    <row r="696" spans="1:38" ht="16.5" x14ac:dyDescent="0.25">
      <c r="A696" s="101"/>
      <c r="B696" s="70"/>
      <c r="C696" s="70"/>
      <c r="D696" s="70"/>
      <c r="E696" s="70"/>
      <c r="F696" s="70"/>
      <c r="G696" s="70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  <c r="AC696" s="70"/>
      <c r="AD696" s="70"/>
      <c r="AE696" s="70"/>
      <c r="AF696" s="70"/>
      <c r="AG696" s="70"/>
      <c r="AH696" s="70"/>
      <c r="AI696" s="70"/>
      <c r="AJ696" s="70"/>
      <c r="AK696" s="70"/>
      <c r="AL696" s="70"/>
    </row>
    <row r="697" spans="1:38" ht="16.5" x14ac:dyDescent="0.25">
      <c r="A697" s="101"/>
      <c r="B697" s="70"/>
      <c r="C697" s="70"/>
      <c r="D697" s="70"/>
      <c r="E697" s="70"/>
      <c r="F697" s="70"/>
      <c r="G697" s="70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  <c r="AC697" s="70"/>
      <c r="AD697" s="70"/>
      <c r="AE697" s="70"/>
      <c r="AF697" s="70"/>
      <c r="AG697" s="70"/>
      <c r="AH697" s="70"/>
      <c r="AI697" s="70"/>
      <c r="AJ697" s="70"/>
      <c r="AK697" s="70"/>
      <c r="AL697" s="70"/>
    </row>
    <row r="698" spans="1:38" ht="16.5" x14ac:dyDescent="0.25">
      <c r="A698" s="101"/>
      <c r="B698" s="70"/>
      <c r="C698" s="70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  <c r="AC698" s="70"/>
      <c r="AD698" s="70"/>
      <c r="AE698" s="70"/>
      <c r="AF698" s="70"/>
      <c r="AG698" s="70"/>
      <c r="AH698" s="70"/>
      <c r="AI698" s="70"/>
      <c r="AJ698" s="70"/>
      <c r="AK698" s="70"/>
      <c r="AL698" s="70"/>
    </row>
    <row r="699" spans="1:38" ht="16.5" x14ac:dyDescent="0.25">
      <c r="A699" s="101"/>
      <c r="B699" s="70"/>
      <c r="C699" s="70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  <c r="AC699" s="70"/>
      <c r="AD699" s="70"/>
      <c r="AE699" s="70"/>
      <c r="AF699" s="70"/>
      <c r="AG699" s="70"/>
      <c r="AH699" s="70"/>
      <c r="AI699" s="70"/>
      <c r="AJ699" s="70"/>
      <c r="AK699" s="70"/>
      <c r="AL699" s="70"/>
    </row>
    <row r="700" spans="1:38" ht="16.5" x14ac:dyDescent="0.25">
      <c r="A700" s="101"/>
      <c r="B700" s="70"/>
      <c r="C700" s="70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  <c r="AC700" s="70"/>
      <c r="AD700" s="70"/>
      <c r="AE700" s="70"/>
      <c r="AF700" s="70"/>
      <c r="AG700" s="70"/>
      <c r="AH700" s="70"/>
      <c r="AI700" s="70"/>
      <c r="AJ700" s="70"/>
      <c r="AK700" s="70"/>
      <c r="AL700" s="70"/>
    </row>
    <row r="701" spans="1:38" ht="16.5" x14ac:dyDescent="0.25">
      <c r="A701" s="101"/>
      <c r="B701" s="70"/>
      <c r="C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  <c r="AA701" s="70"/>
      <c r="AB701" s="70"/>
      <c r="AC701" s="70"/>
      <c r="AD701" s="70"/>
      <c r="AE701" s="70"/>
      <c r="AF701" s="70"/>
      <c r="AG701" s="70"/>
      <c r="AH701" s="70"/>
      <c r="AI701" s="70"/>
      <c r="AJ701" s="70"/>
      <c r="AK701" s="70"/>
      <c r="AL701" s="70"/>
    </row>
    <row r="702" spans="1:38" ht="16.5" x14ac:dyDescent="0.25">
      <c r="A702" s="101"/>
      <c r="B702" s="70"/>
      <c r="C702" s="70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  <c r="AB702" s="70"/>
      <c r="AC702" s="70"/>
      <c r="AD702" s="70"/>
      <c r="AE702" s="70"/>
      <c r="AF702" s="70"/>
      <c r="AG702" s="70"/>
      <c r="AH702" s="70"/>
      <c r="AI702" s="70"/>
      <c r="AJ702" s="70"/>
      <c r="AK702" s="70"/>
      <c r="AL702" s="70"/>
    </row>
    <row r="703" spans="1:38" ht="16.5" x14ac:dyDescent="0.25">
      <c r="A703" s="101"/>
      <c r="B703" s="70"/>
      <c r="C703" s="70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  <c r="AB703" s="70"/>
      <c r="AC703" s="70"/>
      <c r="AD703" s="70"/>
      <c r="AE703" s="70"/>
      <c r="AF703" s="70"/>
      <c r="AG703" s="70"/>
      <c r="AH703" s="70"/>
      <c r="AI703" s="70"/>
      <c r="AJ703" s="70"/>
      <c r="AK703" s="70"/>
      <c r="AL703" s="70"/>
    </row>
    <row r="704" spans="1:38" ht="16.5" x14ac:dyDescent="0.25">
      <c r="A704" s="101"/>
      <c r="B704" s="70"/>
      <c r="C704" s="70"/>
      <c r="D704" s="70"/>
      <c r="E704" s="70"/>
      <c r="F704" s="70"/>
      <c r="G704" s="70"/>
      <c r="H704" s="70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  <c r="AA704" s="70"/>
      <c r="AB704" s="70"/>
      <c r="AC704" s="70"/>
      <c r="AD704" s="70"/>
      <c r="AE704" s="70"/>
      <c r="AF704" s="70"/>
      <c r="AG704" s="70"/>
      <c r="AH704" s="70"/>
      <c r="AI704" s="70"/>
      <c r="AJ704" s="70"/>
      <c r="AK704" s="70"/>
      <c r="AL704" s="70"/>
    </row>
    <row r="705" spans="1:38" ht="16.5" x14ac:dyDescent="0.25">
      <c r="A705" s="101"/>
      <c r="B705" s="70"/>
      <c r="C705" s="70"/>
      <c r="D705" s="70"/>
      <c r="E705" s="70"/>
      <c r="F705" s="70"/>
      <c r="G705" s="70"/>
      <c r="H705" s="70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  <c r="AA705" s="70"/>
      <c r="AB705" s="70"/>
      <c r="AC705" s="70"/>
      <c r="AD705" s="70"/>
      <c r="AE705" s="70"/>
      <c r="AF705" s="70"/>
      <c r="AG705" s="70"/>
      <c r="AH705" s="70"/>
      <c r="AI705" s="70"/>
      <c r="AJ705" s="70"/>
      <c r="AK705" s="70"/>
      <c r="AL705" s="70"/>
    </row>
    <row r="706" spans="1:38" ht="16.5" x14ac:dyDescent="0.25">
      <c r="A706" s="101"/>
      <c r="B706" s="70"/>
      <c r="C706" s="70"/>
      <c r="D706" s="70"/>
      <c r="E706" s="70"/>
      <c r="F706" s="70"/>
      <c r="G706" s="70"/>
      <c r="H706" s="70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  <c r="AB706" s="70"/>
      <c r="AC706" s="70"/>
      <c r="AD706" s="70"/>
      <c r="AE706" s="70"/>
      <c r="AF706" s="70"/>
      <c r="AG706" s="70"/>
      <c r="AH706" s="70"/>
      <c r="AI706" s="70"/>
      <c r="AJ706" s="70"/>
      <c r="AK706" s="70"/>
      <c r="AL706" s="70"/>
    </row>
    <row r="707" spans="1:38" ht="16.5" x14ac:dyDescent="0.25">
      <c r="A707" s="101"/>
      <c r="B707" s="70"/>
      <c r="C707" s="70"/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  <c r="AC707" s="70"/>
      <c r="AD707" s="70"/>
      <c r="AE707" s="70"/>
      <c r="AF707" s="70"/>
      <c r="AG707" s="70"/>
      <c r="AH707" s="70"/>
      <c r="AI707" s="70"/>
      <c r="AJ707" s="70"/>
      <c r="AK707" s="70"/>
      <c r="AL707" s="70"/>
    </row>
    <row r="708" spans="1:38" ht="16.5" x14ac:dyDescent="0.25">
      <c r="A708" s="101"/>
      <c r="B708" s="70"/>
      <c r="C708" s="70"/>
      <c r="D708" s="70"/>
      <c r="E708" s="70"/>
      <c r="F708" s="70"/>
      <c r="G708" s="70"/>
      <c r="H708" s="70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  <c r="AC708" s="70"/>
      <c r="AD708" s="70"/>
      <c r="AE708" s="70"/>
      <c r="AF708" s="70"/>
      <c r="AG708" s="70"/>
      <c r="AH708" s="70"/>
      <c r="AI708" s="70"/>
      <c r="AJ708" s="70"/>
      <c r="AK708" s="70"/>
      <c r="AL708" s="70"/>
    </row>
    <row r="709" spans="1:38" ht="16.5" x14ac:dyDescent="0.25">
      <c r="A709" s="101"/>
      <c r="B709" s="70"/>
      <c r="C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  <c r="AC709" s="70"/>
      <c r="AD709" s="70"/>
      <c r="AE709" s="70"/>
      <c r="AF709" s="70"/>
      <c r="AG709" s="70"/>
      <c r="AH709" s="70"/>
      <c r="AI709" s="70"/>
      <c r="AJ709" s="70"/>
      <c r="AK709" s="70"/>
      <c r="AL709" s="70"/>
    </row>
    <row r="710" spans="1:38" ht="16.5" x14ac:dyDescent="0.25">
      <c r="A710" s="101"/>
      <c r="B710" s="70"/>
      <c r="C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  <c r="AC710" s="70"/>
      <c r="AD710" s="70"/>
      <c r="AE710" s="70"/>
      <c r="AF710" s="70"/>
      <c r="AG710" s="70"/>
      <c r="AH710" s="70"/>
      <c r="AI710" s="70"/>
      <c r="AJ710" s="70"/>
      <c r="AK710" s="70"/>
      <c r="AL710" s="70"/>
    </row>
    <row r="711" spans="1:38" ht="16.5" x14ac:dyDescent="0.25">
      <c r="A711" s="101"/>
      <c r="B711" s="70"/>
      <c r="C711" s="70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  <c r="AA711" s="70"/>
      <c r="AB711" s="70"/>
      <c r="AC711" s="70"/>
      <c r="AD711" s="70"/>
      <c r="AE711" s="70"/>
      <c r="AF711" s="70"/>
      <c r="AG711" s="70"/>
      <c r="AH711" s="70"/>
      <c r="AI711" s="70"/>
      <c r="AJ711" s="70"/>
      <c r="AK711" s="70"/>
      <c r="AL711" s="70"/>
    </row>
    <row r="712" spans="1:38" ht="16.5" x14ac:dyDescent="0.25">
      <c r="A712" s="101"/>
      <c r="B712" s="70"/>
      <c r="C712" s="70"/>
      <c r="D712" s="70"/>
      <c r="E712" s="70"/>
      <c r="F712" s="70"/>
      <c r="G712" s="70"/>
      <c r="H712" s="70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  <c r="AA712" s="70"/>
      <c r="AB712" s="70"/>
      <c r="AC712" s="70"/>
      <c r="AD712" s="70"/>
      <c r="AE712" s="70"/>
      <c r="AF712" s="70"/>
      <c r="AG712" s="70"/>
      <c r="AH712" s="70"/>
      <c r="AI712" s="70"/>
      <c r="AJ712" s="70"/>
      <c r="AK712" s="70"/>
      <c r="AL712" s="70"/>
    </row>
    <row r="713" spans="1:38" ht="16.5" x14ac:dyDescent="0.25">
      <c r="A713" s="101"/>
      <c r="B713" s="70"/>
      <c r="C713" s="70"/>
      <c r="D713" s="70"/>
      <c r="E713" s="70"/>
      <c r="F713" s="70"/>
      <c r="G713" s="70"/>
      <c r="H713" s="70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  <c r="AA713" s="70"/>
      <c r="AB713" s="70"/>
      <c r="AC713" s="70"/>
      <c r="AD713" s="70"/>
      <c r="AE713" s="70"/>
      <c r="AF713" s="70"/>
      <c r="AG713" s="70"/>
      <c r="AH713" s="70"/>
      <c r="AI713" s="70"/>
      <c r="AJ713" s="70"/>
      <c r="AK713" s="70"/>
      <c r="AL713" s="70"/>
    </row>
    <row r="714" spans="1:38" ht="16.5" x14ac:dyDescent="0.25">
      <c r="A714" s="101"/>
      <c r="B714" s="70"/>
      <c r="C714" s="70"/>
      <c r="D714" s="70"/>
      <c r="E714" s="70"/>
      <c r="F714" s="70"/>
      <c r="G714" s="70"/>
      <c r="H714" s="70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  <c r="AA714" s="70"/>
      <c r="AB714" s="70"/>
      <c r="AC714" s="70"/>
      <c r="AD714" s="70"/>
      <c r="AE714" s="70"/>
      <c r="AF714" s="70"/>
      <c r="AG714" s="70"/>
      <c r="AH714" s="70"/>
      <c r="AI714" s="70"/>
      <c r="AJ714" s="70"/>
      <c r="AK714" s="70"/>
      <c r="AL714" s="70"/>
    </row>
    <row r="715" spans="1:38" ht="16.5" x14ac:dyDescent="0.25">
      <c r="A715" s="101"/>
      <c r="B715" s="70"/>
      <c r="C715" s="70"/>
      <c r="D715" s="70"/>
      <c r="E715" s="70"/>
      <c r="F715" s="70"/>
      <c r="G715" s="70"/>
      <c r="H715" s="70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  <c r="AA715" s="70"/>
      <c r="AB715" s="70"/>
      <c r="AC715" s="70"/>
      <c r="AD715" s="70"/>
      <c r="AE715" s="70"/>
      <c r="AF715" s="70"/>
      <c r="AG715" s="70"/>
      <c r="AH715" s="70"/>
      <c r="AI715" s="70"/>
      <c r="AJ715" s="70"/>
      <c r="AK715" s="70"/>
      <c r="AL715" s="70"/>
    </row>
    <row r="716" spans="1:38" ht="16.5" x14ac:dyDescent="0.25">
      <c r="A716" s="101"/>
      <c r="B716" s="70"/>
      <c r="C716" s="70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  <c r="AB716" s="70"/>
      <c r="AC716" s="70"/>
      <c r="AD716" s="70"/>
      <c r="AE716" s="70"/>
      <c r="AF716" s="70"/>
      <c r="AG716" s="70"/>
      <c r="AH716" s="70"/>
      <c r="AI716" s="70"/>
      <c r="AJ716" s="70"/>
      <c r="AK716" s="70"/>
      <c r="AL716" s="70"/>
    </row>
    <row r="717" spans="1:38" ht="16.5" x14ac:dyDescent="0.25">
      <c r="A717" s="101"/>
      <c r="B717" s="70"/>
      <c r="C717" s="70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  <c r="AA717" s="70"/>
      <c r="AB717" s="70"/>
      <c r="AC717" s="70"/>
      <c r="AD717" s="70"/>
      <c r="AE717" s="70"/>
      <c r="AF717" s="70"/>
      <c r="AG717" s="70"/>
      <c r="AH717" s="70"/>
      <c r="AI717" s="70"/>
      <c r="AJ717" s="70"/>
      <c r="AK717" s="70"/>
      <c r="AL717" s="70"/>
    </row>
    <row r="718" spans="1:38" ht="16.5" x14ac:dyDescent="0.25">
      <c r="A718" s="101"/>
      <c r="B718" s="70"/>
      <c r="C718" s="70"/>
      <c r="D718" s="70"/>
      <c r="E718" s="70"/>
      <c r="F718" s="70"/>
      <c r="G718" s="70"/>
      <c r="H718" s="70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  <c r="AA718" s="70"/>
      <c r="AB718" s="70"/>
      <c r="AC718" s="70"/>
      <c r="AD718" s="70"/>
      <c r="AE718" s="70"/>
      <c r="AF718" s="70"/>
      <c r="AG718" s="70"/>
      <c r="AH718" s="70"/>
      <c r="AI718" s="70"/>
      <c r="AJ718" s="70"/>
      <c r="AK718" s="70"/>
      <c r="AL718" s="70"/>
    </row>
    <row r="719" spans="1:38" ht="16.5" x14ac:dyDescent="0.25">
      <c r="A719" s="101"/>
      <c r="B719" s="70"/>
      <c r="C719" s="70"/>
      <c r="D719" s="70"/>
      <c r="E719" s="70"/>
      <c r="F719" s="70"/>
      <c r="G719" s="70"/>
      <c r="H719" s="70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  <c r="AA719" s="70"/>
      <c r="AB719" s="70"/>
      <c r="AC719" s="70"/>
      <c r="AD719" s="70"/>
      <c r="AE719" s="70"/>
      <c r="AF719" s="70"/>
      <c r="AG719" s="70"/>
      <c r="AH719" s="70"/>
      <c r="AI719" s="70"/>
      <c r="AJ719" s="70"/>
      <c r="AK719" s="70"/>
      <c r="AL719" s="70"/>
    </row>
    <row r="720" spans="1:38" ht="16.5" x14ac:dyDescent="0.25">
      <c r="A720" s="101"/>
      <c r="B720" s="70"/>
      <c r="C720" s="70"/>
      <c r="D720" s="70"/>
      <c r="E720" s="70"/>
      <c r="F720" s="70"/>
      <c r="G720" s="70"/>
      <c r="H720" s="70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  <c r="AA720" s="70"/>
      <c r="AB720" s="70"/>
      <c r="AC720" s="70"/>
      <c r="AD720" s="70"/>
      <c r="AE720" s="70"/>
      <c r="AF720" s="70"/>
      <c r="AG720" s="70"/>
      <c r="AH720" s="70"/>
      <c r="AI720" s="70"/>
      <c r="AJ720" s="70"/>
      <c r="AK720" s="70"/>
      <c r="AL720" s="70"/>
    </row>
    <row r="721" spans="1:38" ht="16.5" x14ac:dyDescent="0.25">
      <c r="A721" s="101"/>
      <c r="B721" s="70"/>
      <c r="C721" s="70"/>
      <c r="D721" s="70"/>
      <c r="E721" s="70"/>
      <c r="F721" s="70"/>
      <c r="G721" s="70"/>
      <c r="H721" s="70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  <c r="AA721" s="70"/>
      <c r="AB721" s="70"/>
      <c r="AC721" s="70"/>
      <c r="AD721" s="70"/>
      <c r="AE721" s="70"/>
      <c r="AF721" s="70"/>
      <c r="AG721" s="70"/>
      <c r="AH721" s="70"/>
      <c r="AI721" s="70"/>
      <c r="AJ721" s="70"/>
      <c r="AK721" s="70"/>
      <c r="AL721" s="70"/>
    </row>
    <row r="722" spans="1:38" ht="16.5" x14ac:dyDescent="0.25">
      <c r="A722" s="101"/>
      <c r="B722" s="70"/>
      <c r="C722" s="70"/>
      <c r="D722" s="70"/>
      <c r="E722" s="70"/>
      <c r="F722" s="70"/>
      <c r="G722" s="70"/>
      <c r="H722" s="70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  <c r="AA722" s="70"/>
      <c r="AB722" s="70"/>
      <c r="AC722" s="70"/>
      <c r="AD722" s="70"/>
      <c r="AE722" s="70"/>
      <c r="AF722" s="70"/>
      <c r="AG722" s="70"/>
      <c r="AH722" s="70"/>
      <c r="AI722" s="70"/>
      <c r="AJ722" s="70"/>
      <c r="AK722" s="70"/>
      <c r="AL722" s="70"/>
    </row>
    <row r="723" spans="1:38" ht="16.5" x14ac:dyDescent="0.25">
      <c r="A723" s="101"/>
      <c r="B723" s="70"/>
      <c r="C723" s="70"/>
      <c r="D723" s="70"/>
      <c r="E723" s="70"/>
      <c r="F723" s="70"/>
      <c r="G723" s="70"/>
      <c r="H723" s="70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  <c r="AA723" s="70"/>
      <c r="AB723" s="70"/>
      <c r="AC723" s="70"/>
      <c r="AD723" s="70"/>
      <c r="AE723" s="70"/>
      <c r="AF723" s="70"/>
      <c r="AG723" s="70"/>
      <c r="AH723" s="70"/>
      <c r="AI723" s="70"/>
      <c r="AJ723" s="70"/>
      <c r="AK723" s="70"/>
      <c r="AL723" s="70"/>
    </row>
    <row r="724" spans="1:38" ht="16.5" x14ac:dyDescent="0.25">
      <c r="A724" s="101"/>
      <c r="B724" s="70"/>
      <c r="C724" s="70"/>
      <c r="D724" s="70"/>
      <c r="E724" s="70"/>
      <c r="F724" s="70"/>
      <c r="G724" s="70"/>
      <c r="H724" s="70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  <c r="AA724" s="70"/>
      <c r="AB724" s="70"/>
      <c r="AC724" s="70"/>
      <c r="AD724" s="70"/>
      <c r="AE724" s="70"/>
      <c r="AF724" s="70"/>
      <c r="AG724" s="70"/>
      <c r="AH724" s="70"/>
      <c r="AI724" s="70"/>
      <c r="AJ724" s="70"/>
      <c r="AK724" s="70"/>
      <c r="AL724" s="70"/>
    </row>
    <row r="725" spans="1:38" ht="16.5" x14ac:dyDescent="0.25">
      <c r="A725" s="101"/>
      <c r="B725" s="70"/>
      <c r="C725" s="70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  <c r="AA725" s="70"/>
      <c r="AB725" s="70"/>
      <c r="AC725" s="70"/>
      <c r="AD725" s="70"/>
      <c r="AE725" s="70"/>
      <c r="AF725" s="70"/>
      <c r="AG725" s="70"/>
      <c r="AH725" s="70"/>
      <c r="AI725" s="70"/>
      <c r="AJ725" s="70"/>
      <c r="AK725" s="70"/>
      <c r="AL725" s="70"/>
    </row>
    <row r="726" spans="1:38" ht="16.5" x14ac:dyDescent="0.25">
      <c r="A726" s="101"/>
      <c r="B726" s="70"/>
      <c r="C726" s="70"/>
      <c r="D726" s="70"/>
      <c r="E726" s="70"/>
      <c r="F726" s="70"/>
      <c r="G726" s="70"/>
      <c r="H726" s="70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  <c r="AA726" s="70"/>
      <c r="AB726" s="70"/>
      <c r="AC726" s="70"/>
      <c r="AD726" s="70"/>
      <c r="AE726" s="70"/>
      <c r="AF726" s="70"/>
      <c r="AG726" s="70"/>
      <c r="AH726" s="70"/>
      <c r="AI726" s="70"/>
      <c r="AJ726" s="70"/>
      <c r="AK726" s="70"/>
      <c r="AL726" s="70"/>
    </row>
    <row r="727" spans="1:38" ht="16.5" x14ac:dyDescent="0.25">
      <c r="A727" s="101"/>
      <c r="B727" s="70"/>
      <c r="C727" s="70"/>
      <c r="D727" s="70"/>
      <c r="E727" s="70"/>
      <c r="F727" s="70"/>
      <c r="G727" s="70"/>
      <c r="H727" s="70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70"/>
      <c r="AB727" s="70"/>
      <c r="AC727" s="70"/>
      <c r="AD727" s="70"/>
      <c r="AE727" s="70"/>
      <c r="AF727" s="70"/>
      <c r="AG727" s="70"/>
      <c r="AH727" s="70"/>
      <c r="AI727" s="70"/>
      <c r="AJ727" s="70"/>
      <c r="AK727" s="70"/>
      <c r="AL727" s="70"/>
    </row>
    <row r="728" spans="1:38" ht="16.5" x14ac:dyDescent="0.25">
      <c r="A728" s="101"/>
      <c r="B728" s="70"/>
      <c r="C728" s="70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  <c r="AB728" s="70"/>
      <c r="AC728" s="70"/>
      <c r="AD728" s="70"/>
      <c r="AE728" s="70"/>
      <c r="AF728" s="70"/>
      <c r="AG728" s="70"/>
      <c r="AH728" s="70"/>
      <c r="AI728" s="70"/>
      <c r="AJ728" s="70"/>
      <c r="AK728" s="70"/>
      <c r="AL728" s="70"/>
    </row>
    <row r="729" spans="1:38" ht="16.5" x14ac:dyDescent="0.25">
      <c r="A729" s="101"/>
      <c r="B729" s="70"/>
      <c r="C729" s="70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  <c r="AC729" s="70"/>
      <c r="AD729" s="70"/>
      <c r="AE729" s="70"/>
      <c r="AF729" s="70"/>
      <c r="AG729" s="70"/>
      <c r="AH729" s="70"/>
      <c r="AI729" s="70"/>
      <c r="AJ729" s="70"/>
      <c r="AK729" s="70"/>
      <c r="AL729" s="70"/>
    </row>
    <row r="730" spans="1:38" ht="16.5" x14ac:dyDescent="0.25">
      <c r="A730" s="101"/>
      <c r="B730" s="70"/>
      <c r="C730" s="70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  <c r="AB730" s="70"/>
      <c r="AC730" s="70"/>
      <c r="AD730" s="70"/>
      <c r="AE730" s="70"/>
      <c r="AF730" s="70"/>
      <c r="AG730" s="70"/>
      <c r="AH730" s="70"/>
      <c r="AI730" s="70"/>
      <c r="AJ730" s="70"/>
      <c r="AK730" s="70"/>
      <c r="AL730" s="70"/>
    </row>
    <row r="731" spans="1:38" ht="16.5" x14ac:dyDescent="0.25">
      <c r="A731" s="101"/>
      <c r="B731" s="70"/>
      <c r="C731" s="70"/>
      <c r="D731" s="70"/>
      <c r="E731" s="70"/>
      <c r="F731" s="70"/>
      <c r="G731" s="70"/>
      <c r="H731" s="70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  <c r="AA731" s="70"/>
      <c r="AB731" s="70"/>
      <c r="AC731" s="70"/>
      <c r="AD731" s="70"/>
      <c r="AE731" s="70"/>
      <c r="AF731" s="70"/>
      <c r="AG731" s="70"/>
      <c r="AH731" s="70"/>
      <c r="AI731" s="70"/>
      <c r="AJ731" s="70"/>
      <c r="AK731" s="70"/>
      <c r="AL731" s="70"/>
    </row>
    <row r="732" spans="1:38" ht="16.5" x14ac:dyDescent="0.25">
      <c r="A732" s="101"/>
      <c r="B732" s="70"/>
      <c r="C732" s="70"/>
      <c r="D732" s="70"/>
      <c r="E732" s="70"/>
      <c r="F732" s="70"/>
      <c r="G732" s="70"/>
      <c r="H732" s="70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  <c r="AA732" s="70"/>
      <c r="AB732" s="70"/>
      <c r="AC732" s="70"/>
      <c r="AD732" s="70"/>
      <c r="AE732" s="70"/>
      <c r="AF732" s="70"/>
      <c r="AG732" s="70"/>
      <c r="AH732" s="70"/>
      <c r="AI732" s="70"/>
      <c r="AJ732" s="70"/>
      <c r="AK732" s="70"/>
      <c r="AL732" s="70"/>
    </row>
    <row r="733" spans="1:38" ht="16.5" x14ac:dyDescent="0.25">
      <c r="A733" s="101"/>
      <c r="B733" s="70"/>
      <c r="C733" s="70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  <c r="AA733" s="70"/>
      <c r="AB733" s="70"/>
      <c r="AC733" s="70"/>
      <c r="AD733" s="70"/>
      <c r="AE733" s="70"/>
      <c r="AF733" s="70"/>
      <c r="AG733" s="70"/>
      <c r="AH733" s="70"/>
      <c r="AI733" s="70"/>
      <c r="AJ733" s="70"/>
      <c r="AK733" s="70"/>
      <c r="AL733" s="70"/>
    </row>
    <row r="734" spans="1:38" ht="16.5" x14ac:dyDescent="0.25">
      <c r="A734" s="101"/>
      <c r="B734" s="70"/>
      <c r="C734" s="70"/>
      <c r="D734" s="70"/>
      <c r="E734" s="70"/>
      <c r="F734" s="70"/>
      <c r="G734" s="70"/>
      <c r="H734" s="70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  <c r="AA734" s="70"/>
      <c r="AB734" s="70"/>
      <c r="AC734" s="70"/>
      <c r="AD734" s="70"/>
      <c r="AE734" s="70"/>
      <c r="AF734" s="70"/>
      <c r="AG734" s="70"/>
      <c r="AH734" s="70"/>
      <c r="AI734" s="70"/>
      <c r="AJ734" s="70"/>
      <c r="AK734" s="70"/>
      <c r="AL734" s="70"/>
    </row>
    <row r="735" spans="1:38" ht="16.5" x14ac:dyDescent="0.25">
      <c r="A735" s="101"/>
      <c r="B735" s="70"/>
      <c r="C735" s="70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  <c r="AC735" s="70"/>
      <c r="AD735" s="70"/>
      <c r="AE735" s="70"/>
      <c r="AF735" s="70"/>
      <c r="AG735" s="70"/>
      <c r="AH735" s="70"/>
      <c r="AI735" s="70"/>
      <c r="AJ735" s="70"/>
      <c r="AK735" s="70"/>
      <c r="AL735" s="70"/>
    </row>
    <row r="736" spans="1:38" ht="16.5" x14ac:dyDescent="0.25">
      <c r="A736" s="101"/>
      <c r="B736" s="70"/>
      <c r="C736" s="70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  <c r="AC736" s="70"/>
      <c r="AD736" s="70"/>
      <c r="AE736" s="70"/>
      <c r="AF736" s="70"/>
      <c r="AG736" s="70"/>
      <c r="AH736" s="70"/>
      <c r="AI736" s="70"/>
      <c r="AJ736" s="70"/>
      <c r="AK736" s="70"/>
      <c r="AL736" s="70"/>
    </row>
    <row r="737" spans="1:38" ht="16.5" x14ac:dyDescent="0.25">
      <c r="A737" s="101"/>
      <c r="B737" s="70"/>
      <c r="C737" s="70"/>
      <c r="D737" s="70"/>
      <c r="E737" s="70"/>
      <c r="F737" s="70"/>
      <c r="G737" s="70"/>
      <c r="H737" s="70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  <c r="AC737" s="70"/>
      <c r="AD737" s="70"/>
      <c r="AE737" s="70"/>
      <c r="AF737" s="70"/>
      <c r="AG737" s="70"/>
      <c r="AH737" s="70"/>
      <c r="AI737" s="70"/>
      <c r="AJ737" s="70"/>
      <c r="AK737" s="70"/>
      <c r="AL737" s="70"/>
    </row>
    <row r="738" spans="1:38" ht="16.5" x14ac:dyDescent="0.25">
      <c r="A738" s="101"/>
      <c r="B738" s="70"/>
      <c r="C738" s="70"/>
      <c r="D738" s="70"/>
      <c r="E738" s="70"/>
      <c r="F738" s="70"/>
      <c r="G738" s="70"/>
      <c r="H738" s="70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  <c r="AA738" s="70"/>
      <c r="AB738" s="70"/>
      <c r="AC738" s="70"/>
      <c r="AD738" s="70"/>
      <c r="AE738" s="70"/>
      <c r="AF738" s="70"/>
      <c r="AG738" s="70"/>
      <c r="AH738" s="70"/>
      <c r="AI738" s="70"/>
      <c r="AJ738" s="70"/>
      <c r="AK738" s="70"/>
      <c r="AL738" s="70"/>
    </row>
    <row r="739" spans="1:38" ht="16.5" x14ac:dyDescent="0.25">
      <c r="A739" s="101"/>
      <c r="B739" s="70"/>
      <c r="C739" s="70"/>
      <c r="D739" s="70"/>
      <c r="E739" s="70"/>
      <c r="F739" s="70"/>
      <c r="G739" s="70"/>
      <c r="H739" s="70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  <c r="AA739" s="70"/>
      <c r="AB739" s="70"/>
      <c r="AC739" s="70"/>
      <c r="AD739" s="70"/>
      <c r="AE739" s="70"/>
      <c r="AF739" s="70"/>
      <c r="AG739" s="70"/>
      <c r="AH739" s="70"/>
      <c r="AI739" s="70"/>
      <c r="AJ739" s="70"/>
      <c r="AK739" s="70"/>
      <c r="AL739" s="70"/>
    </row>
    <row r="740" spans="1:38" ht="16.5" x14ac:dyDescent="0.25">
      <c r="A740" s="101"/>
      <c r="B740" s="70"/>
      <c r="C740" s="70"/>
      <c r="D740" s="70"/>
      <c r="E740" s="70"/>
      <c r="F740" s="70"/>
      <c r="G740" s="70"/>
      <c r="H740" s="70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  <c r="AA740" s="70"/>
      <c r="AB740" s="70"/>
      <c r="AC740" s="70"/>
      <c r="AD740" s="70"/>
      <c r="AE740" s="70"/>
      <c r="AF740" s="70"/>
      <c r="AG740" s="70"/>
      <c r="AH740" s="70"/>
      <c r="AI740" s="70"/>
      <c r="AJ740" s="70"/>
      <c r="AK740" s="70"/>
      <c r="AL740" s="70"/>
    </row>
    <row r="741" spans="1:38" ht="16.5" x14ac:dyDescent="0.25">
      <c r="A741" s="101"/>
      <c r="B741" s="70"/>
      <c r="C741" s="70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  <c r="AA741" s="70"/>
      <c r="AB741" s="70"/>
      <c r="AC741" s="70"/>
      <c r="AD741" s="70"/>
      <c r="AE741" s="70"/>
      <c r="AF741" s="70"/>
      <c r="AG741" s="70"/>
      <c r="AH741" s="70"/>
      <c r="AI741" s="70"/>
      <c r="AJ741" s="70"/>
      <c r="AK741" s="70"/>
      <c r="AL741" s="70"/>
    </row>
    <row r="742" spans="1:38" ht="16.5" x14ac:dyDescent="0.25">
      <c r="A742" s="101"/>
      <c r="B742" s="70"/>
      <c r="C742" s="70"/>
      <c r="D742" s="70"/>
      <c r="E742" s="70"/>
      <c r="F742" s="70"/>
      <c r="G742" s="70"/>
      <c r="H742" s="70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  <c r="AC742" s="70"/>
      <c r="AD742" s="70"/>
      <c r="AE742" s="70"/>
      <c r="AF742" s="70"/>
      <c r="AG742" s="70"/>
      <c r="AH742" s="70"/>
      <c r="AI742" s="70"/>
      <c r="AJ742" s="70"/>
      <c r="AK742" s="70"/>
      <c r="AL742" s="70"/>
    </row>
    <row r="743" spans="1:38" ht="16.5" x14ac:dyDescent="0.25">
      <c r="A743" s="101"/>
      <c r="B743" s="70"/>
      <c r="C743" s="70"/>
      <c r="D743" s="70"/>
      <c r="E743" s="70"/>
      <c r="F743" s="70"/>
      <c r="G743" s="70"/>
      <c r="H743" s="70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  <c r="AA743" s="70"/>
      <c r="AB743" s="70"/>
      <c r="AC743" s="70"/>
      <c r="AD743" s="70"/>
      <c r="AE743" s="70"/>
      <c r="AF743" s="70"/>
      <c r="AG743" s="70"/>
      <c r="AH743" s="70"/>
      <c r="AI743" s="70"/>
      <c r="AJ743" s="70"/>
      <c r="AK743" s="70"/>
      <c r="AL743" s="70"/>
    </row>
    <row r="744" spans="1:38" ht="16.5" x14ac:dyDescent="0.25">
      <c r="A744" s="101"/>
      <c r="B744" s="70"/>
      <c r="C744" s="70"/>
      <c r="D744" s="70"/>
      <c r="E744" s="70"/>
      <c r="F744" s="70"/>
      <c r="G744" s="70"/>
      <c r="H744" s="70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  <c r="AC744" s="70"/>
      <c r="AD744" s="70"/>
      <c r="AE744" s="70"/>
      <c r="AF744" s="70"/>
      <c r="AG744" s="70"/>
      <c r="AH744" s="70"/>
      <c r="AI744" s="70"/>
      <c r="AJ744" s="70"/>
      <c r="AK744" s="70"/>
      <c r="AL744" s="70"/>
    </row>
    <row r="745" spans="1:38" ht="16.5" x14ac:dyDescent="0.25">
      <c r="A745" s="101"/>
      <c r="B745" s="70"/>
      <c r="C745" s="70"/>
      <c r="D745" s="70"/>
      <c r="E745" s="70"/>
      <c r="F745" s="70"/>
      <c r="G745" s="70"/>
      <c r="H745" s="70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  <c r="AC745" s="70"/>
      <c r="AD745" s="70"/>
      <c r="AE745" s="70"/>
      <c r="AF745" s="70"/>
      <c r="AG745" s="70"/>
      <c r="AH745" s="70"/>
      <c r="AI745" s="70"/>
      <c r="AJ745" s="70"/>
      <c r="AK745" s="70"/>
      <c r="AL745" s="70"/>
    </row>
    <row r="746" spans="1:38" ht="16.5" x14ac:dyDescent="0.25">
      <c r="A746" s="101"/>
      <c r="B746" s="70"/>
      <c r="C746" s="70"/>
      <c r="D746" s="70"/>
      <c r="E746" s="70"/>
      <c r="F746" s="70"/>
      <c r="G746" s="70"/>
      <c r="H746" s="70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  <c r="AC746" s="70"/>
      <c r="AD746" s="70"/>
      <c r="AE746" s="70"/>
      <c r="AF746" s="70"/>
      <c r="AG746" s="70"/>
      <c r="AH746" s="70"/>
      <c r="AI746" s="70"/>
      <c r="AJ746" s="70"/>
      <c r="AK746" s="70"/>
      <c r="AL746" s="70"/>
    </row>
    <row r="747" spans="1:38" ht="16.5" x14ac:dyDescent="0.25">
      <c r="A747" s="101"/>
      <c r="B747" s="70"/>
      <c r="C747" s="70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  <c r="AC747" s="70"/>
      <c r="AD747" s="70"/>
      <c r="AE747" s="70"/>
      <c r="AF747" s="70"/>
      <c r="AG747" s="70"/>
      <c r="AH747" s="70"/>
      <c r="AI747" s="70"/>
      <c r="AJ747" s="70"/>
      <c r="AK747" s="70"/>
      <c r="AL747" s="70"/>
    </row>
    <row r="748" spans="1:38" ht="16.5" x14ac:dyDescent="0.25">
      <c r="A748" s="101"/>
      <c r="B748" s="70"/>
      <c r="C748" s="70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  <c r="AC748" s="70"/>
      <c r="AD748" s="70"/>
      <c r="AE748" s="70"/>
      <c r="AF748" s="70"/>
      <c r="AG748" s="70"/>
      <c r="AH748" s="70"/>
      <c r="AI748" s="70"/>
      <c r="AJ748" s="70"/>
      <c r="AK748" s="70"/>
      <c r="AL748" s="70"/>
    </row>
    <row r="749" spans="1:38" ht="16.5" x14ac:dyDescent="0.25">
      <c r="A749" s="101"/>
      <c r="B749" s="70"/>
      <c r="C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  <c r="AC749" s="70"/>
      <c r="AD749" s="70"/>
      <c r="AE749" s="70"/>
      <c r="AF749" s="70"/>
      <c r="AG749" s="70"/>
      <c r="AH749" s="70"/>
      <c r="AI749" s="70"/>
      <c r="AJ749" s="70"/>
      <c r="AK749" s="70"/>
      <c r="AL749" s="70"/>
    </row>
    <row r="750" spans="1:38" ht="16.5" x14ac:dyDescent="0.25">
      <c r="A750" s="101"/>
      <c r="B750" s="70"/>
      <c r="C750" s="70"/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  <c r="AC750" s="70"/>
      <c r="AD750" s="70"/>
      <c r="AE750" s="70"/>
      <c r="AF750" s="70"/>
      <c r="AG750" s="70"/>
      <c r="AH750" s="70"/>
      <c r="AI750" s="70"/>
      <c r="AJ750" s="70"/>
      <c r="AK750" s="70"/>
      <c r="AL750" s="70"/>
    </row>
    <row r="751" spans="1:38" ht="16.5" x14ac:dyDescent="0.25">
      <c r="A751" s="101"/>
      <c r="B751" s="70"/>
      <c r="C751" s="70"/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  <c r="AC751" s="70"/>
      <c r="AD751" s="70"/>
      <c r="AE751" s="70"/>
      <c r="AF751" s="70"/>
      <c r="AG751" s="70"/>
      <c r="AH751" s="70"/>
      <c r="AI751" s="70"/>
      <c r="AJ751" s="70"/>
      <c r="AK751" s="70"/>
      <c r="AL751" s="70"/>
    </row>
    <row r="752" spans="1:38" ht="16.5" x14ac:dyDescent="0.25">
      <c r="A752" s="101"/>
      <c r="B752" s="70"/>
      <c r="C752" s="70"/>
      <c r="D752" s="70"/>
      <c r="E752" s="70"/>
      <c r="F752" s="70"/>
      <c r="G752" s="70"/>
      <c r="H752" s="70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  <c r="AA752" s="70"/>
      <c r="AB752" s="70"/>
      <c r="AC752" s="70"/>
      <c r="AD752" s="70"/>
      <c r="AE752" s="70"/>
      <c r="AF752" s="70"/>
      <c r="AG752" s="70"/>
      <c r="AH752" s="70"/>
      <c r="AI752" s="70"/>
      <c r="AJ752" s="70"/>
      <c r="AK752" s="70"/>
      <c r="AL752" s="70"/>
    </row>
    <row r="753" spans="1:38" ht="16.5" x14ac:dyDescent="0.25">
      <c r="A753" s="101"/>
      <c r="B753" s="70"/>
      <c r="C753" s="70"/>
      <c r="D753" s="70"/>
      <c r="E753" s="70"/>
      <c r="F753" s="70"/>
      <c r="G753" s="70"/>
      <c r="H753" s="70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  <c r="AA753" s="70"/>
      <c r="AB753" s="70"/>
      <c r="AC753" s="70"/>
      <c r="AD753" s="70"/>
      <c r="AE753" s="70"/>
      <c r="AF753" s="70"/>
      <c r="AG753" s="70"/>
      <c r="AH753" s="70"/>
      <c r="AI753" s="70"/>
      <c r="AJ753" s="70"/>
      <c r="AK753" s="70"/>
      <c r="AL753" s="70"/>
    </row>
    <row r="754" spans="1:38" ht="16.5" x14ac:dyDescent="0.25">
      <c r="A754" s="101"/>
      <c r="B754" s="70"/>
      <c r="C754" s="70"/>
      <c r="D754" s="70"/>
      <c r="E754" s="70"/>
      <c r="F754" s="70"/>
      <c r="G754" s="70"/>
      <c r="H754" s="70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  <c r="AA754" s="70"/>
      <c r="AB754" s="70"/>
      <c r="AC754" s="70"/>
      <c r="AD754" s="70"/>
      <c r="AE754" s="70"/>
      <c r="AF754" s="70"/>
      <c r="AG754" s="70"/>
      <c r="AH754" s="70"/>
      <c r="AI754" s="70"/>
      <c r="AJ754" s="70"/>
      <c r="AK754" s="70"/>
      <c r="AL754" s="70"/>
    </row>
    <row r="755" spans="1:38" ht="16.5" x14ac:dyDescent="0.25">
      <c r="A755" s="101"/>
      <c r="B755" s="70"/>
      <c r="C755" s="70"/>
      <c r="D755" s="70"/>
      <c r="E755" s="70"/>
      <c r="F755" s="70"/>
      <c r="G755" s="70"/>
      <c r="H755" s="70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  <c r="AA755" s="70"/>
      <c r="AB755" s="70"/>
      <c r="AC755" s="70"/>
      <c r="AD755" s="70"/>
      <c r="AE755" s="70"/>
      <c r="AF755" s="70"/>
      <c r="AG755" s="70"/>
      <c r="AH755" s="70"/>
      <c r="AI755" s="70"/>
      <c r="AJ755" s="70"/>
      <c r="AK755" s="70"/>
      <c r="AL755" s="70"/>
    </row>
    <row r="756" spans="1:38" ht="16.5" x14ac:dyDescent="0.25">
      <c r="A756" s="101"/>
      <c r="B756" s="70"/>
      <c r="C756" s="70"/>
      <c r="D756" s="70"/>
      <c r="E756" s="70"/>
      <c r="F756" s="70"/>
      <c r="G756" s="70"/>
      <c r="H756" s="70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  <c r="AA756" s="70"/>
      <c r="AB756" s="70"/>
      <c r="AC756" s="70"/>
      <c r="AD756" s="70"/>
      <c r="AE756" s="70"/>
      <c r="AF756" s="70"/>
      <c r="AG756" s="70"/>
      <c r="AH756" s="70"/>
      <c r="AI756" s="70"/>
      <c r="AJ756" s="70"/>
      <c r="AK756" s="70"/>
      <c r="AL756" s="70"/>
    </row>
    <row r="757" spans="1:38" ht="16.5" x14ac:dyDescent="0.25">
      <c r="A757" s="101"/>
      <c r="B757" s="70"/>
      <c r="C757" s="70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  <c r="AA757" s="70"/>
      <c r="AB757" s="70"/>
      <c r="AC757" s="70"/>
      <c r="AD757" s="70"/>
      <c r="AE757" s="70"/>
      <c r="AF757" s="70"/>
      <c r="AG757" s="70"/>
      <c r="AH757" s="70"/>
      <c r="AI757" s="70"/>
      <c r="AJ757" s="70"/>
      <c r="AK757" s="70"/>
      <c r="AL757" s="70"/>
    </row>
    <row r="758" spans="1:38" ht="16.5" x14ac:dyDescent="0.25">
      <c r="A758" s="101"/>
      <c r="B758" s="70"/>
      <c r="C758" s="70"/>
      <c r="D758" s="70"/>
      <c r="E758" s="70"/>
      <c r="F758" s="70"/>
      <c r="G758" s="70"/>
      <c r="H758" s="70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  <c r="AA758" s="70"/>
      <c r="AB758" s="70"/>
      <c r="AC758" s="70"/>
      <c r="AD758" s="70"/>
      <c r="AE758" s="70"/>
      <c r="AF758" s="70"/>
      <c r="AG758" s="70"/>
      <c r="AH758" s="70"/>
      <c r="AI758" s="70"/>
      <c r="AJ758" s="70"/>
      <c r="AK758" s="70"/>
      <c r="AL758" s="70"/>
    </row>
    <row r="759" spans="1:38" ht="16.5" x14ac:dyDescent="0.25">
      <c r="A759" s="101"/>
      <c r="B759" s="70"/>
      <c r="C759" s="70"/>
      <c r="D759" s="70"/>
      <c r="E759" s="70"/>
      <c r="F759" s="70"/>
      <c r="G759" s="70"/>
      <c r="H759" s="70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  <c r="AA759" s="70"/>
      <c r="AB759" s="70"/>
      <c r="AC759" s="70"/>
      <c r="AD759" s="70"/>
      <c r="AE759" s="70"/>
      <c r="AF759" s="70"/>
      <c r="AG759" s="70"/>
      <c r="AH759" s="70"/>
      <c r="AI759" s="70"/>
      <c r="AJ759" s="70"/>
      <c r="AK759" s="70"/>
      <c r="AL759" s="70"/>
    </row>
    <row r="760" spans="1:38" ht="16.5" x14ac:dyDescent="0.25">
      <c r="A760" s="101"/>
      <c r="B760" s="70"/>
      <c r="C760" s="70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  <c r="AA760" s="70"/>
      <c r="AB760" s="70"/>
      <c r="AC760" s="70"/>
      <c r="AD760" s="70"/>
      <c r="AE760" s="70"/>
      <c r="AF760" s="70"/>
      <c r="AG760" s="70"/>
      <c r="AH760" s="70"/>
      <c r="AI760" s="70"/>
      <c r="AJ760" s="70"/>
      <c r="AK760" s="70"/>
      <c r="AL760" s="70"/>
    </row>
    <row r="761" spans="1:38" ht="16.5" x14ac:dyDescent="0.25">
      <c r="A761" s="101"/>
      <c r="B761" s="70"/>
      <c r="C761" s="70"/>
      <c r="D761" s="70"/>
      <c r="E761" s="70"/>
      <c r="F761" s="70"/>
      <c r="G761" s="70"/>
      <c r="H761" s="70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  <c r="AA761" s="70"/>
      <c r="AB761" s="70"/>
      <c r="AC761" s="70"/>
      <c r="AD761" s="70"/>
      <c r="AE761" s="70"/>
      <c r="AF761" s="70"/>
      <c r="AG761" s="70"/>
      <c r="AH761" s="70"/>
      <c r="AI761" s="70"/>
      <c r="AJ761" s="70"/>
      <c r="AK761" s="70"/>
      <c r="AL761" s="70"/>
    </row>
    <row r="762" spans="1:38" ht="16.5" x14ac:dyDescent="0.25">
      <c r="A762" s="101"/>
      <c r="B762" s="70"/>
      <c r="C762" s="70"/>
      <c r="D762" s="70"/>
      <c r="E762" s="70"/>
      <c r="F762" s="70"/>
      <c r="G762" s="70"/>
      <c r="H762" s="70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  <c r="AA762" s="70"/>
      <c r="AB762" s="70"/>
      <c r="AC762" s="70"/>
      <c r="AD762" s="70"/>
      <c r="AE762" s="70"/>
      <c r="AF762" s="70"/>
      <c r="AG762" s="70"/>
      <c r="AH762" s="70"/>
      <c r="AI762" s="70"/>
      <c r="AJ762" s="70"/>
      <c r="AK762" s="70"/>
      <c r="AL762" s="70"/>
    </row>
    <row r="763" spans="1:38" ht="16.5" x14ac:dyDescent="0.25">
      <c r="A763" s="101"/>
      <c r="B763" s="70"/>
      <c r="C763" s="70"/>
      <c r="D763" s="70"/>
      <c r="E763" s="70"/>
      <c r="F763" s="70"/>
      <c r="G763" s="70"/>
      <c r="H763" s="70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  <c r="AA763" s="70"/>
      <c r="AB763" s="70"/>
      <c r="AC763" s="70"/>
      <c r="AD763" s="70"/>
      <c r="AE763" s="70"/>
      <c r="AF763" s="70"/>
      <c r="AG763" s="70"/>
      <c r="AH763" s="70"/>
      <c r="AI763" s="70"/>
      <c r="AJ763" s="70"/>
      <c r="AK763" s="70"/>
      <c r="AL763" s="70"/>
    </row>
    <row r="764" spans="1:38" ht="16.5" x14ac:dyDescent="0.25">
      <c r="A764" s="101"/>
      <c r="B764" s="70"/>
      <c r="C764" s="70"/>
      <c r="D764" s="70"/>
      <c r="E764" s="70"/>
      <c r="F764" s="70"/>
      <c r="G764" s="70"/>
      <c r="H764" s="70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  <c r="AA764" s="70"/>
      <c r="AB764" s="70"/>
      <c r="AC764" s="70"/>
      <c r="AD764" s="70"/>
      <c r="AE764" s="70"/>
      <c r="AF764" s="70"/>
      <c r="AG764" s="70"/>
      <c r="AH764" s="70"/>
      <c r="AI764" s="70"/>
      <c r="AJ764" s="70"/>
      <c r="AK764" s="70"/>
      <c r="AL764" s="70"/>
    </row>
    <row r="765" spans="1:38" ht="16.5" x14ac:dyDescent="0.25">
      <c r="A765" s="101"/>
      <c r="B765" s="70"/>
      <c r="C765" s="70"/>
      <c r="D765" s="70"/>
      <c r="E765" s="70"/>
      <c r="F765" s="70"/>
      <c r="G765" s="70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  <c r="AA765" s="70"/>
      <c r="AB765" s="70"/>
      <c r="AC765" s="70"/>
      <c r="AD765" s="70"/>
      <c r="AE765" s="70"/>
      <c r="AF765" s="70"/>
      <c r="AG765" s="70"/>
      <c r="AH765" s="70"/>
      <c r="AI765" s="70"/>
      <c r="AJ765" s="70"/>
      <c r="AK765" s="70"/>
      <c r="AL765" s="70"/>
    </row>
    <row r="766" spans="1:38" ht="16.5" x14ac:dyDescent="0.25">
      <c r="A766" s="101"/>
      <c r="B766" s="70"/>
      <c r="C766" s="70"/>
      <c r="D766" s="70"/>
      <c r="E766" s="70"/>
      <c r="F766" s="70"/>
      <c r="G766" s="70"/>
      <c r="H766" s="70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  <c r="AA766" s="70"/>
      <c r="AB766" s="70"/>
      <c r="AC766" s="70"/>
      <c r="AD766" s="70"/>
      <c r="AE766" s="70"/>
      <c r="AF766" s="70"/>
      <c r="AG766" s="70"/>
      <c r="AH766" s="70"/>
      <c r="AI766" s="70"/>
      <c r="AJ766" s="70"/>
      <c r="AK766" s="70"/>
      <c r="AL766" s="70"/>
    </row>
    <row r="767" spans="1:38" ht="16.5" x14ac:dyDescent="0.25">
      <c r="A767" s="101"/>
      <c r="B767" s="70"/>
      <c r="C767" s="70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  <c r="AA767" s="70"/>
      <c r="AB767" s="70"/>
      <c r="AC767" s="70"/>
      <c r="AD767" s="70"/>
      <c r="AE767" s="70"/>
      <c r="AF767" s="70"/>
      <c r="AG767" s="70"/>
      <c r="AH767" s="70"/>
      <c r="AI767" s="70"/>
      <c r="AJ767" s="70"/>
      <c r="AK767" s="70"/>
      <c r="AL767" s="70"/>
    </row>
    <row r="768" spans="1:38" ht="16.5" x14ac:dyDescent="0.25">
      <c r="A768" s="101"/>
      <c r="B768" s="70"/>
      <c r="C768" s="70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  <c r="AA768" s="70"/>
      <c r="AB768" s="70"/>
      <c r="AC768" s="70"/>
      <c r="AD768" s="70"/>
      <c r="AE768" s="70"/>
      <c r="AF768" s="70"/>
      <c r="AG768" s="70"/>
      <c r="AH768" s="70"/>
      <c r="AI768" s="70"/>
      <c r="AJ768" s="70"/>
      <c r="AK768" s="70"/>
      <c r="AL768" s="70"/>
    </row>
    <row r="769" spans="1:38" ht="16.5" x14ac:dyDescent="0.25">
      <c r="A769" s="101"/>
      <c r="B769" s="70"/>
      <c r="C769" s="70"/>
      <c r="D769" s="70"/>
      <c r="E769" s="70"/>
      <c r="F769" s="70"/>
      <c r="G769" s="70"/>
      <c r="H769" s="70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  <c r="AA769" s="70"/>
      <c r="AB769" s="70"/>
      <c r="AC769" s="70"/>
      <c r="AD769" s="70"/>
      <c r="AE769" s="70"/>
      <c r="AF769" s="70"/>
      <c r="AG769" s="70"/>
      <c r="AH769" s="70"/>
      <c r="AI769" s="70"/>
      <c r="AJ769" s="70"/>
      <c r="AK769" s="70"/>
      <c r="AL769" s="70"/>
    </row>
    <row r="770" spans="1:38" ht="16.5" x14ac:dyDescent="0.25">
      <c r="A770" s="101"/>
      <c r="B770" s="70"/>
      <c r="C770" s="70"/>
      <c r="D770" s="70"/>
      <c r="E770" s="70"/>
      <c r="F770" s="70"/>
      <c r="G770" s="70"/>
      <c r="H770" s="70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  <c r="AA770" s="70"/>
      <c r="AB770" s="70"/>
      <c r="AC770" s="70"/>
      <c r="AD770" s="70"/>
      <c r="AE770" s="70"/>
      <c r="AF770" s="70"/>
      <c r="AG770" s="70"/>
      <c r="AH770" s="70"/>
      <c r="AI770" s="70"/>
      <c r="AJ770" s="70"/>
      <c r="AK770" s="70"/>
      <c r="AL770" s="70"/>
    </row>
    <row r="771" spans="1:38" ht="16.5" x14ac:dyDescent="0.25">
      <c r="A771" s="101"/>
      <c r="B771" s="70"/>
      <c r="C771" s="70"/>
      <c r="D771" s="70"/>
      <c r="E771" s="70"/>
      <c r="F771" s="70"/>
      <c r="G771" s="70"/>
      <c r="H771" s="70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  <c r="AA771" s="70"/>
      <c r="AB771" s="70"/>
      <c r="AC771" s="70"/>
      <c r="AD771" s="70"/>
      <c r="AE771" s="70"/>
      <c r="AF771" s="70"/>
      <c r="AG771" s="70"/>
      <c r="AH771" s="70"/>
      <c r="AI771" s="70"/>
      <c r="AJ771" s="70"/>
      <c r="AK771" s="70"/>
      <c r="AL771" s="70"/>
    </row>
    <row r="772" spans="1:38" ht="16.5" x14ac:dyDescent="0.25">
      <c r="A772" s="101"/>
      <c r="B772" s="70"/>
      <c r="C772" s="70"/>
      <c r="D772" s="70"/>
      <c r="E772" s="70"/>
      <c r="F772" s="70"/>
      <c r="G772" s="70"/>
      <c r="H772" s="70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  <c r="AA772" s="70"/>
      <c r="AB772" s="70"/>
      <c r="AC772" s="70"/>
      <c r="AD772" s="70"/>
      <c r="AE772" s="70"/>
      <c r="AF772" s="70"/>
      <c r="AG772" s="70"/>
      <c r="AH772" s="70"/>
      <c r="AI772" s="70"/>
      <c r="AJ772" s="70"/>
      <c r="AK772" s="70"/>
      <c r="AL772" s="70"/>
    </row>
    <row r="773" spans="1:38" ht="16.5" x14ac:dyDescent="0.25">
      <c r="A773" s="101"/>
      <c r="B773" s="70"/>
      <c r="C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  <c r="AA773" s="70"/>
      <c r="AB773" s="70"/>
      <c r="AC773" s="70"/>
      <c r="AD773" s="70"/>
      <c r="AE773" s="70"/>
      <c r="AF773" s="70"/>
      <c r="AG773" s="70"/>
      <c r="AH773" s="70"/>
      <c r="AI773" s="70"/>
      <c r="AJ773" s="70"/>
      <c r="AK773" s="70"/>
      <c r="AL773" s="70"/>
    </row>
    <row r="774" spans="1:38" ht="16.5" x14ac:dyDescent="0.25">
      <c r="A774" s="101"/>
      <c r="B774" s="70"/>
      <c r="C774" s="70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  <c r="AA774" s="70"/>
      <c r="AB774" s="70"/>
      <c r="AC774" s="70"/>
      <c r="AD774" s="70"/>
      <c r="AE774" s="70"/>
      <c r="AF774" s="70"/>
      <c r="AG774" s="70"/>
      <c r="AH774" s="70"/>
      <c r="AI774" s="70"/>
      <c r="AJ774" s="70"/>
      <c r="AK774" s="70"/>
      <c r="AL774" s="70"/>
    </row>
    <row r="775" spans="1:38" ht="16.5" x14ac:dyDescent="0.25">
      <c r="A775" s="101"/>
      <c r="B775" s="70"/>
      <c r="C775" s="70"/>
      <c r="D775" s="70"/>
      <c r="E775" s="70"/>
      <c r="F775" s="70"/>
      <c r="G775" s="70"/>
      <c r="H775" s="70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  <c r="AA775" s="70"/>
      <c r="AB775" s="70"/>
      <c r="AC775" s="70"/>
      <c r="AD775" s="70"/>
      <c r="AE775" s="70"/>
      <c r="AF775" s="70"/>
      <c r="AG775" s="70"/>
      <c r="AH775" s="70"/>
      <c r="AI775" s="70"/>
      <c r="AJ775" s="70"/>
      <c r="AK775" s="70"/>
      <c r="AL775" s="70"/>
    </row>
    <row r="776" spans="1:38" ht="16.5" x14ac:dyDescent="0.25">
      <c r="A776" s="101"/>
      <c r="B776" s="70"/>
      <c r="C776" s="70"/>
      <c r="D776" s="70"/>
      <c r="E776" s="70"/>
      <c r="F776" s="70"/>
      <c r="G776" s="70"/>
      <c r="H776" s="70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  <c r="AA776" s="70"/>
      <c r="AB776" s="70"/>
      <c r="AC776" s="70"/>
      <c r="AD776" s="70"/>
      <c r="AE776" s="70"/>
      <c r="AF776" s="70"/>
      <c r="AG776" s="70"/>
      <c r="AH776" s="70"/>
      <c r="AI776" s="70"/>
      <c r="AJ776" s="70"/>
      <c r="AK776" s="70"/>
      <c r="AL776" s="70"/>
    </row>
    <row r="777" spans="1:38" ht="16.5" x14ac:dyDescent="0.25">
      <c r="A777" s="101"/>
      <c r="B777" s="70"/>
      <c r="C777" s="70"/>
      <c r="D777" s="70"/>
      <c r="E777" s="70"/>
      <c r="F777" s="70"/>
      <c r="G777" s="70"/>
      <c r="H777" s="70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  <c r="AA777" s="70"/>
      <c r="AB777" s="70"/>
      <c r="AC777" s="70"/>
      <c r="AD777" s="70"/>
      <c r="AE777" s="70"/>
      <c r="AF777" s="70"/>
      <c r="AG777" s="70"/>
      <c r="AH777" s="70"/>
      <c r="AI777" s="70"/>
      <c r="AJ777" s="70"/>
      <c r="AK777" s="70"/>
      <c r="AL777" s="70"/>
    </row>
    <row r="778" spans="1:38" ht="16.5" x14ac:dyDescent="0.25">
      <c r="A778" s="101"/>
      <c r="B778" s="70"/>
      <c r="C778" s="70"/>
      <c r="D778" s="70"/>
      <c r="E778" s="70"/>
      <c r="F778" s="70"/>
      <c r="G778" s="70"/>
      <c r="H778" s="70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  <c r="AA778" s="70"/>
      <c r="AB778" s="70"/>
      <c r="AC778" s="70"/>
      <c r="AD778" s="70"/>
      <c r="AE778" s="70"/>
      <c r="AF778" s="70"/>
      <c r="AG778" s="70"/>
      <c r="AH778" s="70"/>
      <c r="AI778" s="70"/>
      <c r="AJ778" s="70"/>
      <c r="AK778" s="70"/>
      <c r="AL778" s="70"/>
    </row>
    <row r="779" spans="1:38" ht="16.5" x14ac:dyDescent="0.25">
      <c r="A779" s="101"/>
      <c r="B779" s="70"/>
      <c r="C779" s="70"/>
      <c r="D779" s="70"/>
      <c r="E779" s="70"/>
      <c r="F779" s="70"/>
      <c r="G779" s="70"/>
      <c r="H779" s="70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  <c r="AA779" s="70"/>
      <c r="AB779" s="70"/>
      <c r="AC779" s="70"/>
      <c r="AD779" s="70"/>
      <c r="AE779" s="70"/>
      <c r="AF779" s="70"/>
      <c r="AG779" s="70"/>
      <c r="AH779" s="70"/>
      <c r="AI779" s="70"/>
      <c r="AJ779" s="70"/>
      <c r="AK779" s="70"/>
      <c r="AL779" s="70"/>
    </row>
    <row r="780" spans="1:38" ht="16.5" x14ac:dyDescent="0.25">
      <c r="A780" s="101"/>
      <c r="B780" s="70"/>
      <c r="C780" s="70"/>
      <c r="D780" s="70"/>
      <c r="E780" s="70"/>
      <c r="F780" s="70"/>
      <c r="G780" s="70"/>
      <c r="H780" s="70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  <c r="AA780" s="70"/>
      <c r="AB780" s="70"/>
      <c r="AC780" s="70"/>
      <c r="AD780" s="70"/>
      <c r="AE780" s="70"/>
      <c r="AF780" s="70"/>
      <c r="AG780" s="70"/>
      <c r="AH780" s="70"/>
      <c r="AI780" s="70"/>
      <c r="AJ780" s="70"/>
      <c r="AK780" s="70"/>
      <c r="AL780" s="70"/>
    </row>
    <row r="781" spans="1:38" ht="16.5" x14ac:dyDescent="0.25">
      <c r="A781" s="101"/>
      <c r="B781" s="70"/>
      <c r="C781" s="70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  <c r="AA781" s="70"/>
      <c r="AB781" s="70"/>
      <c r="AC781" s="70"/>
      <c r="AD781" s="70"/>
      <c r="AE781" s="70"/>
      <c r="AF781" s="70"/>
      <c r="AG781" s="70"/>
      <c r="AH781" s="70"/>
      <c r="AI781" s="70"/>
      <c r="AJ781" s="70"/>
      <c r="AK781" s="70"/>
      <c r="AL781" s="70"/>
    </row>
    <row r="782" spans="1:38" ht="16.5" x14ac:dyDescent="0.25">
      <c r="A782" s="101"/>
      <c r="B782" s="70"/>
      <c r="C782" s="70"/>
      <c r="D782" s="70"/>
      <c r="E782" s="70"/>
      <c r="F782" s="70"/>
      <c r="G782" s="70"/>
      <c r="H782" s="70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  <c r="AA782" s="70"/>
      <c r="AB782" s="70"/>
      <c r="AC782" s="70"/>
      <c r="AD782" s="70"/>
      <c r="AE782" s="70"/>
      <c r="AF782" s="70"/>
      <c r="AG782" s="70"/>
      <c r="AH782" s="70"/>
      <c r="AI782" s="70"/>
      <c r="AJ782" s="70"/>
      <c r="AK782" s="70"/>
      <c r="AL782" s="70"/>
    </row>
    <row r="783" spans="1:38" ht="16.5" x14ac:dyDescent="0.25">
      <c r="A783" s="101"/>
      <c r="B783" s="70"/>
      <c r="C783" s="70"/>
      <c r="D783" s="70"/>
      <c r="E783" s="70"/>
      <c r="F783" s="70"/>
      <c r="G783" s="70"/>
      <c r="H783" s="70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  <c r="AA783" s="70"/>
      <c r="AB783" s="70"/>
      <c r="AC783" s="70"/>
      <c r="AD783" s="70"/>
      <c r="AE783" s="70"/>
      <c r="AF783" s="70"/>
      <c r="AG783" s="70"/>
      <c r="AH783" s="70"/>
      <c r="AI783" s="70"/>
      <c r="AJ783" s="70"/>
      <c r="AK783" s="70"/>
      <c r="AL783" s="70"/>
    </row>
    <row r="784" spans="1:38" ht="16.5" x14ac:dyDescent="0.25">
      <c r="A784" s="101"/>
      <c r="B784" s="70"/>
      <c r="C784" s="70"/>
      <c r="D784" s="70"/>
      <c r="E784" s="70"/>
      <c r="F784" s="70"/>
      <c r="G784" s="70"/>
      <c r="H784" s="70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  <c r="AA784" s="70"/>
      <c r="AB784" s="70"/>
      <c r="AC784" s="70"/>
      <c r="AD784" s="70"/>
      <c r="AE784" s="70"/>
      <c r="AF784" s="70"/>
      <c r="AG784" s="70"/>
      <c r="AH784" s="70"/>
      <c r="AI784" s="70"/>
      <c r="AJ784" s="70"/>
      <c r="AK784" s="70"/>
      <c r="AL784" s="70"/>
    </row>
    <row r="785" spans="1:38" ht="16.5" x14ac:dyDescent="0.25">
      <c r="A785" s="101"/>
      <c r="B785" s="70"/>
      <c r="C785" s="70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  <c r="AC785" s="70"/>
      <c r="AD785" s="70"/>
      <c r="AE785" s="70"/>
      <c r="AF785" s="70"/>
      <c r="AG785" s="70"/>
      <c r="AH785" s="70"/>
      <c r="AI785" s="70"/>
      <c r="AJ785" s="70"/>
      <c r="AK785" s="70"/>
      <c r="AL785" s="70"/>
    </row>
    <row r="786" spans="1:38" ht="16.5" x14ac:dyDescent="0.25">
      <c r="A786" s="101"/>
      <c r="B786" s="70"/>
      <c r="C786" s="70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  <c r="AC786" s="70"/>
      <c r="AD786" s="70"/>
      <c r="AE786" s="70"/>
      <c r="AF786" s="70"/>
      <c r="AG786" s="70"/>
      <c r="AH786" s="70"/>
      <c r="AI786" s="70"/>
      <c r="AJ786" s="70"/>
      <c r="AK786" s="70"/>
      <c r="AL786" s="70"/>
    </row>
    <row r="787" spans="1:38" ht="16.5" x14ac:dyDescent="0.25">
      <c r="A787" s="101"/>
      <c r="B787" s="70"/>
      <c r="C787" s="70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  <c r="AC787" s="70"/>
      <c r="AD787" s="70"/>
      <c r="AE787" s="70"/>
      <c r="AF787" s="70"/>
      <c r="AG787" s="70"/>
      <c r="AH787" s="70"/>
      <c r="AI787" s="70"/>
      <c r="AJ787" s="70"/>
      <c r="AK787" s="70"/>
      <c r="AL787" s="70"/>
    </row>
    <row r="788" spans="1:38" ht="16.5" x14ac:dyDescent="0.25">
      <c r="A788" s="101"/>
      <c r="B788" s="70"/>
      <c r="C788" s="70"/>
      <c r="D788" s="70"/>
      <c r="E788" s="70"/>
      <c r="F788" s="70"/>
      <c r="G788" s="70"/>
      <c r="H788" s="70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  <c r="AA788" s="70"/>
      <c r="AB788" s="70"/>
      <c r="AC788" s="70"/>
      <c r="AD788" s="70"/>
      <c r="AE788" s="70"/>
      <c r="AF788" s="70"/>
      <c r="AG788" s="70"/>
      <c r="AH788" s="70"/>
      <c r="AI788" s="70"/>
      <c r="AJ788" s="70"/>
      <c r="AK788" s="70"/>
      <c r="AL788" s="70"/>
    </row>
    <row r="789" spans="1:38" ht="16.5" x14ac:dyDescent="0.25">
      <c r="A789" s="101"/>
      <c r="B789" s="70"/>
      <c r="C789" s="70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  <c r="AA789" s="70"/>
      <c r="AB789" s="70"/>
      <c r="AC789" s="70"/>
      <c r="AD789" s="70"/>
      <c r="AE789" s="70"/>
      <c r="AF789" s="70"/>
      <c r="AG789" s="70"/>
      <c r="AH789" s="70"/>
      <c r="AI789" s="70"/>
      <c r="AJ789" s="70"/>
      <c r="AK789" s="70"/>
      <c r="AL789" s="70"/>
    </row>
    <row r="790" spans="1:38" ht="16.5" x14ac:dyDescent="0.25">
      <c r="A790" s="101"/>
      <c r="B790" s="70"/>
      <c r="C790" s="70"/>
      <c r="D790" s="70"/>
      <c r="E790" s="70"/>
      <c r="F790" s="70"/>
      <c r="G790" s="70"/>
      <c r="H790" s="70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  <c r="AA790" s="70"/>
      <c r="AB790" s="70"/>
      <c r="AC790" s="70"/>
      <c r="AD790" s="70"/>
      <c r="AE790" s="70"/>
      <c r="AF790" s="70"/>
      <c r="AG790" s="70"/>
      <c r="AH790" s="70"/>
      <c r="AI790" s="70"/>
      <c r="AJ790" s="70"/>
      <c r="AK790" s="70"/>
      <c r="AL790" s="70"/>
    </row>
    <row r="791" spans="1:38" ht="16.5" x14ac:dyDescent="0.25">
      <c r="A791" s="101"/>
      <c r="B791" s="70"/>
      <c r="C791" s="70"/>
      <c r="D791" s="70"/>
      <c r="E791" s="70"/>
      <c r="F791" s="70"/>
      <c r="G791" s="70"/>
      <c r="H791" s="70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  <c r="AA791" s="70"/>
      <c r="AB791" s="70"/>
      <c r="AC791" s="70"/>
      <c r="AD791" s="70"/>
      <c r="AE791" s="70"/>
      <c r="AF791" s="70"/>
      <c r="AG791" s="70"/>
      <c r="AH791" s="70"/>
      <c r="AI791" s="70"/>
      <c r="AJ791" s="70"/>
      <c r="AK791" s="70"/>
      <c r="AL791" s="70"/>
    </row>
    <row r="792" spans="1:38" ht="16.5" x14ac:dyDescent="0.25">
      <c r="A792" s="101"/>
      <c r="B792" s="70"/>
      <c r="C792" s="70"/>
      <c r="D792" s="70"/>
      <c r="E792" s="70"/>
      <c r="F792" s="70"/>
      <c r="G792" s="70"/>
      <c r="H792" s="70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  <c r="AA792" s="70"/>
      <c r="AB792" s="70"/>
      <c r="AC792" s="70"/>
      <c r="AD792" s="70"/>
      <c r="AE792" s="70"/>
      <c r="AF792" s="70"/>
      <c r="AG792" s="70"/>
      <c r="AH792" s="70"/>
      <c r="AI792" s="70"/>
      <c r="AJ792" s="70"/>
      <c r="AK792" s="70"/>
      <c r="AL792" s="70"/>
    </row>
    <row r="793" spans="1:38" ht="16.5" x14ac:dyDescent="0.25">
      <c r="A793" s="101"/>
      <c r="B793" s="70"/>
      <c r="C793" s="70"/>
      <c r="D793" s="70"/>
      <c r="E793" s="70"/>
      <c r="F793" s="70"/>
      <c r="G793" s="70"/>
      <c r="H793" s="70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  <c r="AA793" s="70"/>
      <c r="AB793" s="70"/>
      <c r="AC793" s="70"/>
      <c r="AD793" s="70"/>
      <c r="AE793" s="70"/>
      <c r="AF793" s="70"/>
      <c r="AG793" s="70"/>
      <c r="AH793" s="70"/>
      <c r="AI793" s="70"/>
      <c r="AJ793" s="70"/>
      <c r="AK793" s="70"/>
      <c r="AL793" s="70"/>
    </row>
    <row r="794" spans="1:38" ht="16.5" x14ac:dyDescent="0.25">
      <c r="A794" s="101"/>
      <c r="B794" s="70"/>
      <c r="C794" s="70"/>
      <c r="D794" s="70"/>
      <c r="E794" s="70"/>
      <c r="F794" s="70"/>
      <c r="G794" s="70"/>
      <c r="H794" s="70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  <c r="AA794" s="70"/>
      <c r="AB794" s="70"/>
      <c r="AC794" s="70"/>
      <c r="AD794" s="70"/>
      <c r="AE794" s="70"/>
      <c r="AF794" s="70"/>
      <c r="AG794" s="70"/>
      <c r="AH794" s="70"/>
      <c r="AI794" s="70"/>
      <c r="AJ794" s="70"/>
      <c r="AK794" s="70"/>
      <c r="AL794" s="70"/>
    </row>
    <row r="795" spans="1:38" ht="16.5" x14ac:dyDescent="0.25">
      <c r="A795" s="101"/>
      <c r="B795" s="70"/>
      <c r="C795" s="70"/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  <c r="AA795" s="70"/>
      <c r="AB795" s="70"/>
      <c r="AC795" s="70"/>
      <c r="AD795" s="70"/>
      <c r="AE795" s="70"/>
      <c r="AF795" s="70"/>
      <c r="AG795" s="70"/>
      <c r="AH795" s="70"/>
      <c r="AI795" s="70"/>
      <c r="AJ795" s="70"/>
      <c r="AK795" s="70"/>
      <c r="AL795" s="70"/>
    </row>
    <row r="796" spans="1:38" ht="16.5" x14ac:dyDescent="0.25">
      <c r="A796" s="101"/>
      <c r="B796" s="70"/>
      <c r="C796" s="70"/>
      <c r="D796" s="70"/>
      <c r="E796" s="70"/>
      <c r="F796" s="70"/>
      <c r="G796" s="70"/>
      <c r="H796" s="70"/>
      <c r="I796" s="70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  <c r="AA796" s="70"/>
      <c r="AB796" s="70"/>
      <c r="AC796" s="70"/>
      <c r="AD796" s="70"/>
      <c r="AE796" s="70"/>
      <c r="AF796" s="70"/>
      <c r="AG796" s="70"/>
      <c r="AH796" s="70"/>
      <c r="AI796" s="70"/>
      <c r="AJ796" s="70"/>
      <c r="AK796" s="70"/>
      <c r="AL796" s="70"/>
    </row>
    <row r="797" spans="1:38" ht="16.5" x14ac:dyDescent="0.25">
      <c r="A797" s="101"/>
      <c r="B797" s="70"/>
      <c r="C797" s="70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  <c r="AA797" s="70"/>
      <c r="AB797" s="70"/>
      <c r="AC797" s="70"/>
      <c r="AD797" s="70"/>
      <c r="AE797" s="70"/>
      <c r="AF797" s="70"/>
      <c r="AG797" s="70"/>
      <c r="AH797" s="70"/>
      <c r="AI797" s="70"/>
      <c r="AJ797" s="70"/>
      <c r="AK797" s="70"/>
      <c r="AL797" s="70"/>
    </row>
    <row r="798" spans="1:38" ht="16.5" x14ac:dyDescent="0.25">
      <c r="A798" s="101"/>
      <c r="B798" s="70"/>
      <c r="C798" s="70"/>
      <c r="D798" s="70"/>
      <c r="E798" s="70"/>
      <c r="F798" s="70"/>
      <c r="G798" s="70"/>
      <c r="H798" s="70"/>
      <c r="I798" s="70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  <c r="AA798" s="70"/>
      <c r="AB798" s="70"/>
      <c r="AC798" s="70"/>
      <c r="AD798" s="70"/>
      <c r="AE798" s="70"/>
      <c r="AF798" s="70"/>
      <c r="AG798" s="70"/>
      <c r="AH798" s="70"/>
      <c r="AI798" s="70"/>
      <c r="AJ798" s="70"/>
      <c r="AK798" s="70"/>
      <c r="AL798" s="70"/>
    </row>
    <row r="799" spans="1:38" ht="16.5" x14ac:dyDescent="0.25">
      <c r="A799" s="101"/>
      <c r="B799" s="70"/>
      <c r="C799" s="70"/>
      <c r="D799" s="70"/>
      <c r="E799" s="70"/>
      <c r="F799" s="70"/>
      <c r="G799" s="70"/>
      <c r="H799" s="70"/>
      <c r="I799" s="70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  <c r="AA799" s="70"/>
      <c r="AB799" s="70"/>
      <c r="AC799" s="70"/>
      <c r="AD799" s="70"/>
      <c r="AE799" s="70"/>
      <c r="AF799" s="70"/>
      <c r="AG799" s="70"/>
      <c r="AH799" s="70"/>
      <c r="AI799" s="70"/>
      <c r="AJ799" s="70"/>
      <c r="AK799" s="70"/>
      <c r="AL799" s="70"/>
    </row>
    <row r="800" spans="1:38" ht="16.5" x14ac:dyDescent="0.25">
      <c r="A800" s="101"/>
      <c r="B800" s="70"/>
      <c r="C800" s="70"/>
      <c r="D800" s="70"/>
      <c r="E800" s="70"/>
      <c r="F800" s="70"/>
      <c r="G800" s="70"/>
      <c r="H800" s="70"/>
      <c r="I800" s="70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  <c r="AA800" s="70"/>
      <c r="AB800" s="70"/>
      <c r="AC800" s="70"/>
      <c r="AD800" s="70"/>
      <c r="AE800" s="70"/>
      <c r="AF800" s="70"/>
      <c r="AG800" s="70"/>
      <c r="AH800" s="70"/>
      <c r="AI800" s="70"/>
      <c r="AJ800" s="70"/>
      <c r="AK800" s="70"/>
      <c r="AL800" s="70"/>
    </row>
    <row r="801" spans="1:38" ht="16.5" x14ac:dyDescent="0.25">
      <c r="A801" s="101"/>
      <c r="B801" s="70"/>
      <c r="C801" s="70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  <c r="AA801" s="70"/>
      <c r="AB801" s="70"/>
      <c r="AC801" s="70"/>
      <c r="AD801" s="70"/>
      <c r="AE801" s="70"/>
      <c r="AF801" s="70"/>
      <c r="AG801" s="70"/>
      <c r="AH801" s="70"/>
      <c r="AI801" s="70"/>
      <c r="AJ801" s="70"/>
      <c r="AK801" s="70"/>
      <c r="AL801" s="70"/>
    </row>
    <row r="802" spans="1:38" ht="16.5" x14ac:dyDescent="0.25">
      <c r="A802" s="101"/>
      <c r="B802" s="70"/>
      <c r="C802" s="70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  <c r="AA802" s="70"/>
      <c r="AB802" s="70"/>
      <c r="AC802" s="70"/>
      <c r="AD802" s="70"/>
      <c r="AE802" s="70"/>
      <c r="AF802" s="70"/>
      <c r="AG802" s="70"/>
      <c r="AH802" s="70"/>
      <c r="AI802" s="70"/>
      <c r="AJ802" s="70"/>
      <c r="AK802" s="70"/>
      <c r="AL802" s="70"/>
    </row>
    <row r="803" spans="1:38" ht="16.5" x14ac:dyDescent="0.25">
      <c r="A803" s="101"/>
      <c r="B803" s="70"/>
      <c r="C803" s="70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  <c r="AA803" s="70"/>
      <c r="AB803" s="70"/>
      <c r="AC803" s="70"/>
      <c r="AD803" s="70"/>
      <c r="AE803" s="70"/>
      <c r="AF803" s="70"/>
      <c r="AG803" s="70"/>
      <c r="AH803" s="70"/>
      <c r="AI803" s="70"/>
      <c r="AJ803" s="70"/>
      <c r="AK803" s="70"/>
      <c r="AL803" s="70"/>
    </row>
    <row r="804" spans="1:38" ht="16.5" x14ac:dyDescent="0.25">
      <c r="A804" s="101"/>
      <c r="B804" s="70"/>
      <c r="C804" s="70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  <c r="AA804" s="70"/>
      <c r="AB804" s="70"/>
      <c r="AC804" s="70"/>
      <c r="AD804" s="70"/>
      <c r="AE804" s="70"/>
      <c r="AF804" s="70"/>
      <c r="AG804" s="70"/>
      <c r="AH804" s="70"/>
      <c r="AI804" s="70"/>
      <c r="AJ804" s="70"/>
      <c r="AK804" s="70"/>
      <c r="AL804" s="70"/>
    </row>
    <row r="805" spans="1:38" ht="16.5" x14ac:dyDescent="0.25">
      <c r="A805" s="101"/>
      <c r="B805" s="70"/>
      <c r="C805" s="70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  <c r="AA805" s="70"/>
      <c r="AB805" s="70"/>
      <c r="AC805" s="70"/>
      <c r="AD805" s="70"/>
      <c r="AE805" s="70"/>
      <c r="AF805" s="70"/>
      <c r="AG805" s="70"/>
      <c r="AH805" s="70"/>
      <c r="AI805" s="70"/>
      <c r="AJ805" s="70"/>
      <c r="AK805" s="70"/>
      <c r="AL805" s="70"/>
    </row>
    <row r="806" spans="1:38" ht="16.5" x14ac:dyDescent="0.25">
      <c r="A806" s="101"/>
      <c r="B806" s="70"/>
      <c r="C806" s="70"/>
      <c r="D806" s="70"/>
      <c r="E806" s="70"/>
      <c r="F806" s="70"/>
      <c r="G806" s="70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  <c r="AA806" s="70"/>
      <c r="AB806" s="70"/>
      <c r="AC806" s="70"/>
      <c r="AD806" s="70"/>
      <c r="AE806" s="70"/>
      <c r="AF806" s="70"/>
      <c r="AG806" s="70"/>
      <c r="AH806" s="70"/>
      <c r="AI806" s="70"/>
      <c r="AJ806" s="70"/>
      <c r="AK806" s="70"/>
      <c r="AL806" s="70"/>
    </row>
    <row r="807" spans="1:38" ht="16.5" x14ac:dyDescent="0.25">
      <c r="A807" s="101"/>
      <c r="B807" s="70"/>
      <c r="C807" s="70"/>
      <c r="D807" s="70"/>
      <c r="E807" s="70"/>
      <c r="F807" s="70"/>
      <c r="G807" s="70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  <c r="AA807" s="70"/>
      <c r="AB807" s="70"/>
      <c r="AC807" s="70"/>
      <c r="AD807" s="70"/>
      <c r="AE807" s="70"/>
      <c r="AF807" s="70"/>
      <c r="AG807" s="70"/>
      <c r="AH807" s="70"/>
      <c r="AI807" s="70"/>
      <c r="AJ807" s="70"/>
      <c r="AK807" s="70"/>
      <c r="AL807" s="70"/>
    </row>
    <row r="808" spans="1:38" ht="16.5" x14ac:dyDescent="0.25">
      <c r="A808" s="101"/>
      <c r="B808" s="70"/>
      <c r="C808" s="70"/>
      <c r="D808" s="70"/>
      <c r="E808" s="70"/>
      <c r="F808" s="70"/>
      <c r="G808" s="70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  <c r="AC808" s="70"/>
      <c r="AD808" s="70"/>
      <c r="AE808" s="70"/>
      <c r="AF808" s="70"/>
      <c r="AG808" s="70"/>
      <c r="AH808" s="70"/>
      <c r="AI808" s="70"/>
      <c r="AJ808" s="70"/>
      <c r="AK808" s="70"/>
      <c r="AL808" s="70"/>
    </row>
    <row r="809" spans="1:38" ht="16.5" x14ac:dyDescent="0.25">
      <c r="A809" s="101"/>
      <c r="B809" s="70"/>
      <c r="C809" s="70"/>
      <c r="D809" s="70"/>
      <c r="E809" s="70"/>
      <c r="F809" s="70"/>
      <c r="G809" s="70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  <c r="AB809" s="70"/>
      <c r="AC809" s="70"/>
      <c r="AD809" s="70"/>
      <c r="AE809" s="70"/>
      <c r="AF809" s="70"/>
      <c r="AG809" s="70"/>
      <c r="AH809" s="70"/>
      <c r="AI809" s="70"/>
      <c r="AJ809" s="70"/>
      <c r="AK809" s="70"/>
      <c r="AL809" s="70"/>
    </row>
    <row r="810" spans="1:38" ht="16.5" x14ac:dyDescent="0.25">
      <c r="A810" s="101"/>
      <c r="B810" s="70"/>
      <c r="C810" s="70"/>
      <c r="D810" s="70"/>
      <c r="E810" s="70"/>
      <c r="F810" s="70"/>
      <c r="G810" s="70"/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  <c r="AB810" s="70"/>
      <c r="AC810" s="70"/>
      <c r="AD810" s="70"/>
      <c r="AE810" s="70"/>
      <c r="AF810" s="70"/>
      <c r="AG810" s="70"/>
      <c r="AH810" s="70"/>
      <c r="AI810" s="70"/>
      <c r="AJ810" s="70"/>
      <c r="AK810" s="70"/>
      <c r="AL810" s="70"/>
    </row>
    <row r="811" spans="1:38" ht="16.5" x14ac:dyDescent="0.25">
      <c r="A811" s="101"/>
      <c r="B811" s="70"/>
      <c r="C811" s="70"/>
      <c r="D811" s="70"/>
      <c r="E811" s="70"/>
      <c r="F811" s="70"/>
      <c r="G811" s="70"/>
      <c r="H811" s="70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  <c r="AA811" s="70"/>
      <c r="AB811" s="70"/>
      <c r="AC811" s="70"/>
      <c r="AD811" s="70"/>
      <c r="AE811" s="70"/>
      <c r="AF811" s="70"/>
      <c r="AG811" s="70"/>
      <c r="AH811" s="70"/>
      <c r="AI811" s="70"/>
      <c r="AJ811" s="70"/>
      <c r="AK811" s="70"/>
      <c r="AL811" s="70"/>
    </row>
    <row r="812" spans="1:38" ht="16.5" x14ac:dyDescent="0.25">
      <c r="A812" s="101"/>
      <c r="B812" s="70"/>
      <c r="C812" s="70"/>
      <c r="D812" s="70"/>
      <c r="E812" s="70"/>
      <c r="F812" s="70"/>
      <c r="G812" s="70"/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  <c r="AA812" s="70"/>
      <c r="AB812" s="70"/>
      <c r="AC812" s="70"/>
      <c r="AD812" s="70"/>
      <c r="AE812" s="70"/>
      <c r="AF812" s="70"/>
      <c r="AG812" s="70"/>
      <c r="AH812" s="70"/>
      <c r="AI812" s="70"/>
      <c r="AJ812" s="70"/>
      <c r="AK812" s="70"/>
      <c r="AL812" s="70"/>
    </row>
    <row r="813" spans="1:38" ht="16.5" x14ac:dyDescent="0.25">
      <c r="A813" s="101"/>
      <c r="B813" s="70"/>
      <c r="C813" s="70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  <c r="AA813" s="70"/>
      <c r="AB813" s="70"/>
      <c r="AC813" s="70"/>
      <c r="AD813" s="70"/>
      <c r="AE813" s="70"/>
      <c r="AF813" s="70"/>
      <c r="AG813" s="70"/>
      <c r="AH813" s="70"/>
      <c r="AI813" s="70"/>
      <c r="AJ813" s="70"/>
      <c r="AK813" s="70"/>
      <c r="AL813" s="70"/>
    </row>
    <row r="814" spans="1:38" ht="16.5" x14ac:dyDescent="0.25">
      <c r="A814" s="101"/>
      <c r="B814" s="70"/>
      <c r="C814" s="70"/>
      <c r="D814" s="70"/>
      <c r="E814" s="70"/>
      <c r="F814" s="70"/>
      <c r="G814" s="70"/>
      <c r="H814" s="70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  <c r="AA814" s="70"/>
      <c r="AB814" s="70"/>
      <c r="AC814" s="70"/>
      <c r="AD814" s="70"/>
      <c r="AE814" s="70"/>
      <c r="AF814" s="70"/>
      <c r="AG814" s="70"/>
      <c r="AH814" s="70"/>
      <c r="AI814" s="70"/>
      <c r="AJ814" s="70"/>
      <c r="AK814" s="70"/>
      <c r="AL814" s="70"/>
    </row>
    <row r="815" spans="1:38" ht="16.5" x14ac:dyDescent="0.25">
      <c r="A815" s="101"/>
      <c r="B815" s="70"/>
      <c r="C815" s="70"/>
      <c r="D815" s="70"/>
      <c r="E815" s="70"/>
      <c r="F815" s="70"/>
      <c r="G815" s="70"/>
      <c r="H815" s="70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  <c r="AA815" s="70"/>
      <c r="AB815" s="70"/>
      <c r="AC815" s="70"/>
      <c r="AD815" s="70"/>
      <c r="AE815" s="70"/>
      <c r="AF815" s="70"/>
      <c r="AG815" s="70"/>
      <c r="AH815" s="70"/>
      <c r="AI815" s="70"/>
      <c r="AJ815" s="70"/>
      <c r="AK815" s="70"/>
      <c r="AL815" s="70"/>
    </row>
    <row r="816" spans="1:38" ht="16.5" x14ac:dyDescent="0.25">
      <c r="A816" s="101"/>
      <c r="B816" s="70"/>
      <c r="C816" s="70"/>
      <c r="D816" s="70"/>
      <c r="E816" s="70"/>
      <c r="F816" s="70"/>
      <c r="G816" s="70"/>
      <c r="H816" s="70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  <c r="AA816" s="70"/>
      <c r="AB816" s="70"/>
      <c r="AC816" s="70"/>
      <c r="AD816" s="70"/>
      <c r="AE816" s="70"/>
      <c r="AF816" s="70"/>
      <c r="AG816" s="70"/>
      <c r="AH816" s="70"/>
      <c r="AI816" s="70"/>
      <c r="AJ816" s="70"/>
      <c r="AK816" s="70"/>
      <c r="AL816" s="70"/>
    </row>
    <row r="817" spans="1:38" ht="16.5" x14ac:dyDescent="0.25">
      <c r="A817" s="101"/>
      <c r="B817" s="70"/>
      <c r="C817" s="70"/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  <c r="AA817" s="70"/>
      <c r="AB817" s="70"/>
      <c r="AC817" s="70"/>
      <c r="AD817" s="70"/>
      <c r="AE817" s="70"/>
      <c r="AF817" s="70"/>
      <c r="AG817" s="70"/>
      <c r="AH817" s="70"/>
      <c r="AI817" s="70"/>
      <c r="AJ817" s="70"/>
      <c r="AK817" s="70"/>
      <c r="AL817" s="70"/>
    </row>
    <row r="818" spans="1:38" ht="16.5" x14ac:dyDescent="0.25">
      <c r="A818" s="101"/>
      <c r="B818" s="70"/>
      <c r="C818" s="70"/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  <c r="AA818" s="70"/>
      <c r="AB818" s="70"/>
      <c r="AC818" s="70"/>
      <c r="AD818" s="70"/>
      <c r="AE818" s="70"/>
      <c r="AF818" s="70"/>
      <c r="AG818" s="70"/>
      <c r="AH818" s="70"/>
      <c r="AI818" s="70"/>
      <c r="AJ818" s="70"/>
      <c r="AK818" s="70"/>
      <c r="AL818" s="70"/>
    </row>
    <row r="819" spans="1:38" ht="16.5" x14ac:dyDescent="0.25">
      <c r="A819" s="101"/>
      <c r="B819" s="70"/>
      <c r="C819" s="70"/>
      <c r="D819" s="70"/>
      <c r="E819" s="70"/>
      <c r="F819" s="70"/>
      <c r="G819" s="70"/>
      <c r="H819" s="70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  <c r="AA819" s="70"/>
      <c r="AB819" s="70"/>
      <c r="AC819" s="70"/>
      <c r="AD819" s="70"/>
      <c r="AE819" s="70"/>
      <c r="AF819" s="70"/>
      <c r="AG819" s="70"/>
      <c r="AH819" s="70"/>
      <c r="AI819" s="70"/>
      <c r="AJ819" s="70"/>
      <c r="AK819" s="70"/>
      <c r="AL819" s="70"/>
    </row>
    <row r="820" spans="1:38" ht="16.5" x14ac:dyDescent="0.25">
      <c r="A820" s="101"/>
      <c r="B820" s="70"/>
      <c r="C820" s="70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  <c r="AA820" s="70"/>
      <c r="AB820" s="70"/>
      <c r="AC820" s="70"/>
      <c r="AD820" s="70"/>
      <c r="AE820" s="70"/>
      <c r="AF820" s="70"/>
      <c r="AG820" s="70"/>
      <c r="AH820" s="70"/>
      <c r="AI820" s="70"/>
      <c r="AJ820" s="70"/>
      <c r="AK820" s="70"/>
      <c r="AL820" s="70"/>
    </row>
    <row r="821" spans="1:38" ht="16.5" x14ac:dyDescent="0.25">
      <c r="A821" s="101"/>
      <c r="B821" s="70"/>
      <c r="C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  <c r="AA821" s="70"/>
      <c r="AB821" s="70"/>
      <c r="AC821" s="70"/>
      <c r="AD821" s="70"/>
      <c r="AE821" s="70"/>
      <c r="AF821" s="70"/>
      <c r="AG821" s="70"/>
      <c r="AH821" s="70"/>
      <c r="AI821" s="70"/>
      <c r="AJ821" s="70"/>
      <c r="AK821" s="70"/>
      <c r="AL821" s="70"/>
    </row>
    <row r="822" spans="1:38" ht="16.5" x14ac:dyDescent="0.25">
      <c r="A822" s="101"/>
      <c r="B822" s="70"/>
      <c r="C822" s="70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  <c r="AA822" s="70"/>
      <c r="AB822" s="70"/>
      <c r="AC822" s="70"/>
      <c r="AD822" s="70"/>
      <c r="AE822" s="70"/>
      <c r="AF822" s="70"/>
      <c r="AG822" s="70"/>
      <c r="AH822" s="70"/>
      <c r="AI822" s="70"/>
      <c r="AJ822" s="70"/>
      <c r="AK822" s="70"/>
      <c r="AL822" s="70"/>
    </row>
    <row r="823" spans="1:38" ht="16.5" x14ac:dyDescent="0.25">
      <c r="A823" s="101"/>
      <c r="B823" s="70"/>
      <c r="C823" s="70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  <c r="AA823" s="70"/>
      <c r="AB823" s="70"/>
      <c r="AC823" s="70"/>
      <c r="AD823" s="70"/>
      <c r="AE823" s="70"/>
      <c r="AF823" s="70"/>
      <c r="AG823" s="70"/>
      <c r="AH823" s="70"/>
      <c r="AI823" s="70"/>
      <c r="AJ823" s="70"/>
      <c r="AK823" s="70"/>
      <c r="AL823" s="70"/>
    </row>
    <row r="824" spans="1:38" ht="16.5" x14ac:dyDescent="0.25">
      <c r="A824" s="101"/>
      <c r="B824" s="70"/>
      <c r="C824" s="70"/>
      <c r="D824" s="70"/>
      <c r="E824" s="70"/>
      <c r="F824" s="70"/>
      <c r="G824" s="70"/>
      <c r="H824" s="70"/>
      <c r="I824" s="70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  <c r="AA824" s="70"/>
      <c r="AB824" s="70"/>
      <c r="AC824" s="70"/>
      <c r="AD824" s="70"/>
      <c r="AE824" s="70"/>
      <c r="AF824" s="70"/>
      <c r="AG824" s="70"/>
      <c r="AH824" s="70"/>
      <c r="AI824" s="70"/>
      <c r="AJ824" s="70"/>
      <c r="AK824" s="70"/>
      <c r="AL824" s="70"/>
    </row>
    <row r="825" spans="1:38" ht="16.5" x14ac:dyDescent="0.25">
      <c r="A825" s="101"/>
      <c r="B825" s="70"/>
      <c r="C825" s="70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  <c r="AA825" s="70"/>
      <c r="AB825" s="70"/>
      <c r="AC825" s="70"/>
      <c r="AD825" s="70"/>
      <c r="AE825" s="70"/>
      <c r="AF825" s="70"/>
      <c r="AG825" s="70"/>
      <c r="AH825" s="70"/>
      <c r="AI825" s="70"/>
      <c r="AJ825" s="70"/>
      <c r="AK825" s="70"/>
      <c r="AL825" s="70"/>
    </row>
    <row r="826" spans="1:38" ht="16.5" x14ac:dyDescent="0.25">
      <c r="A826" s="101"/>
      <c r="B826" s="70"/>
      <c r="C826" s="70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  <c r="AA826" s="70"/>
      <c r="AB826" s="70"/>
      <c r="AC826" s="70"/>
      <c r="AD826" s="70"/>
      <c r="AE826" s="70"/>
      <c r="AF826" s="70"/>
      <c r="AG826" s="70"/>
      <c r="AH826" s="70"/>
      <c r="AI826" s="70"/>
      <c r="AJ826" s="70"/>
      <c r="AK826" s="70"/>
      <c r="AL826" s="70"/>
    </row>
    <row r="827" spans="1:38" ht="16.5" x14ac:dyDescent="0.25">
      <c r="A827" s="101"/>
      <c r="B827" s="70"/>
      <c r="C827" s="70"/>
      <c r="D827" s="70"/>
      <c r="E827" s="70"/>
      <c r="F827" s="70"/>
      <c r="G827" s="70"/>
      <c r="H827" s="70"/>
      <c r="I827" s="70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  <c r="AA827" s="70"/>
      <c r="AB827" s="70"/>
      <c r="AC827" s="70"/>
      <c r="AD827" s="70"/>
      <c r="AE827" s="70"/>
      <c r="AF827" s="70"/>
      <c r="AG827" s="70"/>
      <c r="AH827" s="70"/>
      <c r="AI827" s="70"/>
      <c r="AJ827" s="70"/>
      <c r="AK827" s="70"/>
      <c r="AL827" s="70"/>
    </row>
    <row r="828" spans="1:38" ht="16.5" x14ac:dyDescent="0.25">
      <c r="A828" s="101"/>
      <c r="B828" s="70"/>
      <c r="C828" s="70"/>
      <c r="D828" s="70"/>
      <c r="E828" s="70"/>
      <c r="F828" s="70"/>
      <c r="G828" s="70"/>
      <c r="H828" s="70"/>
      <c r="I828" s="70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  <c r="AA828" s="70"/>
      <c r="AB828" s="70"/>
      <c r="AC828" s="70"/>
      <c r="AD828" s="70"/>
      <c r="AE828" s="70"/>
      <c r="AF828" s="70"/>
      <c r="AG828" s="70"/>
      <c r="AH828" s="70"/>
      <c r="AI828" s="70"/>
      <c r="AJ828" s="70"/>
      <c r="AK828" s="70"/>
      <c r="AL828" s="70"/>
    </row>
    <row r="829" spans="1:38" ht="16.5" x14ac:dyDescent="0.25">
      <c r="A829" s="101"/>
      <c r="B829" s="70"/>
      <c r="C829" s="70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  <c r="AA829" s="70"/>
      <c r="AB829" s="70"/>
      <c r="AC829" s="70"/>
      <c r="AD829" s="70"/>
      <c r="AE829" s="70"/>
      <c r="AF829" s="70"/>
      <c r="AG829" s="70"/>
      <c r="AH829" s="70"/>
      <c r="AI829" s="70"/>
      <c r="AJ829" s="70"/>
      <c r="AK829" s="70"/>
      <c r="AL829" s="70"/>
    </row>
    <row r="830" spans="1:38" ht="16.5" x14ac:dyDescent="0.25">
      <c r="A830" s="101"/>
      <c r="B830" s="70"/>
      <c r="C830" s="70"/>
      <c r="D830" s="70"/>
      <c r="E830" s="70"/>
      <c r="F830" s="70"/>
      <c r="G830" s="70"/>
      <c r="H830" s="70"/>
      <c r="I830" s="70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  <c r="AA830" s="70"/>
      <c r="AB830" s="70"/>
      <c r="AC830" s="70"/>
      <c r="AD830" s="70"/>
      <c r="AE830" s="70"/>
      <c r="AF830" s="70"/>
      <c r="AG830" s="70"/>
      <c r="AH830" s="70"/>
      <c r="AI830" s="70"/>
      <c r="AJ830" s="70"/>
      <c r="AK830" s="70"/>
      <c r="AL830" s="70"/>
    </row>
    <row r="831" spans="1:38" ht="16.5" x14ac:dyDescent="0.25">
      <c r="A831" s="101"/>
      <c r="B831" s="70"/>
      <c r="C831" s="70"/>
      <c r="D831" s="70"/>
      <c r="E831" s="70"/>
      <c r="F831" s="70"/>
      <c r="G831" s="70"/>
      <c r="H831" s="70"/>
      <c r="I831" s="70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  <c r="AA831" s="70"/>
      <c r="AB831" s="70"/>
      <c r="AC831" s="70"/>
      <c r="AD831" s="70"/>
      <c r="AE831" s="70"/>
      <c r="AF831" s="70"/>
      <c r="AG831" s="70"/>
      <c r="AH831" s="70"/>
      <c r="AI831" s="70"/>
      <c r="AJ831" s="70"/>
      <c r="AK831" s="70"/>
      <c r="AL831" s="70"/>
    </row>
    <row r="832" spans="1:38" ht="16.5" x14ac:dyDescent="0.25">
      <c r="A832" s="101"/>
      <c r="B832" s="70"/>
      <c r="C832" s="70"/>
      <c r="D832" s="70"/>
      <c r="E832" s="70"/>
      <c r="F832" s="70"/>
      <c r="G832" s="70"/>
      <c r="H832" s="70"/>
      <c r="I832" s="70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  <c r="AA832" s="70"/>
      <c r="AB832" s="70"/>
      <c r="AC832" s="70"/>
      <c r="AD832" s="70"/>
      <c r="AE832" s="70"/>
      <c r="AF832" s="70"/>
      <c r="AG832" s="70"/>
      <c r="AH832" s="70"/>
      <c r="AI832" s="70"/>
      <c r="AJ832" s="70"/>
      <c r="AK832" s="70"/>
      <c r="AL832" s="70"/>
    </row>
    <row r="833" spans="1:38" ht="16.5" x14ac:dyDescent="0.25">
      <c r="A833" s="101"/>
      <c r="B833" s="70"/>
      <c r="C833" s="70"/>
      <c r="D833" s="70"/>
      <c r="E833" s="70"/>
      <c r="F833" s="70"/>
      <c r="G833" s="70"/>
      <c r="H833" s="70"/>
      <c r="I833" s="70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  <c r="AA833" s="70"/>
      <c r="AB833" s="70"/>
      <c r="AC833" s="70"/>
      <c r="AD833" s="70"/>
      <c r="AE833" s="70"/>
      <c r="AF833" s="70"/>
      <c r="AG833" s="70"/>
      <c r="AH833" s="70"/>
      <c r="AI833" s="70"/>
      <c r="AJ833" s="70"/>
      <c r="AK833" s="70"/>
      <c r="AL833" s="70"/>
    </row>
    <row r="834" spans="1:38" ht="16.5" x14ac:dyDescent="0.25">
      <c r="A834" s="101"/>
      <c r="B834" s="70"/>
      <c r="C834" s="70"/>
      <c r="D834" s="70"/>
      <c r="E834" s="70"/>
      <c r="F834" s="70"/>
      <c r="G834" s="70"/>
      <c r="H834" s="70"/>
      <c r="I834" s="70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  <c r="AA834" s="70"/>
      <c r="AB834" s="70"/>
      <c r="AC834" s="70"/>
      <c r="AD834" s="70"/>
      <c r="AE834" s="70"/>
      <c r="AF834" s="70"/>
      <c r="AG834" s="70"/>
      <c r="AH834" s="70"/>
      <c r="AI834" s="70"/>
      <c r="AJ834" s="70"/>
      <c r="AK834" s="70"/>
      <c r="AL834" s="70"/>
    </row>
    <row r="835" spans="1:38" ht="16.5" x14ac:dyDescent="0.25">
      <c r="A835" s="101"/>
      <c r="B835" s="70"/>
      <c r="C835" s="70"/>
      <c r="D835" s="70"/>
      <c r="E835" s="70"/>
      <c r="F835" s="70"/>
      <c r="G835" s="70"/>
      <c r="H835" s="70"/>
      <c r="I835" s="70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  <c r="AA835" s="70"/>
      <c r="AB835" s="70"/>
      <c r="AC835" s="70"/>
      <c r="AD835" s="70"/>
      <c r="AE835" s="70"/>
      <c r="AF835" s="70"/>
      <c r="AG835" s="70"/>
      <c r="AH835" s="70"/>
      <c r="AI835" s="70"/>
      <c r="AJ835" s="70"/>
      <c r="AK835" s="70"/>
      <c r="AL835" s="70"/>
    </row>
    <row r="836" spans="1:38" ht="16.5" x14ac:dyDescent="0.25">
      <c r="A836" s="101"/>
      <c r="B836" s="70"/>
      <c r="C836" s="70"/>
      <c r="D836" s="70"/>
      <c r="E836" s="70"/>
      <c r="F836" s="70"/>
      <c r="G836" s="70"/>
      <c r="H836" s="70"/>
      <c r="I836" s="70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  <c r="AA836" s="70"/>
      <c r="AB836" s="70"/>
      <c r="AC836" s="70"/>
      <c r="AD836" s="70"/>
      <c r="AE836" s="70"/>
      <c r="AF836" s="70"/>
      <c r="AG836" s="70"/>
      <c r="AH836" s="70"/>
      <c r="AI836" s="70"/>
      <c r="AJ836" s="70"/>
      <c r="AK836" s="70"/>
      <c r="AL836" s="70"/>
    </row>
    <row r="837" spans="1:38" ht="16.5" x14ac:dyDescent="0.25">
      <c r="A837" s="101"/>
      <c r="B837" s="70"/>
      <c r="C837" s="70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  <c r="AA837" s="70"/>
      <c r="AB837" s="70"/>
      <c r="AC837" s="70"/>
      <c r="AD837" s="70"/>
      <c r="AE837" s="70"/>
      <c r="AF837" s="70"/>
      <c r="AG837" s="70"/>
      <c r="AH837" s="70"/>
      <c r="AI837" s="70"/>
      <c r="AJ837" s="70"/>
      <c r="AK837" s="70"/>
      <c r="AL837" s="70"/>
    </row>
    <row r="838" spans="1:38" ht="16.5" x14ac:dyDescent="0.25">
      <c r="A838" s="101"/>
      <c r="B838" s="70"/>
      <c r="C838" s="70"/>
      <c r="D838" s="70"/>
      <c r="E838" s="70"/>
      <c r="F838" s="70"/>
      <c r="G838" s="70"/>
      <c r="H838" s="70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  <c r="AA838" s="70"/>
      <c r="AB838" s="70"/>
      <c r="AC838" s="70"/>
      <c r="AD838" s="70"/>
      <c r="AE838" s="70"/>
      <c r="AF838" s="70"/>
      <c r="AG838" s="70"/>
      <c r="AH838" s="70"/>
      <c r="AI838" s="70"/>
      <c r="AJ838" s="70"/>
      <c r="AK838" s="70"/>
      <c r="AL838" s="70"/>
    </row>
    <row r="839" spans="1:38" ht="16.5" x14ac:dyDescent="0.25">
      <c r="A839" s="101"/>
      <c r="B839" s="70"/>
      <c r="C839" s="70"/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  <c r="AA839" s="70"/>
      <c r="AB839" s="70"/>
      <c r="AC839" s="70"/>
      <c r="AD839" s="70"/>
      <c r="AE839" s="70"/>
      <c r="AF839" s="70"/>
      <c r="AG839" s="70"/>
      <c r="AH839" s="70"/>
      <c r="AI839" s="70"/>
      <c r="AJ839" s="70"/>
      <c r="AK839" s="70"/>
      <c r="AL839" s="70"/>
    </row>
    <row r="840" spans="1:38" ht="16.5" x14ac:dyDescent="0.25">
      <c r="A840" s="101"/>
      <c r="B840" s="70"/>
      <c r="C840" s="70"/>
      <c r="D840" s="70"/>
      <c r="E840" s="70"/>
      <c r="F840" s="70"/>
      <c r="G840" s="70"/>
      <c r="H840" s="70"/>
      <c r="I840" s="70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  <c r="AA840" s="70"/>
      <c r="AB840" s="70"/>
      <c r="AC840" s="70"/>
      <c r="AD840" s="70"/>
      <c r="AE840" s="70"/>
      <c r="AF840" s="70"/>
      <c r="AG840" s="70"/>
      <c r="AH840" s="70"/>
      <c r="AI840" s="70"/>
      <c r="AJ840" s="70"/>
      <c r="AK840" s="70"/>
      <c r="AL840" s="70"/>
    </row>
    <row r="841" spans="1:38" ht="16.5" x14ac:dyDescent="0.25">
      <c r="A841" s="101"/>
      <c r="B841" s="70"/>
      <c r="C841" s="70"/>
      <c r="D841" s="70"/>
      <c r="E841" s="70"/>
      <c r="F841" s="70"/>
      <c r="G841" s="70"/>
      <c r="H841" s="70"/>
      <c r="I841" s="70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  <c r="AA841" s="70"/>
      <c r="AB841" s="70"/>
      <c r="AC841" s="70"/>
      <c r="AD841" s="70"/>
      <c r="AE841" s="70"/>
      <c r="AF841" s="70"/>
      <c r="AG841" s="70"/>
      <c r="AH841" s="70"/>
      <c r="AI841" s="70"/>
      <c r="AJ841" s="70"/>
      <c r="AK841" s="70"/>
      <c r="AL841" s="70"/>
    </row>
    <row r="842" spans="1:38" ht="16.5" x14ac:dyDescent="0.25">
      <c r="A842" s="101"/>
      <c r="B842" s="70"/>
      <c r="C842" s="70"/>
      <c r="D842" s="70"/>
      <c r="E842" s="70"/>
      <c r="F842" s="70"/>
      <c r="G842" s="70"/>
      <c r="H842" s="70"/>
      <c r="I842" s="70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  <c r="AA842" s="70"/>
      <c r="AB842" s="70"/>
      <c r="AC842" s="70"/>
      <c r="AD842" s="70"/>
      <c r="AE842" s="70"/>
      <c r="AF842" s="70"/>
      <c r="AG842" s="70"/>
      <c r="AH842" s="70"/>
      <c r="AI842" s="70"/>
      <c r="AJ842" s="70"/>
      <c r="AK842" s="70"/>
      <c r="AL842" s="70"/>
    </row>
    <row r="843" spans="1:38" ht="16.5" x14ac:dyDescent="0.25">
      <c r="A843" s="101"/>
      <c r="B843" s="70"/>
      <c r="C843" s="70"/>
      <c r="D843" s="70"/>
      <c r="E843" s="70"/>
      <c r="F843" s="70"/>
      <c r="G843" s="70"/>
      <c r="H843" s="70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  <c r="AA843" s="70"/>
      <c r="AB843" s="70"/>
      <c r="AC843" s="70"/>
      <c r="AD843" s="70"/>
      <c r="AE843" s="70"/>
      <c r="AF843" s="70"/>
      <c r="AG843" s="70"/>
      <c r="AH843" s="70"/>
      <c r="AI843" s="70"/>
      <c r="AJ843" s="70"/>
      <c r="AK843" s="70"/>
      <c r="AL843" s="70"/>
    </row>
    <row r="844" spans="1:38" ht="16.5" x14ac:dyDescent="0.25">
      <c r="A844" s="101"/>
      <c r="B844" s="70"/>
      <c r="C844" s="70"/>
      <c r="D844" s="70"/>
      <c r="E844" s="70"/>
      <c r="F844" s="70"/>
      <c r="G844" s="70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  <c r="AA844" s="70"/>
      <c r="AB844" s="70"/>
      <c r="AC844" s="70"/>
      <c r="AD844" s="70"/>
      <c r="AE844" s="70"/>
      <c r="AF844" s="70"/>
      <c r="AG844" s="70"/>
      <c r="AH844" s="70"/>
      <c r="AI844" s="70"/>
      <c r="AJ844" s="70"/>
      <c r="AK844" s="70"/>
      <c r="AL844" s="70"/>
    </row>
    <row r="845" spans="1:38" ht="16.5" x14ac:dyDescent="0.25">
      <c r="A845" s="101"/>
      <c r="B845" s="70"/>
      <c r="C845" s="70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  <c r="AA845" s="70"/>
      <c r="AB845" s="70"/>
      <c r="AC845" s="70"/>
      <c r="AD845" s="70"/>
      <c r="AE845" s="70"/>
      <c r="AF845" s="70"/>
      <c r="AG845" s="70"/>
      <c r="AH845" s="70"/>
      <c r="AI845" s="70"/>
      <c r="AJ845" s="70"/>
      <c r="AK845" s="70"/>
      <c r="AL845" s="70"/>
    </row>
    <row r="846" spans="1:38" ht="16.5" x14ac:dyDescent="0.25">
      <c r="A846" s="101"/>
      <c r="B846" s="70"/>
      <c r="C846" s="70"/>
      <c r="D846" s="70"/>
      <c r="E846" s="70"/>
      <c r="F846" s="70"/>
      <c r="G846" s="70"/>
      <c r="H846" s="70"/>
      <c r="I846" s="70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  <c r="AA846" s="70"/>
      <c r="AB846" s="70"/>
      <c r="AC846" s="70"/>
      <c r="AD846" s="70"/>
      <c r="AE846" s="70"/>
      <c r="AF846" s="70"/>
      <c r="AG846" s="70"/>
      <c r="AH846" s="70"/>
      <c r="AI846" s="70"/>
      <c r="AJ846" s="70"/>
      <c r="AK846" s="70"/>
      <c r="AL846" s="70"/>
    </row>
    <row r="847" spans="1:38" ht="16.5" x14ac:dyDescent="0.25">
      <c r="A847" s="101"/>
      <c r="B847" s="70"/>
      <c r="C847" s="70"/>
      <c r="D847" s="70"/>
      <c r="E847" s="70"/>
      <c r="F847" s="70"/>
      <c r="G847" s="70"/>
      <c r="H847" s="70"/>
      <c r="I847" s="70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  <c r="AA847" s="70"/>
      <c r="AB847" s="70"/>
      <c r="AC847" s="70"/>
      <c r="AD847" s="70"/>
      <c r="AE847" s="70"/>
      <c r="AF847" s="70"/>
      <c r="AG847" s="70"/>
      <c r="AH847" s="70"/>
      <c r="AI847" s="70"/>
      <c r="AJ847" s="70"/>
      <c r="AK847" s="70"/>
      <c r="AL847" s="70"/>
    </row>
    <row r="848" spans="1:38" ht="16.5" x14ac:dyDescent="0.25">
      <c r="A848" s="101"/>
      <c r="B848" s="70"/>
      <c r="C848" s="70"/>
      <c r="D848" s="70"/>
      <c r="E848" s="70"/>
      <c r="F848" s="70"/>
      <c r="G848" s="70"/>
      <c r="H848" s="70"/>
      <c r="I848" s="70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  <c r="AA848" s="70"/>
      <c r="AB848" s="70"/>
      <c r="AC848" s="70"/>
      <c r="AD848" s="70"/>
      <c r="AE848" s="70"/>
      <c r="AF848" s="70"/>
      <c r="AG848" s="70"/>
      <c r="AH848" s="70"/>
      <c r="AI848" s="70"/>
      <c r="AJ848" s="70"/>
      <c r="AK848" s="70"/>
      <c r="AL848" s="70"/>
    </row>
    <row r="849" spans="1:38" ht="16.5" x14ac:dyDescent="0.25">
      <c r="A849" s="101"/>
      <c r="B849" s="70"/>
      <c r="C849" s="70"/>
      <c r="D849" s="70"/>
      <c r="E849" s="70"/>
      <c r="F849" s="70"/>
      <c r="G849" s="70"/>
      <c r="H849" s="70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  <c r="AA849" s="70"/>
      <c r="AB849" s="70"/>
      <c r="AC849" s="70"/>
      <c r="AD849" s="70"/>
      <c r="AE849" s="70"/>
      <c r="AF849" s="70"/>
      <c r="AG849" s="70"/>
      <c r="AH849" s="70"/>
      <c r="AI849" s="70"/>
      <c r="AJ849" s="70"/>
      <c r="AK849" s="70"/>
      <c r="AL849" s="70"/>
    </row>
    <row r="850" spans="1:38" ht="16.5" x14ac:dyDescent="0.25">
      <c r="A850" s="101"/>
      <c r="B850" s="70"/>
      <c r="C850" s="70"/>
      <c r="D850" s="70"/>
      <c r="E850" s="70"/>
      <c r="F850" s="70"/>
      <c r="G850" s="70"/>
      <c r="H850" s="70"/>
      <c r="I850" s="70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  <c r="AA850" s="70"/>
      <c r="AB850" s="70"/>
      <c r="AC850" s="70"/>
      <c r="AD850" s="70"/>
      <c r="AE850" s="70"/>
      <c r="AF850" s="70"/>
      <c r="AG850" s="70"/>
      <c r="AH850" s="70"/>
      <c r="AI850" s="70"/>
      <c r="AJ850" s="70"/>
      <c r="AK850" s="70"/>
      <c r="AL850" s="70"/>
    </row>
    <row r="851" spans="1:38" ht="16.5" x14ac:dyDescent="0.25">
      <c r="A851" s="101"/>
      <c r="B851" s="70"/>
      <c r="C851" s="70"/>
      <c r="D851" s="70"/>
      <c r="E851" s="70"/>
      <c r="F851" s="70"/>
      <c r="G851" s="70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  <c r="AA851" s="70"/>
      <c r="AB851" s="70"/>
      <c r="AC851" s="70"/>
      <c r="AD851" s="70"/>
      <c r="AE851" s="70"/>
      <c r="AF851" s="70"/>
      <c r="AG851" s="70"/>
      <c r="AH851" s="70"/>
      <c r="AI851" s="70"/>
      <c r="AJ851" s="70"/>
      <c r="AK851" s="70"/>
      <c r="AL851" s="70"/>
    </row>
    <row r="852" spans="1:38" ht="16.5" x14ac:dyDescent="0.25">
      <c r="A852" s="101"/>
      <c r="B852" s="70"/>
      <c r="C852" s="70"/>
      <c r="D852" s="70"/>
      <c r="E852" s="70"/>
      <c r="F852" s="70"/>
      <c r="G852" s="70"/>
      <c r="H852" s="70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  <c r="AA852" s="70"/>
      <c r="AB852" s="70"/>
      <c r="AC852" s="70"/>
      <c r="AD852" s="70"/>
      <c r="AE852" s="70"/>
      <c r="AF852" s="70"/>
      <c r="AG852" s="70"/>
      <c r="AH852" s="70"/>
      <c r="AI852" s="70"/>
      <c r="AJ852" s="70"/>
      <c r="AK852" s="70"/>
      <c r="AL852" s="70"/>
    </row>
    <row r="853" spans="1:38" ht="16.5" x14ac:dyDescent="0.25">
      <c r="A853" s="101"/>
      <c r="B853" s="70"/>
      <c r="C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  <c r="AA853" s="70"/>
      <c r="AB853" s="70"/>
      <c r="AC853" s="70"/>
      <c r="AD853" s="70"/>
      <c r="AE853" s="70"/>
      <c r="AF853" s="70"/>
      <c r="AG853" s="70"/>
      <c r="AH853" s="70"/>
      <c r="AI853" s="70"/>
      <c r="AJ853" s="70"/>
      <c r="AK853" s="70"/>
      <c r="AL853" s="70"/>
    </row>
    <row r="854" spans="1:38" ht="16.5" x14ac:dyDescent="0.25">
      <c r="A854" s="101"/>
      <c r="B854" s="70"/>
      <c r="C854" s="70"/>
      <c r="D854" s="70"/>
      <c r="E854" s="70"/>
      <c r="F854" s="70"/>
      <c r="G854" s="70"/>
      <c r="H854" s="70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  <c r="AA854" s="70"/>
      <c r="AB854" s="70"/>
      <c r="AC854" s="70"/>
      <c r="AD854" s="70"/>
      <c r="AE854" s="70"/>
      <c r="AF854" s="70"/>
      <c r="AG854" s="70"/>
      <c r="AH854" s="70"/>
      <c r="AI854" s="70"/>
      <c r="AJ854" s="70"/>
      <c r="AK854" s="70"/>
      <c r="AL854" s="70"/>
    </row>
    <row r="855" spans="1:38" ht="16.5" x14ac:dyDescent="0.25">
      <c r="A855" s="101"/>
      <c r="B855" s="70"/>
      <c r="C855" s="70"/>
      <c r="D855" s="70"/>
      <c r="E855" s="70"/>
      <c r="F855" s="70"/>
      <c r="G855" s="70"/>
      <c r="H855" s="70"/>
      <c r="I855" s="70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  <c r="AA855" s="70"/>
      <c r="AB855" s="70"/>
      <c r="AC855" s="70"/>
      <c r="AD855" s="70"/>
      <c r="AE855" s="70"/>
      <c r="AF855" s="70"/>
      <c r="AG855" s="70"/>
      <c r="AH855" s="70"/>
      <c r="AI855" s="70"/>
      <c r="AJ855" s="70"/>
      <c r="AK855" s="70"/>
      <c r="AL855" s="70"/>
    </row>
    <row r="856" spans="1:38" ht="16.5" x14ac:dyDescent="0.25">
      <c r="A856" s="101"/>
      <c r="B856" s="70"/>
      <c r="C856" s="70"/>
      <c r="D856" s="70"/>
      <c r="E856" s="70"/>
      <c r="F856" s="70"/>
      <c r="G856" s="70"/>
      <c r="H856" s="70"/>
      <c r="I856" s="70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  <c r="AA856" s="70"/>
      <c r="AB856" s="70"/>
      <c r="AC856" s="70"/>
      <c r="AD856" s="70"/>
      <c r="AE856" s="70"/>
      <c r="AF856" s="70"/>
      <c r="AG856" s="70"/>
      <c r="AH856" s="70"/>
      <c r="AI856" s="70"/>
      <c r="AJ856" s="70"/>
      <c r="AK856" s="70"/>
      <c r="AL856" s="70"/>
    </row>
    <row r="857" spans="1:38" ht="16.5" x14ac:dyDescent="0.25">
      <c r="A857" s="101"/>
      <c r="B857" s="70"/>
      <c r="C857" s="70"/>
      <c r="D857" s="70"/>
      <c r="E857" s="70"/>
      <c r="F857" s="70"/>
      <c r="G857" s="70"/>
      <c r="H857" s="70"/>
      <c r="I857" s="70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  <c r="AA857" s="70"/>
      <c r="AB857" s="70"/>
      <c r="AC857" s="70"/>
      <c r="AD857" s="70"/>
      <c r="AE857" s="70"/>
      <c r="AF857" s="70"/>
      <c r="AG857" s="70"/>
      <c r="AH857" s="70"/>
      <c r="AI857" s="70"/>
      <c r="AJ857" s="70"/>
      <c r="AK857" s="70"/>
      <c r="AL857" s="70"/>
    </row>
    <row r="858" spans="1:38" ht="16.5" x14ac:dyDescent="0.25">
      <c r="A858" s="101"/>
      <c r="B858" s="70"/>
      <c r="C858" s="70"/>
      <c r="D858" s="70"/>
      <c r="E858" s="70"/>
      <c r="F858" s="70"/>
      <c r="G858" s="70"/>
      <c r="H858" s="70"/>
      <c r="I858" s="70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  <c r="AA858" s="70"/>
      <c r="AB858" s="70"/>
      <c r="AC858" s="70"/>
      <c r="AD858" s="70"/>
      <c r="AE858" s="70"/>
      <c r="AF858" s="70"/>
      <c r="AG858" s="70"/>
      <c r="AH858" s="70"/>
      <c r="AI858" s="70"/>
      <c r="AJ858" s="70"/>
      <c r="AK858" s="70"/>
      <c r="AL858" s="70"/>
    </row>
    <row r="859" spans="1:38" ht="16.5" x14ac:dyDescent="0.25">
      <c r="A859" s="101"/>
      <c r="B859" s="70"/>
      <c r="C859" s="70"/>
      <c r="D859" s="70"/>
      <c r="E859" s="70"/>
      <c r="F859" s="70"/>
      <c r="G859" s="70"/>
      <c r="H859" s="70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  <c r="AA859" s="70"/>
      <c r="AB859" s="70"/>
      <c r="AC859" s="70"/>
      <c r="AD859" s="70"/>
      <c r="AE859" s="70"/>
      <c r="AF859" s="70"/>
      <c r="AG859" s="70"/>
      <c r="AH859" s="70"/>
      <c r="AI859" s="70"/>
      <c r="AJ859" s="70"/>
      <c r="AK859" s="70"/>
      <c r="AL859" s="70"/>
    </row>
    <row r="860" spans="1:38" ht="16.5" x14ac:dyDescent="0.25">
      <c r="A860" s="101"/>
      <c r="B860" s="70"/>
      <c r="C860" s="70"/>
      <c r="D860" s="70"/>
      <c r="E860" s="70"/>
      <c r="F860" s="70"/>
      <c r="G860" s="70"/>
      <c r="H860" s="70"/>
      <c r="I860" s="70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  <c r="AA860" s="70"/>
      <c r="AB860" s="70"/>
      <c r="AC860" s="70"/>
      <c r="AD860" s="70"/>
      <c r="AE860" s="70"/>
      <c r="AF860" s="70"/>
      <c r="AG860" s="70"/>
      <c r="AH860" s="70"/>
      <c r="AI860" s="70"/>
      <c r="AJ860" s="70"/>
      <c r="AK860" s="70"/>
      <c r="AL860" s="70"/>
    </row>
    <row r="861" spans="1:38" ht="16.5" x14ac:dyDescent="0.25">
      <c r="A861" s="101"/>
      <c r="B861" s="70"/>
      <c r="C861" s="70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  <c r="AA861" s="70"/>
      <c r="AB861" s="70"/>
      <c r="AC861" s="70"/>
      <c r="AD861" s="70"/>
      <c r="AE861" s="70"/>
      <c r="AF861" s="70"/>
      <c r="AG861" s="70"/>
      <c r="AH861" s="70"/>
      <c r="AI861" s="70"/>
      <c r="AJ861" s="70"/>
      <c r="AK861" s="70"/>
      <c r="AL861" s="70"/>
    </row>
    <row r="862" spans="1:38" ht="16.5" x14ac:dyDescent="0.25">
      <c r="A862" s="101"/>
      <c r="B862" s="70"/>
      <c r="C862" s="70"/>
      <c r="D862" s="70"/>
      <c r="E862" s="70"/>
      <c r="F862" s="70"/>
      <c r="G862" s="70"/>
      <c r="H862" s="70"/>
      <c r="I862" s="70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  <c r="AA862" s="70"/>
      <c r="AB862" s="70"/>
      <c r="AC862" s="70"/>
      <c r="AD862" s="70"/>
      <c r="AE862" s="70"/>
      <c r="AF862" s="70"/>
      <c r="AG862" s="70"/>
      <c r="AH862" s="70"/>
      <c r="AI862" s="70"/>
      <c r="AJ862" s="70"/>
      <c r="AK862" s="70"/>
      <c r="AL862" s="70"/>
    </row>
    <row r="863" spans="1:38" ht="16.5" x14ac:dyDescent="0.25">
      <c r="A863" s="101"/>
      <c r="B863" s="70"/>
      <c r="C863" s="70"/>
      <c r="D863" s="70"/>
      <c r="E863" s="70"/>
      <c r="F863" s="70"/>
      <c r="G863" s="70"/>
      <c r="H863" s="70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  <c r="AA863" s="70"/>
      <c r="AB863" s="70"/>
      <c r="AC863" s="70"/>
      <c r="AD863" s="70"/>
      <c r="AE863" s="70"/>
      <c r="AF863" s="70"/>
      <c r="AG863" s="70"/>
      <c r="AH863" s="70"/>
      <c r="AI863" s="70"/>
      <c r="AJ863" s="70"/>
      <c r="AK863" s="70"/>
      <c r="AL863" s="70"/>
    </row>
    <row r="864" spans="1:38" ht="16.5" x14ac:dyDescent="0.25">
      <c r="A864" s="101"/>
      <c r="B864" s="70"/>
      <c r="C864" s="70"/>
      <c r="D864" s="70"/>
      <c r="E864" s="70"/>
      <c r="F864" s="70"/>
      <c r="G864" s="70"/>
      <c r="H864" s="70"/>
      <c r="I864" s="70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  <c r="AA864" s="70"/>
      <c r="AB864" s="70"/>
      <c r="AC864" s="70"/>
      <c r="AD864" s="70"/>
      <c r="AE864" s="70"/>
      <c r="AF864" s="70"/>
      <c r="AG864" s="70"/>
      <c r="AH864" s="70"/>
      <c r="AI864" s="70"/>
      <c r="AJ864" s="70"/>
      <c r="AK864" s="70"/>
      <c r="AL864" s="70"/>
    </row>
    <row r="865" spans="1:38" ht="16.5" x14ac:dyDescent="0.25">
      <c r="A865" s="101"/>
      <c r="B865" s="70"/>
      <c r="C865" s="70"/>
      <c r="D865" s="70"/>
      <c r="E865" s="70"/>
      <c r="F865" s="70"/>
      <c r="G865" s="70"/>
      <c r="H865" s="70"/>
      <c r="I865" s="70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  <c r="AA865" s="70"/>
      <c r="AB865" s="70"/>
      <c r="AC865" s="70"/>
      <c r="AD865" s="70"/>
      <c r="AE865" s="70"/>
      <c r="AF865" s="70"/>
      <c r="AG865" s="70"/>
      <c r="AH865" s="70"/>
      <c r="AI865" s="70"/>
      <c r="AJ865" s="70"/>
      <c r="AK865" s="70"/>
      <c r="AL865" s="70"/>
    </row>
    <row r="866" spans="1:38" ht="16.5" x14ac:dyDescent="0.25">
      <c r="A866" s="101"/>
      <c r="B866" s="70"/>
      <c r="C866" s="70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  <c r="AA866" s="70"/>
      <c r="AB866" s="70"/>
      <c r="AC866" s="70"/>
      <c r="AD866" s="70"/>
      <c r="AE866" s="70"/>
      <c r="AF866" s="70"/>
      <c r="AG866" s="70"/>
      <c r="AH866" s="70"/>
      <c r="AI866" s="70"/>
      <c r="AJ866" s="70"/>
      <c r="AK866" s="70"/>
      <c r="AL866" s="70"/>
    </row>
    <row r="867" spans="1:38" ht="16.5" x14ac:dyDescent="0.25">
      <c r="A867" s="101"/>
      <c r="B867" s="70"/>
      <c r="C867" s="70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  <c r="AA867" s="70"/>
      <c r="AB867" s="70"/>
      <c r="AC867" s="70"/>
      <c r="AD867" s="70"/>
      <c r="AE867" s="70"/>
      <c r="AF867" s="70"/>
      <c r="AG867" s="70"/>
      <c r="AH867" s="70"/>
      <c r="AI867" s="70"/>
      <c r="AJ867" s="70"/>
      <c r="AK867" s="70"/>
      <c r="AL867" s="70"/>
    </row>
    <row r="868" spans="1:38" ht="16.5" x14ac:dyDescent="0.25">
      <c r="A868" s="101"/>
      <c r="B868" s="70"/>
      <c r="C868" s="70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  <c r="AA868" s="70"/>
      <c r="AB868" s="70"/>
      <c r="AC868" s="70"/>
      <c r="AD868" s="70"/>
      <c r="AE868" s="70"/>
      <c r="AF868" s="70"/>
      <c r="AG868" s="70"/>
      <c r="AH868" s="70"/>
      <c r="AI868" s="70"/>
      <c r="AJ868" s="70"/>
      <c r="AK868" s="70"/>
      <c r="AL868" s="70"/>
    </row>
    <row r="869" spans="1:38" ht="16.5" x14ac:dyDescent="0.25">
      <c r="A869" s="101"/>
      <c r="B869" s="70"/>
      <c r="C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  <c r="AA869" s="70"/>
      <c r="AB869" s="70"/>
      <c r="AC869" s="70"/>
      <c r="AD869" s="70"/>
      <c r="AE869" s="70"/>
      <c r="AF869" s="70"/>
      <c r="AG869" s="70"/>
      <c r="AH869" s="70"/>
      <c r="AI869" s="70"/>
      <c r="AJ869" s="70"/>
      <c r="AK869" s="70"/>
      <c r="AL869" s="70"/>
    </row>
    <row r="870" spans="1:38" ht="16.5" x14ac:dyDescent="0.25">
      <c r="A870" s="101"/>
      <c r="B870" s="70"/>
      <c r="C870" s="70"/>
      <c r="D870" s="70"/>
      <c r="E870" s="70"/>
      <c r="F870" s="70"/>
      <c r="G870" s="70"/>
      <c r="H870" s="70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  <c r="AA870" s="70"/>
      <c r="AB870" s="70"/>
      <c r="AC870" s="70"/>
      <c r="AD870" s="70"/>
      <c r="AE870" s="70"/>
      <c r="AF870" s="70"/>
      <c r="AG870" s="70"/>
      <c r="AH870" s="70"/>
      <c r="AI870" s="70"/>
      <c r="AJ870" s="70"/>
      <c r="AK870" s="70"/>
      <c r="AL870" s="70"/>
    </row>
    <row r="871" spans="1:38" ht="16.5" x14ac:dyDescent="0.25">
      <c r="A871" s="101"/>
      <c r="B871" s="70"/>
      <c r="C871" s="70"/>
      <c r="D871" s="70"/>
      <c r="E871" s="70"/>
      <c r="F871" s="70"/>
      <c r="G871" s="70"/>
      <c r="H871" s="70"/>
      <c r="I871" s="70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  <c r="AA871" s="70"/>
      <c r="AB871" s="70"/>
      <c r="AC871" s="70"/>
      <c r="AD871" s="70"/>
      <c r="AE871" s="70"/>
      <c r="AF871" s="70"/>
      <c r="AG871" s="70"/>
      <c r="AH871" s="70"/>
      <c r="AI871" s="70"/>
      <c r="AJ871" s="70"/>
      <c r="AK871" s="70"/>
      <c r="AL871" s="70"/>
    </row>
    <row r="872" spans="1:38" ht="16.5" x14ac:dyDescent="0.25">
      <c r="A872" s="101"/>
      <c r="B872" s="70"/>
      <c r="C872" s="70"/>
      <c r="D872" s="70"/>
      <c r="E872" s="70"/>
      <c r="F872" s="70"/>
      <c r="G872" s="70"/>
      <c r="H872" s="70"/>
      <c r="I872" s="70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  <c r="AA872" s="70"/>
      <c r="AB872" s="70"/>
      <c r="AC872" s="70"/>
      <c r="AD872" s="70"/>
      <c r="AE872" s="70"/>
      <c r="AF872" s="70"/>
      <c r="AG872" s="70"/>
      <c r="AH872" s="70"/>
      <c r="AI872" s="70"/>
      <c r="AJ872" s="70"/>
      <c r="AK872" s="70"/>
      <c r="AL872" s="70"/>
    </row>
    <row r="873" spans="1:38" ht="16.5" x14ac:dyDescent="0.25">
      <c r="A873" s="101"/>
      <c r="B873" s="70"/>
      <c r="C873" s="70"/>
      <c r="D873" s="70"/>
      <c r="E873" s="70"/>
      <c r="F873" s="70"/>
      <c r="G873" s="70"/>
      <c r="H873" s="70"/>
      <c r="I873" s="70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  <c r="AA873" s="70"/>
      <c r="AB873" s="70"/>
      <c r="AC873" s="70"/>
      <c r="AD873" s="70"/>
      <c r="AE873" s="70"/>
      <c r="AF873" s="70"/>
      <c r="AG873" s="70"/>
      <c r="AH873" s="70"/>
      <c r="AI873" s="70"/>
      <c r="AJ873" s="70"/>
      <c r="AK873" s="70"/>
      <c r="AL873" s="70"/>
    </row>
    <row r="874" spans="1:38" ht="16.5" x14ac:dyDescent="0.25">
      <c r="A874" s="101"/>
      <c r="B874" s="70"/>
      <c r="C874" s="70"/>
      <c r="D874" s="70"/>
      <c r="E874" s="70"/>
      <c r="F874" s="70"/>
      <c r="G874" s="70"/>
      <c r="H874" s="70"/>
      <c r="I874" s="70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  <c r="AA874" s="70"/>
      <c r="AB874" s="70"/>
      <c r="AC874" s="70"/>
      <c r="AD874" s="70"/>
      <c r="AE874" s="70"/>
      <c r="AF874" s="70"/>
      <c r="AG874" s="70"/>
      <c r="AH874" s="70"/>
      <c r="AI874" s="70"/>
      <c r="AJ874" s="70"/>
      <c r="AK874" s="70"/>
      <c r="AL874" s="70"/>
    </row>
    <row r="875" spans="1:38" ht="16.5" x14ac:dyDescent="0.25">
      <c r="A875" s="101"/>
      <c r="B875" s="70"/>
      <c r="C875" s="70"/>
      <c r="D875" s="70"/>
      <c r="E875" s="70"/>
      <c r="F875" s="70"/>
      <c r="G875" s="70"/>
      <c r="H875" s="70"/>
      <c r="I875" s="70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  <c r="AA875" s="70"/>
      <c r="AB875" s="70"/>
      <c r="AC875" s="70"/>
      <c r="AD875" s="70"/>
      <c r="AE875" s="70"/>
      <c r="AF875" s="70"/>
      <c r="AG875" s="70"/>
      <c r="AH875" s="70"/>
      <c r="AI875" s="70"/>
      <c r="AJ875" s="70"/>
      <c r="AK875" s="70"/>
      <c r="AL875" s="70"/>
    </row>
    <row r="876" spans="1:38" ht="16.5" x14ac:dyDescent="0.25">
      <c r="A876" s="101"/>
      <c r="B876" s="70"/>
      <c r="C876" s="70"/>
      <c r="D876" s="70"/>
      <c r="E876" s="70"/>
      <c r="F876" s="70"/>
      <c r="G876" s="70"/>
      <c r="H876" s="70"/>
      <c r="I876" s="70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  <c r="AA876" s="70"/>
      <c r="AB876" s="70"/>
      <c r="AC876" s="70"/>
      <c r="AD876" s="70"/>
      <c r="AE876" s="70"/>
      <c r="AF876" s="70"/>
      <c r="AG876" s="70"/>
      <c r="AH876" s="70"/>
      <c r="AI876" s="70"/>
      <c r="AJ876" s="70"/>
      <c r="AK876" s="70"/>
      <c r="AL876" s="70"/>
    </row>
    <row r="877" spans="1:38" ht="16.5" x14ac:dyDescent="0.25">
      <c r="A877" s="101"/>
      <c r="B877" s="70"/>
      <c r="C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  <c r="AA877" s="70"/>
      <c r="AB877" s="70"/>
      <c r="AC877" s="70"/>
      <c r="AD877" s="70"/>
      <c r="AE877" s="70"/>
      <c r="AF877" s="70"/>
      <c r="AG877" s="70"/>
      <c r="AH877" s="70"/>
      <c r="AI877" s="70"/>
      <c r="AJ877" s="70"/>
      <c r="AK877" s="70"/>
      <c r="AL877" s="70"/>
    </row>
    <row r="878" spans="1:38" ht="16.5" x14ac:dyDescent="0.25">
      <c r="A878" s="101"/>
      <c r="B878" s="70"/>
      <c r="C878" s="70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  <c r="AA878" s="70"/>
      <c r="AB878" s="70"/>
      <c r="AC878" s="70"/>
      <c r="AD878" s="70"/>
      <c r="AE878" s="70"/>
      <c r="AF878" s="70"/>
      <c r="AG878" s="70"/>
      <c r="AH878" s="70"/>
      <c r="AI878" s="70"/>
      <c r="AJ878" s="70"/>
      <c r="AK878" s="70"/>
      <c r="AL878" s="70"/>
    </row>
    <row r="879" spans="1:38" ht="16.5" x14ac:dyDescent="0.25">
      <c r="A879" s="101"/>
      <c r="B879" s="70"/>
      <c r="C879" s="70"/>
      <c r="D879" s="70"/>
      <c r="E879" s="70"/>
      <c r="F879" s="70"/>
      <c r="G879" s="70"/>
      <c r="H879" s="70"/>
      <c r="I879" s="70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  <c r="AA879" s="70"/>
      <c r="AB879" s="70"/>
      <c r="AC879" s="70"/>
      <c r="AD879" s="70"/>
      <c r="AE879" s="70"/>
      <c r="AF879" s="70"/>
      <c r="AG879" s="70"/>
      <c r="AH879" s="70"/>
      <c r="AI879" s="70"/>
      <c r="AJ879" s="70"/>
      <c r="AK879" s="70"/>
      <c r="AL879" s="70"/>
    </row>
    <row r="880" spans="1:38" ht="16.5" x14ac:dyDescent="0.25">
      <c r="A880" s="101"/>
      <c r="B880" s="70"/>
      <c r="C880" s="70"/>
      <c r="D880" s="70"/>
      <c r="E880" s="70"/>
      <c r="F880" s="70"/>
      <c r="G880" s="70"/>
      <c r="H880" s="70"/>
      <c r="I880" s="70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  <c r="AA880" s="70"/>
      <c r="AB880" s="70"/>
      <c r="AC880" s="70"/>
      <c r="AD880" s="70"/>
      <c r="AE880" s="70"/>
      <c r="AF880" s="70"/>
      <c r="AG880" s="70"/>
      <c r="AH880" s="70"/>
      <c r="AI880" s="70"/>
      <c r="AJ880" s="70"/>
      <c r="AK880" s="70"/>
      <c r="AL880" s="70"/>
    </row>
    <row r="881" spans="1:38" ht="16.5" x14ac:dyDescent="0.25">
      <c r="A881" s="101"/>
      <c r="B881" s="70"/>
      <c r="C881" s="70"/>
      <c r="D881" s="70"/>
      <c r="E881" s="70"/>
      <c r="F881" s="70"/>
      <c r="G881" s="70"/>
      <c r="H881" s="70"/>
      <c r="I881" s="70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  <c r="AA881" s="70"/>
      <c r="AB881" s="70"/>
      <c r="AC881" s="70"/>
      <c r="AD881" s="70"/>
      <c r="AE881" s="70"/>
      <c r="AF881" s="70"/>
      <c r="AG881" s="70"/>
      <c r="AH881" s="70"/>
      <c r="AI881" s="70"/>
      <c r="AJ881" s="70"/>
      <c r="AK881" s="70"/>
      <c r="AL881" s="70"/>
    </row>
    <row r="882" spans="1:38" ht="16.5" x14ac:dyDescent="0.25">
      <c r="A882" s="101"/>
      <c r="B882" s="70"/>
      <c r="C882" s="70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  <c r="AA882" s="70"/>
      <c r="AB882" s="70"/>
      <c r="AC882" s="70"/>
      <c r="AD882" s="70"/>
      <c r="AE882" s="70"/>
      <c r="AF882" s="70"/>
      <c r="AG882" s="70"/>
      <c r="AH882" s="70"/>
      <c r="AI882" s="70"/>
      <c r="AJ882" s="70"/>
      <c r="AK882" s="70"/>
      <c r="AL882" s="70"/>
    </row>
    <row r="883" spans="1:38" ht="16.5" x14ac:dyDescent="0.25">
      <c r="A883" s="101"/>
      <c r="B883" s="70"/>
      <c r="C883" s="70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  <c r="AA883" s="70"/>
      <c r="AB883" s="70"/>
      <c r="AC883" s="70"/>
      <c r="AD883" s="70"/>
      <c r="AE883" s="70"/>
      <c r="AF883" s="70"/>
      <c r="AG883" s="70"/>
      <c r="AH883" s="70"/>
      <c r="AI883" s="70"/>
      <c r="AJ883" s="70"/>
      <c r="AK883" s="70"/>
      <c r="AL883" s="70"/>
    </row>
    <row r="884" spans="1:38" ht="16.5" x14ac:dyDescent="0.25">
      <c r="A884" s="101"/>
      <c r="B884" s="70"/>
      <c r="C884" s="70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  <c r="AA884" s="70"/>
      <c r="AB884" s="70"/>
      <c r="AC884" s="70"/>
      <c r="AD884" s="70"/>
      <c r="AE884" s="70"/>
      <c r="AF884" s="70"/>
      <c r="AG884" s="70"/>
      <c r="AH884" s="70"/>
      <c r="AI884" s="70"/>
      <c r="AJ884" s="70"/>
      <c r="AK884" s="70"/>
      <c r="AL884" s="70"/>
    </row>
    <row r="885" spans="1:38" ht="16.5" x14ac:dyDescent="0.25">
      <c r="A885" s="101"/>
      <c r="B885" s="70"/>
      <c r="C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  <c r="AA885" s="70"/>
      <c r="AB885" s="70"/>
      <c r="AC885" s="70"/>
      <c r="AD885" s="70"/>
      <c r="AE885" s="70"/>
      <c r="AF885" s="70"/>
      <c r="AG885" s="70"/>
      <c r="AH885" s="70"/>
      <c r="AI885" s="70"/>
      <c r="AJ885" s="70"/>
      <c r="AK885" s="70"/>
      <c r="AL885" s="70"/>
    </row>
    <row r="886" spans="1:38" ht="16.5" x14ac:dyDescent="0.25">
      <c r="A886" s="101"/>
      <c r="B886" s="70"/>
      <c r="C886" s="70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  <c r="AA886" s="70"/>
      <c r="AB886" s="70"/>
      <c r="AC886" s="70"/>
      <c r="AD886" s="70"/>
      <c r="AE886" s="70"/>
      <c r="AF886" s="70"/>
      <c r="AG886" s="70"/>
      <c r="AH886" s="70"/>
      <c r="AI886" s="70"/>
      <c r="AJ886" s="70"/>
      <c r="AK886" s="70"/>
      <c r="AL886" s="70"/>
    </row>
    <row r="887" spans="1:38" ht="16.5" x14ac:dyDescent="0.25">
      <c r="A887" s="101"/>
      <c r="B887" s="70"/>
      <c r="C887" s="70"/>
      <c r="D887" s="70"/>
      <c r="E887" s="70"/>
      <c r="F887" s="70"/>
      <c r="G887" s="70"/>
      <c r="H887" s="70"/>
      <c r="I887" s="70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  <c r="AA887" s="70"/>
      <c r="AB887" s="70"/>
      <c r="AC887" s="70"/>
      <c r="AD887" s="70"/>
      <c r="AE887" s="70"/>
      <c r="AF887" s="70"/>
      <c r="AG887" s="70"/>
      <c r="AH887" s="70"/>
      <c r="AI887" s="70"/>
      <c r="AJ887" s="70"/>
      <c r="AK887" s="70"/>
      <c r="AL887" s="70"/>
    </row>
    <row r="888" spans="1:38" ht="16.5" x14ac:dyDescent="0.25">
      <c r="A888" s="101"/>
      <c r="B888" s="70"/>
      <c r="C888" s="70"/>
      <c r="D888" s="70"/>
      <c r="E888" s="70"/>
      <c r="F888" s="70"/>
      <c r="G888" s="70"/>
      <c r="H888" s="70"/>
      <c r="I888" s="70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  <c r="AA888" s="70"/>
      <c r="AB888" s="70"/>
      <c r="AC888" s="70"/>
      <c r="AD888" s="70"/>
      <c r="AE888" s="70"/>
      <c r="AF888" s="70"/>
      <c r="AG888" s="70"/>
      <c r="AH888" s="70"/>
      <c r="AI888" s="70"/>
      <c r="AJ888" s="70"/>
      <c r="AK888" s="70"/>
      <c r="AL888" s="70"/>
    </row>
    <row r="889" spans="1:38" ht="16.5" x14ac:dyDescent="0.25">
      <c r="A889" s="101"/>
      <c r="B889" s="70"/>
      <c r="C889" s="70"/>
      <c r="D889" s="70"/>
      <c r="E889" s="70"/>
      <c r="F889" s="70"/>
      <c r="G889" s="70"/>
      <c r="H889" s="70"/>
      <c r="I889" s="70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  <c r="AA889" s="70"/>
      <c r="AB889" s="70"/>
      <c r="AC889" s="70"/>
      <c r="AD889" s="70"/>
      <c r="AE889" s="70"/>
      <c r="AF889" s="70"/>
      <c r="AG889" s="70"/>
      <c r="AH889" s="70"/>
      <c r="AI889" s="70"/>
      <c r="AJ889" s="70"/>
      <c r="AK889" s="70"/>
      <c r="AL889" s="70"/>
    </row>
    <row r="890" spans="1:38" ht="16.5" x14ac:dyDescent="0.25">
      <c r="A890" s="101"/>
      <c r="B890" s="70"/>
      <c r="C890" s="70"/>
      <c r="D890" s="70"/>
      <c r="E890" s="70"/>
      <c r="F890" s="70"/>
      <c r="G890" s="70"/>
      <c r="H890" s="70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  <c r="AA890" s="70"/>
      <c r="AB890" s="70"/>
      <c r="AC890" s="70"/>
      <c r="AD890" s="70"/>
      <c r="AE890" s="70"/>
      <c r="AF890" s="70"/>
      <c r="AG890" s="70"/>
      <c r="AH890" s="70"/>
      <c r="AI890" s="70"/>
      <c r="AJ890" s="70"/>
      <c r="AK890" s="70"/>
      <c r="AL890" s="70"/>
    </row>
    <row r="891" spans="1:38" ht="16.5" x14ac:dyDescent="0.25">
      <c r="A891" s="101"/>
      <c r="B891" s="70"/>
      <c r="C891" s="70"/>
      <c r="D891" s="70"/>
      <c r="E891" s="70"/>
      <c r="F891" s="70"/>
      <c r="G891" s="70"/>
      <c r="H891" s="70"/>
      <c r="I891" s="70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  <c r="AA891" s="70"/>
      <c r="AB891" s="70"/>
      <c r="AC891" s="70"/>
      <c r="AD891" s="70"/>
      <c r="AE891" s="70"/>
      <c r="AF891" s="70"/>
      <c r="AG891" s="70"/>
      <c r="AH891" s="70"/>
      <c r="AI891" s="70"/>
      <c r="AJ891" s="70"/>
      <c r="AK891" s="70"/>
      <c r="AL891" s="70"/>
    </row>
    <row r="892" spans="1:38" ht="16.5" x14ac:dyDescent="0.25">
      <c r="A892" s="101"/>
      <c r="B892" s="70"/>
      <c r="C892" s="70"/>
      <c r="D892" s="70"/>
      <c r="E892" s="70"/>
      <c r="F892" s="70"/>
      <c r="G892" s="70"/>
      <c r="H892" s="70"/>
      <c r="I892" s="70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  <c r="AA892" s="70"/>
      <c r="AB892" s="70"/>
      <c r="AC892" s="70"/>
      <c r="AD892" s="70"/>
      <c r="AE892" s="70"/>
      <c r="AF892" s="70"/>
      <c r="AG892" s="70"/>
      <c r="AH892" s="70"/>
      <c r="AI892" s="70"/>
      <c r="AJ892" s="70"/>
      <c r="AK892" s="70"/>
      <c r="AL892" s="70"/>
    </row>
    <row r="893" spans="1:38" ht="16.5" x14ac:dyDescent="0.25">
      <c r="A893" s="101"/>
      <c r="B893" s="70"/>
      <c r="C893" s="70"/>
      <c r="D893" s="70"/>
      <c r="E893" s="70"/>
      <c r="F893" s="70"/>
      <c r="G893" s="70"/>
      <c r="H893" s="70"/>
      <c r="I893" s="70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  <c r="AA893" s="70"/>
      <c r="AB893" s="70"/>
      <c r="AC893" s="70"/>
      <c r="AD893" s="70"/>
      <c r="AE893" s="70"/>
      <c r="AF893" s="70"/>
      <c r="AG893" s="70"/>
      <c r="AH893" s="70"/>
      <c r="AI893" s="70"/>
      <c r="AJ893" s="70"/>
      <c r="AK893" s="70"/>
      <c r="AL893" s="70"/>
    </row>
    <row r="894" spans="1:38" ht="16.5" x14ac:dyDescent="0.25">
      <c r="A894" s="101"/>
      <c r="B894" s="70"/>
      <c r="C894" s="70"/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  <c r="AA894" s="70"/>
      <c r="AB894" s="70"/>
      <c r="AC894" s="70"/>
      <c r="AD894" s="70"/>
      <c r="AE894" s="70"/>
      <c r="AF894" s="70"/>
      <c r="AG894" s="70"/>
      <c r="AH894" s="70"/>
      <c r="AI894" s="70"/>
      <c r="AJ894" s="70"/>
      <c r="AK894" s="70"/>
      <c r="AL894" s="70"/>
    </row>
    <row r="895" spans="1:38" ht="16.5" x14ac:dyDescent="0.25">
      <c r="A895" s="101"/>
      <c r="B895" s="70"/>
      <c r="C895" s="70"/>
      <c r="D895" s="70"/>
      <c r="E895" s="70"/>
      <c r="F895" s="70"/>
      <c r="G895" s="70"/>
      <c r="H895" s="70"/>
      <c r="I895" s="70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  <c r="AA895" s="70"/>
      <c r="AB895" s="70"/>
      <c r="AC895" s="70"/>
      <c r="AD895" s="70"/>
      <c r="AE895" s="70"/>
      <c r="AF895" s="70"/>
      <c r="AG895" s="70"/>
      <c r="AH895" s="70"/>
      <c r="AI895" s="70"/>
      <c r="AJ895" s="70"/>
      <c r="AK895" s="70"/>
      <c r="AL895" s="70"/>
    </row>
    <row r="896" spans="1:38" ht="16.5" x14ac:dyDescent="0.25">
      <c r="A896" s="101"/>
      <c r="B896" s="70"/>
      <c r="C896" s="70"/>
      <c r="D896" s="70"/>
      <c r="E896" s="70"/>
      <c r="F896" s="70"/>
      <c r="G896" s="70"/>
      <c r="H896" s="70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  <c r="AA896" s="70"/>
      <c r="AB896" s="70"/>
      <c r="AC896" s="70"/>
      <c r="AD896" s="70"/>
      <c r="AE896" s="70"/>
      <c r="AF896" s="70"/>
      <c r="AG896" s="70"/>
      <c r="AH896" s="70"/>
      <c r="AI896" s="70"/>
      <c r="AJ896" s="70"/>
      <c r="AK896" s="70"/>
      <c r="AL896" s="70"/>
    </row>
    <row r="897" spans="1:38" ht="16.5" x14ac:dyDescent="0.25">
      <c r="A897" s="101"/>
      <c r="B897" s="70"/>
      <c r="C897" s="70"/>
      <c r="D897" s="70"/>
      <c r="E897" s="70"/>
      <c r="F897" s="70"/>
      <c r="G897" s="70"/>
      <c r="H897" s="70"/>
      <c r="I897" s="70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  <c r="AA897" s="70"/>
      <c r="AB897" s="70"/>
      <c r="AC897" s="70"/>
      <c r="AD897" s="70"/>
      <c r="AE897" s="70"/>
      <c r="AF897" s="70"/>
      <c r="AG897" s="70"/>
      <c r="AH897" s="70"/>
      <c r="AI897" s="70"/>
      <c r="AJ897" s="70"/>
      <c r="AK897" s="70"/>
      <c r="AL897" s="70"/>
    </row>
    <row r="898" spans="1:38" ht="16.5" x14ac:dyDescent="0.25">
      <c r="A898" s="101"/>
      <c r="B898" s="70"/>
      <c r="C898" s="70"/>
      <c r="D898" s="70"/>
      <c r="E898" s="70"/>
      <c r="F898" s="70"/>
      <c r="G898" s="70"/>
      <c r="H898" s="70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  <c r="AA898" s="70"/>
      <c r="AB898" s="70"/>
      <c r="AC898" s="70"/>
      <c r="AD898" s="70"/>
      <c r="AE898" s="70"/>
      <c r="AF898" s="70"/>
      <c r="AG898" s="70"/>
      <c r="AH898" s="70"/>
      <c r="AI898" s="70"/>
      <c r="AJ898" s="70"/>
      <c r="AK898" s="70"/>
      <c r="AL898" s="70"/>
    </row>
    <row r="899" spans="1:38" ht="16.5" x14ac:dyDescent="0.25">
      <c r="A899" s="101"/>
      <c r="B899" s="70"/>
      <c r="C899" s="70"/>
      <c r="D899" s="70"/>
      <c r="E899" s="70"/>
      <c r="F899" s="70"/>
      <c r="G899" s="70"/>
      <c r="H899" s="70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  <c r="AA899" s="70"/>
      <c r="AB899" s="70"/>
      <c r="AC899" s="70"/>
      <c r="AD899" s="70"/>
      <c r="AE899" s="70"/>
      <c r="AF899" s="70"/>
      <c r="AG899" s="70"/>
      <c r="AH899" s="70"/>
      <c r="AI899" s="70"/>
      <c r="AJ899" s="70"/>
      <c r="AK899" s="70"/>
      <c r="AL899" s="70"/>
    </row>
    <row r="900" spans="1:38" ht="16.5" x14ac:dyDescent="0.25">
      <c r="A900" s="101"/>
      <c r="B900" s="70"/>
      <c r="C900" s="70"/>
      <c r="D900" s="70"/>
      <c r="E900" s="70"/>
      <c r="F900" s="70"/>
      <c r="G900" s="70"/>
      <c r="H900" s="70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  <c r="AA900" s="70"/>
      <c r="AB900" s="70"/>
      <c r="AC900" s="70"/>
      <c r="AD900" s="70"/>
      <c r="AE900" s="70"/>
      <c r="AF900" s="70"/>
      <c r="AG900" s="70"/>
      <c r="AH900" s="70"/>
      <c r="AI900" s="70"/>
      <c r="AJ900" s="70"/>
      <c r="AK900" s="70"/>
      <c r="AL900" s="70"/>
    </row>
    <row r="901" spans="1:38" ht="16.5" x14ac:dyDescent="0.25">
      <c r="A901" s="101"/>
      <c r="B901" s="70"/>
      <c r="C901" s="70"/>
      <c r="D901" s="70"/>
      <c r="E901" s="70"/>
      <c r="F901" s="70"/>
      <c r="G901" s="70"/>
      <c r="H901" s="70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  <c r="AA901" s="70"/>
      <c r="AB901" s="70"/>
      <c r="AC901" s="70"/>
      <c r="AD901" s="70"/>
      <c r="AE901" s="70"/>
      <c r="AF901" s="70"/>
      <c r="AG901" s="70"/>
      <c r="AH901" s="70"/>
      <c r="AI901" s="70"/>
      <c r="AJ901" s="70"/>
      <c r="AK901" s="70"/>
      <c r="AL901" s="70"/>
    </row>
    <row r="902" spans="1:38" ht="16.5" x14ac:dyDescent="0.25">
      <c r="A902" s="101"/>
      <c r="B902" s="70"/>
      <c r="C902" s="70"/>
      <c r="D902" s="70"/>
      <c r="E902" s="70"/>
      <c r="F902" s="70"/>
      <c r="G902" s="70"/>
      <c r="H902" s="70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  <c r="AA902" s="70"/>
      <c r="AB902" s="70"/>
      <c r="AC902" s="70"/>
      <c r="AD902" s="70"/>
      <c r="AE902" s="70"/>
      <c r="AF902" s="70"/>
      <c r="AG902" s="70"/>
      <c r="AH902" s="70"/>
      <c r="AI902" s="70"/>
      <c r="AJ902" s="70"/>
      <c r="AK902" s="70"/>
      <c r="AL902" s="70"/>
    </row>
    <row r="903" spans="1:38" ht="16.5" x14ac:dyDescent="0.25">
      <c r="A903" s="101"/>
      <c r="B903" s="70"/>
      <c r="C903" s="70"/>
      <c r="D903" s="70"/>
      <c r="E903" s="70"/>
      <c r="F903" s="70"/>
      <c r="G903" s="70"/>
      <c r="H903" s="70"/>
      <c r="I903" s="70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  <c r="AA903" s="70"/>
      <c r="AB903" s="70"/>
      <c r="AC903" s="70"/>
      <c r="AD903" s="70"/>
      <c r="AE903" s="70"/>
      <c r="AF903" s="70"/>
      <c r="AG903" s="70"/>
      <c r="AH903" s="70"/>
      <c r="AI903" s="70"/>
      <c r="AJ903" s="70"/>
      <c r="AK903" s="70"/>
      <c r="AL903" s="70"/>
    </row>
    <row r="904" spans="1:38" ht="16.5" x14ac:dyDescent="0.25">
      <c r="A904" s="101"/>
      <c r="B904" s="70"/>
      <c r="C904" s="70"/>
      <c r="D904" s="70"/>
      <c r="E904" s="70"/>
      <c r="F904" s="70"/>
      <c r="G904" s="70"/>
      <c r="H904" s="70"/>
      <c r="I904" s="70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  <c r="AA904" s="70"/>
      <c r="AB904" s="70"/>
      <c r="AC904" s="70"/>
      <c r="AD904" s="70"/>
      <c r="AE904" s="70"/>
      <c r="AF904" s="70"/>
      <c r="AG904" s="70"/>
      <c r="AH904" s="70"/>
      <c r="AI904" s="70"/>
      <c r="AJ904" s="70"/>
      <c r="AK904" s="70"/>
      <c r="AL904" s="70"/>
    </row>
    <row r="905" spans="1:38" ht="16.5" x14ac:dyDescent="0.25">
      <c r="A905" s="101"/>
      <c r="B905" s="70"/>
      <c r="C905" s="70"/>
      <c r="D905" s="70"/>
      <c r="E905" s="70"/>
      <c r="F905" s="70"/>
      <c r="G905" s="70"/>
      <c r="H905" s="70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  <c r="AA905" s="70"/>
      <c r="AB905" s="70"/>
      <c r="AC905" s="70"/>
      <c r="AD905" s="70"/>
      <c r="AE905" s="70"/>
      <c r="AF905" s="70"/>
      <c r="AG905" s="70"/>
      <c r="AH905" s="70"/>
      <c r="AI905" s="70"/>
      <c r="AJ905" s="70"/>
      <c r="AK905" s="70"/>
      <c r="AL905" s="70"/>
    </row>
    <row r="906" spans="1:38" ht="16.5" x14ac:dyDescent="0.25">
      <c r="A906" s="101"/>
      <c r="B906" s="70"/>
      <c r="C906" s="70"/>
      <c r="D906" s="70"/>
      <c r="E906" s="70"/>
      <c r="F906" s="70"/>
      <c r="G906" s="70"/>
      <c r="H906" s="70"/>
      <c r="I906" s="70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  <c r="AA906" s="70"/>
      <c r="AB906" s="70"/>
      <c r="AC906" s="70"/>
      <c r="AD906" s="70"/>
      <c r="AE906" s="70"/>
      <c r="AF906" s="70"/>
      <c r="AG906" s="70"/>
      <c r="AH906" s="70"/>
      <c r="AI906" s="70"/>
      <c r="AJ906" s="70"/>
      <c r="AK906" s="70"/>
      <c r="AL906" s="70"/>
    </row>
    <row r="907" spans="1:38" ht="16.5" x14ac:dyDescent="0.25">
      <c r="A907" s="101"/>
      <c r="B907" s="70"/>
      <c r="C907" s="70"/>
      <c r="D907" s="70"/>
      <c r="E907" s="70"/>
      <c r="F907" s="70"/>
      <c r="G907" s="70"/>
      <c r="H907" s="70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  <c r="AA907" s="70"/>
      <c r="AB907" s="70"/>
      <c r="AC907" s="70"/>
      <c r="AD907" s="70"/>
      <c r="AE907" s="70"/>
      <c r="AF907" s="70"/>
      <c r="AG907" s="70"/>
      <c r="AH907" s="70"/>
      <c r="AI907" s="70"/>
      <c r="AJ907" s="70"/>
      <c r="AK907" s="70"/>
      <c r="AL907" s="70"/>
    </row>
    <row r="908" spans="1:38" ht="16.5" x14ac:dyDescent="0.25">
      <c r="A908" s="101"/>
      <c r="B908" s="70"/>
      <c r="C908" s="70"/>
      <c r="D908" s="70"/>
      <c r="E908" s="70"/>
      <c r="F908" s="70"/>
      <c r="G908" s="70"/>
      <c r="H908" s="70"/>
      <c r="I908" s="70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  <c r="AA908" s="70"/>
      <c r="AB908" s="70"/>
      <c r="AC908" s="70"/>
      <c r="AD908" s="70"/>
      <c r="AE908" s="70"/>
      <c r="AF908" s="70"/>
      <c r="AG908" s="70"/>
      <c r="AH908" s="70"/>
      <c r="AI908" s="70"/>
      <c r="AJ908" s="70"/>
      <c r="AK908" s="70"/>
      <c r="AL908" s="70"/>
    </row>
    <row r="909" spans="1:38" ht="16.5" x14ac:dyDescent="0.25">
      <c r="A909" s="101"/>
      <c r="B909" s="70"/>
      <c r="C909" s="70"/>
      <c r="D909" s="70"/>
      <c r="E909" s="70"/>
      <c r="F909" s="70"/>
      <c r="G909" s="70"/>
      <c r="H909" s="70"/>
      <c r="I909" s="70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  <c r="AA909" s="70"/>
      <c r="AB909" s="70"/>
      <c r="AC909" s="70"/>
      <c r="AD909" s="70"/>
      <c r="AE909" s="70"/>
      <c r="AF909" s="70"/>
      <c r="AG909" s="70"/>
      <c r="AH909" s="70"/>
      <c r="AI909" s="70"/>
      <c r="AJ909" s="70"/>
      <c r="AK909" s="70"/>
      <c r="AL909" s="70"/>
    </row>
    <row r="910" spans="1:38" ht="16.5" x14ac:dyDescent="0.25">
      <c r="A910" s="101"/>
      <c r="B910" s="70"/>
      <c r="C910" s="70"/>
      <c r="D910" s="70"/>
      <c r="E910" s="70"/>
      <c r="F910" s="70"/>
      <c r="G910" s="70"/>
      <c r="H910" s="70"/>
      <c r="I910" s="70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  <c r="AA910" s="70"/>
      <c r="AB910" s="70"/>
      <c r="AC910" s="70"/>
      <c r="AD910" s="70"/>
      <c r="AE910" s="70"/>
      <c r="AF910" s="70"/>
      <c r="AG910" s="70"/>
      <c r="AH910" s="70"/>
      <c r="AI910" s="70"/>
      <c r="AJ910" s="70"/>
      <c r="AK910" s="70"/>
      <c r="AL910" s="70"/>
    </row>
    <row r="911" spans="1:38" ht="16.5" x14ac:dyDescent="0.25">
      <c r="A911" s="101"/>
      <c r="B911" s="70"/>
      <c r="C911" s="70"/>
      <c r="D911" s="70"/>
      <c r="E911" s="70"/>
      <c r="F911" s="70"/>
      <c r="G911" s="70"/>
      <c r="H911" s="70"/>
      <c r="I911" s="70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  <c r="AA911" s="70"/>
      <c r="AB911" s="70"/>
      <c r="AC911" s="70"/>
      <c r="AD911" s="70"/>
      <c r="AE911" s="70"/>
      <c r="AF911" s="70"/>
      <c r="AG911" s="70"/>
      <c r="AH911" s="70"/>
      <c r="AI911" s="70"/>
      <c r="AJ911" s="70"/>
      <c r="AK911" s="70"/>
      <c r="AL911" s="70"/>
    </row>
    <row r="912" spans="1:38" ht="16.5" x14ac:dyDescent="0.25">
      <c r="A912" s="101"/>
      <c r="B912" s="70"/>
      <c r="C912" s="70"/>
      <c r="D912" s="70"/>
      <c r="E912" s="70"/>
      <c r="F912" s="70"/>
      <c r="G912" s="70"/>
      <c r="H912" s="70"/>
      <c r="I912" s="70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  <c r="AA912" s="70"/>
      <c r="AB912" s="70"/>
      <c r="AC912" s="70"/>
      <c r="AD912" s="70"/>
      <c r="AE912" s="70"/>
      <c r="AF912" s="70"/>
      <c r="AG912" s="70"/>
      <c r="AH912" s="70"/>
      <c r="AI912" s="70"/>
      <c r="AJ912" s="70"/>
      <c r="AK912" s="70"/>
      <c r="AL912" s="70"/>
    </row>
    <row r="913" spans="1:38" ht="16.5" x14ac:dyDescent="0.25">
      <c r="A913" s="101"/>
      <c r="B913" s="70"/>
      <c r="C913" s="70"/>
      <c r="D913" s="70"/>
      <c r="E913" s="70"/>
      <c r="F913" s="70"/>
      <c r="G913" s="70"/>
      <c r="H913" s="70"/>
      <c r="I913" s="70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  <c r="AA913" s="70"/>
      <c r="AB913" s="70"/>
      <c r="AC913" s="70"/>
      <c r="AD913" s="70"/>
      <c r="AE913" s="70"/>
      <c r="AF913" s="70"/>
      <c r="AG913" s="70"/>
      <c r="AH913" s="70"/>
      <c r="AI913" s="70"/>
      <c r="AJ913" s="70"/>
      <c r="AK913" s="70"/>
      <c r="AL913" s="70"/>
    </row>
    <row r="914" spans="1:38" ht="16.5" x14ac:dyDescent="0.25">
      <c r="A914" s="101"/>
      <c r="B914" s="70"/>
      <c r="C914" s="70"/>
      <c r="D914" s="70"/>
      <c r="E914" s="70"/>
      <c r="F914" s="70"/>
      <c r="G914" s="70"/>
      <c r="H914" s="70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  <c r="AA914" s="70"/>
      <c r="AB914" s="70"/>
      <c r="AC914" s="70"/>
      <c r="AD914" s="70"/>
      <c r="AE914" s="70"/>
      <c r="AF914" s="70"/>
      <c r="AG914" s="70"/>
      <c r="AH914" s="70"/>
      <c r="AI914" s="70"/>
      <c r="AJ914" s="70"/>
      <c r="AK914" s="70"/>
      <c r="AL914" s="70"/>
    </row>
    <row r="915" spans="1:38" ht="16.5" x14ac:dyDescent="0.25">
      <c r="A915" s="101"/>
      <c r="B915" s="70"/>
      <c r="C915" s="70"/>
      <c r="D915" s="70"/>
      <c r="E915" s="70"/>
      <c r="F915" s="70"/>
      <c r="G915" s="70"/>
      <c r="H915" s="70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  <c r="AA915" s="70"/>
      <c r="AB915" s="70"/>
      <c r="AC915" s="70"/>
      <c r="AD915" s="70"/>
      <c r="AE915" s="70"/>
      <c r="AF915" s="70"/>
      <c r="AG915" s="70"/>
      <c r="AH915" s="70"/>
      <c r="AI915" s="70"/>
      <c r="AJ915" s="70"/>
      <c r="AK915" s="70"/>
      <c r="AL915" s="70"/>
    </row>
    <row r="916" spans="1:38" ht="16.5" x14ac:dyDescent="0.25">
      <c r="A916" s="101"/>
      <c r="B916" s="70"/>
      <c r="C916" s="70"/>
      <c r="D916" s="70"/>
      <c r="E916" s="70"/>
      <c r="F916" s="70"/>
      <c r="G916" s="70"/>
      <c r="H916" s="70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  <c r="AA916" s="70"/>
      <c r="AB916" s="70"/>
      <c r="AC916" s="70"/>
      <c r="AD916" s="70"/>
      <c r="AE916" s="70"/>
      <c r="AF916" s="70"/>
      <c r="AG916" s="70"/>
      <c r="AH916" s="70"/>
      <c r="AI916" s="70"/>
      <c r="AJ916" s="70"/>
      <c r="AK916" s="70"/>
      <c r="AL916" s="70"/>
    </row>
    <row r="917" spans="1:38" ht="16.5" x14ac:dyDescent="0.25">
      <c r="A917" s="101"/>
      <c r="B917" s="70"/>
      <c r="C917" s="70"/>
      <c r="D917" s="70"/>
      <c r="E917" s="70"/>
      <c r="F917" s="70"/>
      <c r="G917" s="70"/>
      <c r="H917" s="70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  <c r="AA917" s="70"/>
      <c r="AB917" s="70"/>
      <c r="AC917" s="70"/>
      <c r="AD917" s="70"/>
      <c r="AE917" s="70"/>
      <c r="AF917" s="70"/>
      <c r="AG917" s="70"/>
      <c r="AH917" s="70"/>
      <c r="AI917" s="70"/>
      <c r="AJ917" s="70"/>
      <c r="AK917" s="70"/>
      <c r="AL917" s="70"/>
    </row>
    <row r="918" spans="1:38" ht="16.5" x14ac:dyDescent="0.25">
      <c r="A918" s="101"/>
      <c r="B918" s="70"/>
      <c r="C918" s="70"/>
      <c r="D918" s="70"/>
      <c r="E918" s="70"/>
      <c r="F918" s="70"/>
      <c r="G918" s="70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  <c r="AA918" s="70"/>
      <c r="AB918" s="70"/>
      <c r="AC918" s="70"/>
      <c r="AD918" s="70"/>
      <c r="AE918" s="70"/>
      <c r="AF918" s="70"/>
      <c r="AG918" s="70"/>
      <c r="AH918" s="70"/>
      <c r="AI918" s="70"/>
      <c r="AJ918" s="70"/>
      <c r="AK918" s="70"/>
      <c r="AL918" s="70"/>
    </row>
    <row r="919" spans="1:38" ht="16.5" x14ac:dyDescent="0.25">
      <c r="A919" s="101"/>
      <c r="B919" s="70"/>
      <c r="C919" s="70"/>
      <c r="D919" s="70"/>
      <c r="E919" s="70"/>
      <c r="F919" s="70"/>
      <c r="G919" s="70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  <c r="AA919" s="70"/>
      <c r="AB919" s="70"/>
      <c r="AC919" s="70"/>
      <c r="AD919" s="70"/>
      <c r="AE919" s="70"/>
      <c r="AF919" s="70"/>
      <c r="AG919" s="70"/>
      <c r="AH919" s="70"/>
      <c r="AI919" s="70"/>
      <c r="AJ919" s="70"/>
      <c r="AK919" s="70"/>
      <c r="AL919" s="70"/>
    </row>
    <row r="920" spans="1:38" ht="16.5" x14ac:dyDescent="0.25">
      <c r="A920" s="101"/>
      <c r="B920" s="70"/>
      <c r="C920" s="70"/>
      <c r="D920" s="70"/>
      <c r="E920" s="70"/>
      <c r="F920" s="70"/>
      <c r="G920" s="70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  <c r="AC920" s="70"/>
      <c r="AD920" s="70"/>
      <c r="AE920" s="70"/>
      <c r="AF920" s="70"/>
      <c r="AG920" s="70"/>
      <c r="AH920" s="70"/>
      <c r="AI920" s="70"/>
      <c r="AJ920" s="70"/>
      <c r="AK920" s="70"/>
      <c r="AL920" s="70"/>
    </row>
    <row r="921" spans="1:38" ht="16.5" x14ac:dyDescent="0.25">
      <c r="A921" s="101"/>
      <c r="B921" s="70"/>
      <c r="C921" s="70"/>
      <c r="D921" s="70"/>
      <c r="E921" s="70"/>
      <c r="F921" s="70"/>
      <c r="G921" s="70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  <c r="AC921" s="70"/>
      <c r="AD921" s="70"/>
      <c r="AE921" s="70"/>
      <c r="AF921" s="70"/>
      <c r="AG921" s="70"/>
      <c r="AH921" s="70"/>
      <c r="AI921" s="70"/>
      <c r="AJ921" s="70"/>
      <c r="AK921" s="70"/>
      <c r="AL921" s="70"/>
    </row>
    <row r="922" spans="1:38" ht="16.5" x14ac:dyDescent="0.25">
      <c r="A922" s="101"/>
      <c r="B922" s="70"/>
      <c r="C922" s="70"/>
      <c r="D922" s="70"/>
      <c r="E922" s="70"/>
      <c r="F922" s="70"/>
      <c r="G922" s="70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  <c r="AC922" s="70"/>
      <c r="AD922" s="70"/>
      <c r="AE922" s="70"/>
      <c r="AF922" s="70"/>
      <c r="AG922" s="70"/>
      <c r="AH922" s="70"/>
      <c r="AI922" s="70"/>
      <c r="AJ922" s="70"/>
      <c r="AK922" s="70"/>
      <c r="AL922" s="70"/>
    </row>
    <row r="923" spans="1:38" ht="16.5" x14ac:dyDescent="0.25">
      <c r="A923" s="101"/>
      <c r="B923" s="70"/>
      <c r="C923" s="70"/>
      <c r="D923" s="70"/>
      <c r="E923" s="70"/>
      <c r="F923" s="70"/>
      <c r="G923" s="70"/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  <c r="AA923" s="70"/>
      <c r="AB923" s="70"/>
      <c r="AC923" s="70"/>
      <c r="AD923" s="70"/>
      <c r="AE923" s="70"/>
      <c r="AF923" s="70"/>
      <c r="AG923" s="70"/>
      <c r="AH923" s="70"/>
      <c r="AI923" s="70"/>
      <c r="AJ923" s="70"/>
      <c r="AK923" s="70"/>
      <c r="AL923" s="70"/>
    </row>
    <row r="924" spans="1:38" ht="16.5" x14ac:dyDescent="0.25">
      <c r="A924" s="101"/>
      <c r="B924" s="70"/>
      <c r="C924" s="70"/>
      <c r="D924" s="70"/>
      <c r="E924" s="70"/>
      <c r="F924" s="70"/>
      <c r="G924" s="70"/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  <c r="AA924" s="70"/>
      <c r="AB924" s="70"/>
      <c r="AC924" s="70"/>
      <c r="AD924" s="70"/>
      <c r="AE924" s="70"/>
      <c r="AF924" s="70"/>
      <c r="AG924" s="70"/>
      <c r="AH924" s="70"/>
      <c r="AI924" s="70"/>
      <c r="AJ924" s="70"/>
      <c r="AK924" s="70"/>
      <c r="AL924" s="70"/>
    </row>
    <row r="925" spans="1:38" ht="16.5" x14ac:dyDescent="0.25">
      <c r="A925" s="101"/>
      <c r="B925" s="70"/>
      <c r="C925" s="70"/>
      <c r="D925" s="70"/>
      <c r="E925" s="70"/>
      <c r="F925" s="70"/>
      <c r="G925" s="70"/>
      <c r="H925" s="70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  <c r="AA925" s="70"/>
      <c r="AB925" s="70"/>
      <c r="AC925" s="70"/>
      <c r="AD925" s="70"/>
      <c r="AE925" s="70"/>
      <c r="AF925" s="70"/>
      <c r="AG925" s="70"/>
      <c r="AH925" s="70"/>
      <c r="AI925" s="70"/>
      <c r="AJ925" s="70"/>
      <c r="AK925" s="70"/>
      <c r="AL925" s="70"/>
    </row>
    <row r="926" spans="1:38" ht="16.5" x14ac:dyDescent="0.25">
      <c r="A926" s="101"/>
      <c r="B926" s="70"/>
      <c r="C926" s="70"/>
      <c r="D926" s="70"/>
      <c r="E926" s="70"/>
      <c r="F926" s="70"/>
      <c r="G926" s="70"/>
      <c r="H926" s="70"/>
      <c r="I926" s="70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  <c r="AA926" s="70"/>
      <c r="AB926" s="70"/>
      <c r="AC926" s="70"/>
      <c r="AD926" s="70"/>
      <c r="AE926" s="70"/>
      <c r="AF926" s="70"/>
      <c r="AG926" s="70"/>
      <c r="AH926" s="70"/>
      <c r="AI926" s="70"/>
      <c r="AJ926" s="70"/>
      <c r="AK926" s="70"/>
      <c r="AL926" s="70"/>
    </row>
    <row r="927" spans="1:38" ht="16.5" x14ac:dyDescent="0.25">
      <c r="A927" s="101"/>
      <c r="B927" s="70"/>
      <c r="C927" s="70"/>
      <c r="D927" s="70"/>
      <c r="E927" s="70"/>
      <c r="F927" s="70"/>
      <c r="G927" s="70"/>
      <c r="H927" s="70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  <c r="AA927" s="70"/>
      <c r="AB927" s="70"/>
      <c r="AC927" s="70"/>
      <c r="AD927" s="70"/>
      <c r="AE927" s="70"/>
      <c r="AF927" s="70"/>
      <c r="AG927" s="70"/>
      <c r="AH927" s="70"/>
      <c r="AI927" s="70"/>
      <c r="AJ927" s="70"/>
      <c r="AK927" s="70"/>
      <c r="AL927" s="70"/>
    </row>
    <row r="928" spans="1:38" ht="16.5" x14ac:dyDescent="0.25">
      <c r="A928" s="101"/>
      <c r="B928" s="70"/>
      <c r="C928" s="70"/>
      <c r="D928" s="70"/>
      <c r="E928" s="70"/>
      <c r="F928" s="70"/>
      <c r="G928" s="70"/>
      <c r="H928" s="70"/>
      <c r="I928" s="70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  <c r="AA928" s="70"/>
      <c r="AB928" s="70"/>
      <c r="AC928" s="70"/>
      <c r="AD928" s="70"/>
      <c r="AE928" s="70"/>
      <c r="AF928" s="70"/>
      <c r="AG928" s="70"/>
      <c r="AH928" s="70"/>
      <c r="AI928" s="70"/>
      <c r="AJ928" s="70"/>
      <c r="AK928" s="70"/>
      <c r="AL928" s="70"/>
    </row>
    <row r="929" spans="1:38" ht="16.5" x14ac:dyDescent="0.25">
      <c r="A929" s="101"/>
      <c r="B929" s="70"/>
      <c r="C929" s="70"/>
      <c r="D929" s="70"/>
      <c r="E929" s="70"/>
      <c r="F929" s="70"/>
      <c r="G929" s="70"/>
      <c r="H929" s="70"/>
      <c r="I929" s="70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  <c r="AA929" s="70"/>
      <c r="AB929" s="70"/>
      <c r="AC929" s="70"/>
      <c r="AD929" s="70"/>
      <c r="AE929" s="70"/>
      <c r="AF929" s="70"/>
      <c r="AG929" s="70"/>
      <c r="AH929" s="70"/>
      <c r="AI929" s="70"/>
      <c r="AJ929" s="70"/>
      <c r="AK929" s="70"/>
      <c r="AL929" s="70"/>
    </row>
    <row r="930" spans="1:38" ht="16.5" x14ac:dyDescent="0.25">
      <c r="A930" s="101"/>
      <c r="B930" s="70"/>
      <c r="C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  <c r="AA930" s="70"/>
      <c r="AB930" s="70"/>
      <c r="AC930" s="70"/>
      <c r="AD930" s="70"/>
      <c r="AE930" s="70"/>
      <c r="AF930" s="70"/>
      <c r="AG930" s="70"/>
      <c r="AH930" s="70"/>
      <c r="AI930" s="70"/>
      <c r="AJ930" s="70"/>
      <c r="AK930" s="70"/>
      <c r="AL930" s="70"/>
    </row>
    <row r="931" spans="1:38" ht="16.5" x14ac:dyDescent="0.25">
      <c r="A931" s="101"/>
      <c r="B931" s="70"/>
      <c r="C931" s="70"/>
      <c r="D931" s="70"/>
      <c r="E931" s="70"/>
      <c r="F931" s="70"/>
      <c r="G931" s="70"/>
      <c r="H931" s="70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  <c r="AA931" s="70"/>
      <c r="AB931" s="70"/>
      <c r="AC931" s="70"/>
      <c r="AD931" s="70"/>
      <c r="AE931" s="70"/>
      <c r="AF931" s="70"/>
      <c r="AG931" s="70"/>
      <c r="AH931" s="70"/>
      <c r="AI931" s="70"/>
      <c r="AJ931" s="70"/>
      <c r="AK931" s="70"/>
      <c r="AL931" s="70"/>
    </row>
    <row r="932" spans="1:38" ht="16.5" x14ac:dyDescent="0.25">
      <c r="A932" s="101"/>
      <c r="B932" s="70"/>
      <c r="C932" s="70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  <c r="AA932" s="70"/>
      <c r="AB932" s="70"/>
      <c r="AC932" s="70"/>
      <c r="AD932" s="70"/>
      <c r="AE932" s="70"/>
      <c r="AF932" s="70"/>
      <c r="AG932" s="70"/>
      <c r="AH932" s="70"/>
      <c r="AI932" s="70"/>
      <c r="AJ932" s="70"/>
      <c r="AK932" s="70"/>
      <c r="AL932" s="70"/>
    </row>
    <row r="933" spans="1:38" ht="16.5" x14ac:dyDescent="0.25">
      <c r="A933" s="101"/>
      <c r="B933" s="70"/>
      <c r="C933" s="70"/>
      <c r="D933" s="70"/>
      <c r="E933" s="70"/>
      <c r="F933" s="70"/>
      <c r="G933" s="70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  <c r="AA933" s="70"/>
      <c r="AB933" s="70"/>
      <c r="AC933" s="70"/>
      <c r="AD933" s="70"/>
      <c r="AE933" s="70"/>
      <c r="AF933" s="70"/>
      <c r="AG933" s="70"/>
      <c r="AH933" s="70"/>
      <c r="AI933" s="70"/>
      <c r="AJ933" s="70"/>
      <c r="AK933" s="70"/>
      <c r="AL933" s="70"/>
    </row>
    <row r="934" spans="1:38" ht="16.5" x14ac:dyDescent="0.25">
      <c r="A934" s="101"/>
      <c r="B934" s="70"/>
      <c r="C934" s="70"/>
      <c r="D934" s="70"/>
      <c r="E934" s="70"/>
      <c r="F934" s="70"/>
      <c r="G934" s="70"/>
      <c r="H934" s="70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  <c r="AA934" s="70"/>
      <c r="AB934" s="70"/>
      <c r="AC934" s="70"/>
      <c r="AD934" s="70"/>
      <c r="AE934" s="70"/>
      <c r="AF934" s="70"/>
      <c r="AG934" s="70"/>
      <c r="AH934" s="70"/>
      <c r="AI934" s="70"/>
      <c r="AJ934" s="70"/>
      <c r="AK934" s="70"/>
      <c r="AL934" s="70"/>
    </row>
    <row r="935" spans="1:38" ht="16.5" x14ac:dyDescent="0.25">
      <c r="A935" s="101"/>
      <c r="B935" s="70"/>
      <c r="C935" s="70"/>
      <c r="D935" s="70"/>
      <c r="E935" s="70"/>
      <c r="F935" s="70"/>
      <c r="G935" s="70"/>
      <c r="H935" s="70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  <c r="AA935" s="70"/>
      <c r="AB935" s="70"/>
      <c r="AC935" s="70"/>
      <c r="AD935" s="70"/>
      <c r="AE935" s="70"/>
      <c r="AF935" s="70"/>
      <c r="AG935" s="70"/>
      <c r="AH935" s="70"/>
      <c r="AI935" s="70"/>
      <c r="AJ935" s="70"/>
      <c r="AK935" s="70"/>
      <c r="AL935" s="70"/>
    </row>
    <row r="936" spans="1:38" ht="16.5" x14ac:dyDescent="0.25">
      <c r="A936" s="101"/>
      <c r="B936" s="70"/>
      <c r="C936" s="70"/>
      <c r="D936" s="70"/>
      <c r="E936" s="70"/>
      <c r="F936" s="70"/>
      <c r="G936" s="70"/>
      <c r="H936" s="70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  <c r="AA936" s="70"/>
      <c r="AB936" s="70"/>
      <c r="AC936" s="70"/>
      <c r="AD936" s="70"/>
      <c r="AE936" s="70"/>
      <c r="AF936" s="70"/>
      <c r="AG936" s="70"/>
      <c r="AH936" s="70"/>
      <c r="AI936" s="70"/>
      <c r="AJ936" s="70"/>
      <c r="AK936" s="70"/>
      <c r="AL936" s="70"/>
    </row>
    <row r="937" spans="1:38" ht="16.5" x14ac:dyDescent="0.25">
      <c r="A937" s="101"/>
      <c r="B937" s="70"/>
      <c r="C937" s="70"/>
      <c r="D937" s="70"/>
      <c r="E937" s="70"/>
      <c r="F937" s="70"/>
      <c r="G937" s="70"/>
      <c r="H937" s="70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  <c r="AA937" s="70"/>
      <c r="AB937" s="70"/>
      <c r="AC937" s="70"/>
      <c r="AD937" s="70"/>
      <c r="AE937" s="70"/>
      <c r="AF937" s="70"/>
      <c r="AG937" s="70"/>
      <c r="AH937" s="70"/>
      <c r="AI937" s="70"/>
      <c r="AJ937" s="70"/>
      <c r="AK937" s="70"/>
      <c r="AL937" s="70"/>
    </row>
    <row r="938" spans="1:38" ht="16.5" x14ac:dyDescent="0.25">
      <c r="A938" s="101"/>
      <c r="B938" s="70"/>
      <c r="C938" s="70"/>
      <c r="D938" s="70"/>
      <c r="E938" s="70"/>
      <c r="F938" s="70"/>
      <c r="G938" s="70"/>
      <c r="H938" s="70"/>
      <c r="I938" s="70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  <c r="AA938" s="70"/>
      <c r="AB938" s="70"/>
      <c r="AC938" s="70"/>
      <c r="AD938" s="70"/>
      <c r="AE938" s="70"/>
      <c r="AF938" s="70"/>
      <c r="AG938" s="70"/>
      <c r="AH938" s="70"/>
      <c r="AI938" s="70"/>
      <c r="AJ938" s="70"/>
      <c r="AK938" s="70"/>
      <c r="AL938" s="70"/>
    </row>
    <row r="939" spans="1:38" ht="16.5" x14ac:dyDescent="0.25">
      <c r="A939" s="101"/>
      <c r="B939" s="70"/>
      <c r="C939" s="70"/>
      <c r="D939" s="70"/>
      <c r="E939" s="70"/>
      <c r="F939" s="70"/>
      <c r="G939" s="70"/>
      <c r="H939" s="70"/>
      <c r="I939" s="70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  <c r="AA939" s="70"/>
      <c r="AB939" s="70"/>
      <c r="AC939" s="70"/>
      <c r="AD939" s="70"/>
      <c r="AE939" s="70"/>
      <c r="AF939" s="70"/>
      <c r="AG939" s="70"/>
      <c r="AH939" s="70"/>
      <c r="AI939" s="70"/>
      <c r="AJ939" s="70"/>
      <c r="AK939" s="70"/>
      <c r="AL939" s="70"/>
    </row>
    <row r="940" spans="1:38" ht="16.5" x14ac:dyDescent="0.25">
      <c r="A940" s="101"/>
      <c r="B940" s="70"/>
      <c r="C940" s="70"/>
      <c r="D940" s="70"/>
      <c r="E940" s="70"/>
      <c r="F940" s="70"/>
      <c r="G940" s="70"/>
      <c r="H940" s="70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  <c r="AA940" s="70"/>
      <c r="AB940" s="70"/>
      <c r="AC940" s="70"/>
      <c r="AD940" s="70"/>
      <c r="AE940" s="70"/>
      <c r="AF940" s="70"/>
      <c r="AG940" s="70"/>
      <c r="AH940" s="70"/>
      <c r="AI940" s="70"/>
      <c r="AJ940" s="70"/>
      <c r="AK940" s="70"/>
      <c r="AL940" s="70"/>
    </row>
    <row r="941" spans="1:38" ht="16.5" x14ac:dyDescent="0.25">
      <c r="A941" s="101"/>
      <c r="B941" s="70"/>
      <c r="C941" s="70"/>
      <c r="D941" s="70"/>
      <c r="E941" s="70"/>
      <c r="F941" s="70"/>
      <c r="G941" s="70"/>
      <c r="H941" s="70"/>
      <c r="I941" s="70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  <c r="AA941" s="70"/>
      <c r="AB941" s="70"/>
      <c r="AC941" s="70"/>
      <c r="AD941" s="70"/>
      <c r="AE941" s="70"/>
      <c r="AF941" s="70"/>
      <c r="AG941" s="70"/>
      <c r="AH941" s="70"/>
      <c r="AI941" s="70"/>
      <c r="AJ941" s="70"/>
      <c r="AK941" s="70"/>
      <c r="AL941" s="70"/>
    </row>
    <row r="942" spans="1:38" ht="16.5" x14ac:dyDescent="0.25">
      <c r="A942" s="101"/>
      <c r="B942" s="70"/>
      <c r="C942" s="70"/>
      <c r="D942" s="70"/>
      <c r="E942" s="70"/>
      <c r="F942" s="70"/>
      <c r="G942" s="70"/>
      <c r="H942" s="70"/>
      <c r="I942" s="70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  <c r="AA942" s="70"/>
      <c r="AB942" s="70"/>
      <c r="AC942" s="70"/>
      <c r="AD942" s="70"/>
      <c r="AE942" s="70"/>
      <c r="AF942" s="70"/>
      <c r="AG942" s="70"/>
      <c r="AH942" s="70"/>
      <c r="AI942" s="70"/>
      <c r="AJ942" s="70"/>
      <c r="AK942" s="70"/>
      <c r="AL942" s="70"/>
    </row>
    <row r="943" spans="1:38" ht="16.5" x14ac:dyDescent="0.25">
      <c r="A943" s="101"/>
      <c r="B943" s="70"/>
      <c r="C943" s="70"/>
      <c r="D943" s="70"/>
      <c r="E943" s="70"/>
      <c r="F943" s="70"/>
      <c r="G943" s="70"/>
      <c r="H943" s="70"/>
      <c r="I943" s="70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  <c r="AA943" s="70"/>
      <c r="AB943" s="70"/>
      <c r="AC943" s="70"/>
      <c r="AD943" s="70"/>
      <c r="AE943" s="70"/>
      <c r="AF943" s="70"/>
      <c r="AG943" s="70"/>
      <c r="AH943" s="70"/>
      <c r="AI943" s="70"/>
      <c r="AJ943" s="70"/>
      <c r="AK943" s="70"/>
      <c r="AL943" s="70"/>
    </row>
    <row r="944" spans="1:38" ht="16.5" x14ac:dyDescent="0.25">
      <c r="A944" s="101"/>
      <c r="B944" s="70"/>
      <c r="C944" s="70"/>
      <c r="D944" s="70"/>
      <c r="E944" s="70"/>
      <c r="F944" s="70"/>
      <c r="G944" s="70"/>
      <c r="H944" s="70"/>
      <c r="I944" s="70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  <c r="AA944" s="70"/>
      <c r="AB944" s="70"/>
      <c r="AC944" s="70"/>
      <c r="AD944" s="70"/>
      <c r="AE944" s="70"/>
      <c r="AF944" s="70"/>
      <c r="AG944" s="70"/>
      <c r="AH944" s="70"/>
      <c r="AI944" s="70"/>
      <c r="AJ944" s="70"/>
      <c r="AK944" s="70"/>
      <c r="AL944" s="70"/>
    </row>
    <row r="945" spans="1:38" ht="16.5" x14ac:dyDescent="0.25">
      <c r="A945" s="101"/>
      <c r="B945" s="70"/>
      <c r="C945" s="70"/>
      <c r="D945" s="70"/>
      <c r="E945" s="70"/>
      <c r="F945" s="70"/>
      <c r="G945" s="70"/>
      <c r="H945" s="70"/>
      <c r="I945" s="70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  <c r="AA945" s="70"/>
      <c r="AB945" s="70"/>
      <c r="AC945" s="70"/>
      <c r="AD945" s="70"/>
      <c r="AE945" s="70"/>
      <c r="AF945" s="70"/>
      <c r="AG945" s="70"/>
      <c r="AH945" s="70"/>
      <c r="AI945" s="70"/>
      <c r="AJ945" s="70"/>
      <c r="AK945" s="70"/>
      <c r="AL945" s="70"/>
    </row>
    <row r="946" spans="1:38" ht="16.5" x14ac:dyDescent="0.25">
      <c r="A946" s="101"/>
      <c r="B946" s="70"/>
      <c r="C946" s="70"/>
      <c r="D946" s="70"/>
      <c r="E946" s="70"/>
      <c r="F946" s="70"/>
      <c r="G946" s="70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  <c r="AA946" s="70"/>
      <c r="AB946" s="70"/>
      <c r="AC946" s="70"/>
      <c r="AD946" s="70"/>
      <c r="AE946" s="70"/>
      <c r="AF946" s="70"/>
      <c r="AG946" s="70"/>
      <c r="AH946" s="70"/>
      <c r="AI946" s="70"/>
      <c r="AJ946" s="70"/>
      <c r="AK946" s="70"/>
      <c r="AL946" s="70"/>
    </row>
    <row r="947" spans="1:38" ht="16.5" x14ac:dyDescent="0.25">
      <c r="A947" s="101"/>
      <c r="B947" s="70"/>
      <c r="C947" s="70"/>
      <c r="D947" s="70"/>
      <c r="E947" s="70"/>
      <c r="F947" s="70"/>
      <c r="G947" s="70"/>
      <c r="H947" s="70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  <c r="AA947" s="70"/>
      <c r="AB947" s="70"/>
      <c r="AC947" s="70"/>
      <c r="AD947" s="70"/>
      <c r="AE947" s="70"/>
      <c r="AF947" s="70"/>
      <c r="AG947" s="70"/>
      <c r="AH947" s="70"/>
      <c r="AI947" s="70"/>
      <c r="AJ947" s="70"/>
      <c r="AK947" s="70"/>
      <c r="AL947" s="70"/>
    </row>
    <row r="948" spans="1:38" ht="16.5" x14ac:dyDescent="0.25">
      <c r="A948" s="101"/>
      <c r="B948" s="70"/>
      <c r="C948" s="70"/>
      <c r="D948" s="70"/>
      <c r="E948" s="70"/>
      <c r="F948" s="70"/>
      <c r="G948" s="70"/>
      <c r="H948" s="70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  <c r="AA948" s="70"/>
      <c r="AB948" s="70"/>
      <c r="AC948" s="70"/>
      <c r="AD948" s="70"/>
      <c r="AE948" s="70"/>
      <c r="AF948" s="70"/>
      <c r="AG948" s="70"/>
      <c r="AH948" s="70"/>
      <c r="AI948" s="70"/>
      <c r="AJ948" s="70"/>
      <c r="AK948" s="70"/>
      <c r="AL948" s="70"/>
    </row>
    <row r="949" spans="1:38" ht="16.5" x14ac:dyDescent="0.25">
      <c r="A949" s="101"/>
      <c r="B949" s="70"/>
      <c r="C949" s="70"/>
      <c r="D949" s="70"/>
      <c r="E949" s="70"/>
      <c r="F949" s="70"/>
      <c r="G949" s="70"/>
      <c r="H949" s="70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  <c r="AA949" s="70"/>
      <c r="AB949" s="70"/>
      <c r="AC949" s="70"/>
      <c r="AD949" s="70"/>
      <c r="AE949" s="70"/>
      <c r="AF949" s="70"/>
      <c r="AG949" s="70"/>
      <c r="AH949" s="70"/>
      <c r="AI949" s="70"/>
      <c r="AJ949" s="70"/>
      <c r="AK949" s="70"/>
      <c r="AL949" s="70"/>
    </row>
    <row r="950" spans="1:38" ht="16.5" x14ac:dyDescent="0.25">
      <c r="A950" s="101"/>
      <c r="B950" s="70"/>
      <c r="C950" s="70"/>
      <c r="D950" s="70"/>
      <c r="E950" s="70"/>
      <c r="F950" s="70"/>
      <c r="G950" s="70"/>
      <c r="H950" s="70"/>
      <c r="I950" s="70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  <c r="AA950" s="70"/>
      <c r="AB950" s="70"/>
      <c r="AC950" s="70"/>
      <c r="AD950" s="70"/>
      <c r="AE950" s="70"/>
      <c r="AF950" s="70"/>
      <c r="AG950" s="70"/>
      <c r="AH950" s="70"/>
      <c r="AI950" s="70"/>
      <c r="AJ950" s="70"/>
      <c r="AK950" s="70"/>
      <c r="AL950" s="70"/>
    </row>
    <row r="951" spans="1:38" ht="16.5" x14ac:dyDescent="0.25">
      <c r="A951" s="101"/>
      <c r="B951" s="70"/>
      <c r="C951" s="70"/>
      <c r="D951" s="70"/>
      <c r="E951" s="70"/>
      <c r="F951" s="70"/>
      <c r="G951" s="70"/>
      <c r="H951" s="70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  <c r="AA951" s="70"/>
      <c r="AB951" s="70"/>
      <c r="AC951" s="70"/>
      <c r="AD951" s="70"/>
      <c r="AE951" s="70"/>
      <c r="AF951" s="70"/>
      <c r="AG951" s="70"/>
      <c r="AH951" s="70"/>
      <c r="AI951" s="70"/>
      <c r="AJ951" s="70"/>
      <c r="AK951" s="70"/>
      <c r="AL951" s="70"/>
    </row>
    <row r="952" spans="1:38" ht="16.5" x14ac:dyDescent="0.25">
      <c r="A952" s="101"/>
      <c r="B952" s="70"/>
      <c r="C952" s="70"/>
      <c r="D952" s="70"/>
      <c r="E952" s="70"/>
      <c r="F952" s="70"/>
      <c r="G952" s="70"/>
      <c r="H952" s="70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  <c r="AA952" s="70"/>
      <c r="AB952" s="70"/>
      <c r="AC952" s="70"/>
      <c r="AD952" s="70"/>
      <c r="AE952" s="70"/>
      <c r="AF952" s="70"/>
      <c r="AG952" s="70"/>
      <c r="AH952" s="70"/>
      <c r="AI952" s="70"/>
      <c r="AJ952" s="70"/>
      <c r="AK952" s="70"/>
      <c r="AL952" s="70"/>
    </row>
    <row r="953" spans="1:38" ht="16.5" x14ac:dyDescent="0.25">
      <c r="A953" s="101"/>
      <c r="B953" s="70"/>
      <c r="C953" s="70"/>
      <c r="D953" s="70"/>
      <c r="E953" s="70"/>
      <c r="F953" s="70"/>
      <c r="G953" s="70"/>
      <c r="H953" s="70"/>
      <c r="I953" s="70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  <c r="AA953" s="70"/>
      <c r="AB953" s="70"/>
      <c r="AC953" s="70"/>
      <c r="AD953" s="70"/>
      <c r="AE953" s="70"/>
      <c r="AF953" s="70"/>
      <c r="AG953" s="70"/>
      <c r="AH953" s="70"/>
      <c r="AI953" s="70"/>
      <c r="AJ953" s="70"/>
      <c r="AK953" s="70"/>
      <c r="AL953" s="70"/>
    </row>
    <row r="954" spans="1:38" ht="16.5" x14ac:dyDescent="0.25">
      <c r="A954" s="101"/>
      <c r="B954" s="70"/>
      <c r="C954" s="70"/>
      <c r="D954" s="70"/>
      <c r="E954" s="70"/>
      <c r="F954" s="70"/>
      <c r="G954" s="70"/>
      <c r="H954" s="70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  <c r="AA954" s="70"/>
      <c r="AB954" s="70"/>
      <c r="AC954" s="70"/>
      <c r="AD954" s="70"/>
      <c r="AE954" s="70"/>
      <c r="AF954" s="70"/>
      <c r="AG954" s="70"/>
      <c r="AH954" s="70"/>
      <c r="AI954" s="70"/>
      <c r="AJ954" s="70"/>
      <c r="AK954" s="70"/>
      <c r="AL954" s="70"/>
    </row>
    <row r="955" spans="1:38" ht="16.5" x14ac:dyDescent="0.25">
      <c r="A955" s="101"/>
      <c r="B955" s="70"/>
      <c r="C955" s="70"/>
      <c r="D955" s="70"/>
      <c r="E955" s="70"/>
      <c r="F955" s="70"/>
      <c r="G955" s="70"/>
      <c r="H955" s="70"/>
      <c r="I955" s="70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  <c r="AA955" s="70"/>
      <c r="AB955" s="70"/>
      <c r="AC955" s="70"/>
      <c r="AD955" s="70"/>
      <c r="AE955" s="70"/>
      <c r="AF955" s="70"/>
      <c r="AG955" s="70"/>
      <c r="AH955" s="70"/>
      <c r="AI955" s="70"/>
      <c r="AJ955" s="70"/>
      <c r="AK955" s="70"/>
      <c r="AL955" s="70"/>
    </row>
    <row r="956" spans="1:38" ht="16.5" x14ac:dyDescent="0.25">
      <c r="A956" s="101"/>
      <c r="B956" s="70"/>
      <c r="C956" s="70"/>
      <c r="D956" s="70"/>
      <c r="E956" s="70"/>
      <c r="F956" s="70"/>
      <c r="G956" s="70"/>
      <c r="H956" s="70"/>
      <c r="I956" s="70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  <c r="AA956" s="70"/>
      <c r="AB956" s="70"/>
      <c r="AC956" s="70"/>
      <c r="AD956" s="70"/>
      <c r="AE956" s="70"/>
      <c r="AF956" s="70"/>
      <c r="AG956" s="70"/>
      <c r="AH956" s="70"/>
      <c r="AI956" s="70"/>
      <c r="AJ956" s="70"/>
      <c r="AK956" s="70"/>
      <c r="AL956" s="70"/>
    </row>
    <row r="957" spans="1:38" ht="16.5" x14ac:dyDescent="0.25">
      <c r="A957" s="101"/>
      <c r="B957" s="70"/>
      <c r="C957" s="70"/>
      <c r="D957" s="70"/>
      <c r="E957" s="70"/>
      <c r="F957" s="70"/>
      <c r="G957" s="70"/>
      <c r="H957" s="70"/>
      <c r="I957" s="70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  <c r="AA957" s="70"/>
      <c r="AB957" s="70"/>
      <c r="AC957" s="70"/>
      <c r="AD957" s="70"/>
      <c r="AE957" s="70"/>
      <c r="AF957" s="70"/>
      <c r="AG957" s="70"/>
      <c r="AH957" s="70"/>
      <c r="AI957" s="70"/>
      <c r="AJ957" s="70"/>
      <c r="AK957" s="70"/>
      <c r="AL957" s="70"/>
    </row>
    <row r="958" spans="1:38" ht="16.5" x14ac:dyDescent="0.25">
      <c r="A958" s="101"/>
      <c r="B958" s="70"/>
      <c r="C958" s="70"/>
      <c r="D958" s="70"/>
      <c r="E958" s="70"/>
      <c r="F958" s="70"/>
      <c r="G958" s="70"/>
      <c r="H958" s="70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  <c r="AA958" s="70"/>
      <c r="AB958" s="70"/>
      <c r="AC958" s="70"/>
      <c r="AD958" s="70"/>
      <c r="AE958" s="70"/>
      <c r="AF958" s="70"/>
      <c r="AG958" s="70"/>
      <c r="AH958" s="70"/>
      <c r="AI958" s="70"/>
      <c r="AJ958" s="70"/>
      <c r="AK958" s="70"/>
      <c r="AL958" s="70"/>
    </row>
    <row r="959" spans="1:38" ht="16.5" x14ac:dyDescent="0.25">
      <c r="A959" s="101"/>
      <c r="B959" s="70"/>
      <c r="C959" s="70"/>
      <c r="D959" s="70"/>
      <c r="E959" s="70"/>
      <c r="F959" s="70"/>
      <c r="G959" s="70"/>
      <c r="H959" s="70"/>
      <c r="I959" s="70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  <c r="AA959" s="70"/>
      <c r="AB959" s="70"/>
      <c r="AC959" s="70"/>
      <c r="AD959" s="70"/>
      <c r="AE959" s="70"/>
      <c r="AF959" s="70"/>
      <c r="AG959" s="70"/>
      <c r="AH959" s="70"/>
      <c r="AI959" s="70"/>
      <c r="AJ959" s="70"/>
      <c r="AK959" s="70"/>
      <c r="AL959" s="70"/>
    </row>
    <row r="960" spans="1:38" ht="16.5" x14ac:dyDescent="0.25">
      <c r="A960" s="101"/>
      <c r="B960" s="70"/>
      <c r="C960" s="70"/>
      <c r="D960" s="70"/>
      <c r="E960" s="70"/>
      <c r="F960" s="70"/>
      <c r="G960" s="70"/>
      <c r="H960" s="70"/>
      <c r="I960" s="70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  <c r="AA960" s="70"/>
      <c r="AB960" s="70"/>
      <c r="AC960" s="70"/>
      <c r="AD960" s="70"/>
      <c r="AE960" s="70"/>
      <c r="AF960" s="70"/>
      <c r="AG960" s="70"/>
      <c r="AH960" s="70"/>
      <c r="AI960" s="70"/>
      <c r="AJ960" s="70"/>
      <c r="AK960" s="70"/>
      <c r="AL960" s="70"/>
    </row>
    <row r="961" spans="1:38" ht="16.5" x14ac:dyDescent="0.25">
      <c r="A961" s="101"/>
      <c r="B961" s="70"/>
      <c r="C961" s="70"/>
      <c r="D961" s="70"/>
      <c r="E961" s="70"/>
      <c r="F961" s="70"/>
      <c r="G961" s="70"/>
      <c r="H961" s="70"/>
      <c r="I961" s="70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  <c r="AA961" s="70"/>
      <c r="AB961" s="70"/>
      <c r="AC961" s="70"/>
      <c r="AD961" s="70"/>
      <c r="AE961" s="70"/>
      <c r="AF961" s="70"/>
      <c r="AG961" s="70"/>
      <c r="AH961" s="70"/>
      <c r="AI961" s="70"/>
      <c r="AJ961" s="70"/>
      <c r="AK961" s="70"/>
      <c r="AL961" s="70"/>
    </row>
    <row r="962" spans="1:38" ht="16.5" x14ac:dyDescent="0.25">
      <c r="A962" s="101"/>
      <c r="B962" s="70"/>
      <c r="C962" s="70"/>
      <c r="D962" s="70"/>
      <c r="E962" s="70"/>
      <c r="F962" s="70"/>
      <c r="G962" s="70"/>
      <c r="H962" s="70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  <c r="AA962" s="70"/>
      <c r="AB962" s="70"/>
      <c r="AC962" s="70"/>
      <c r="AD962" s="70"/>
      <c r="AE962" s="70"/>
      <c r="AF962" s="70"/>
      <c r="AG962" s="70"/>
      <c r="AH962" s="70"/>
      <c r="AI962" s="70"/>
      <c r="AJ962" s="70"/>
      <c r="AK962" s="70"/>
      <c r="AL962" s="70"/>
    </row>
    <row r="963" spans="1:38" ht="16.5" x14ac:dyDescent="0.25">
      <c r="A963" s="101"/>
      <c r="B963" s="70"/>
      <c r="C963" s="70"/>
      <c r="D963" s="70"/>
      <c r="E963" s="70"/>
      <c r="F963" s="70"/>
      <c r="G963" s="70"/>
      <c r="H963" s="70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  <c r="AA963" s="70"/>
      <c r="AB963" s="70"/>
      <c r="AC963" s="70"/>
      <c r="AD963" s="70"/>
      <c r="AE963" s="70"/>
      <c r="AF963" s="70"/>
      <c r="AG963" s="70"/>
      <c r="AH963" s="70"/>
      <c r="AI963" s="70"/>
      <c r="AJ963" s="70"/>
      <c r="AK963" s="70"/>
      <c r="AL963" s="70"/>
    </row>
    <row r="964" spans="1:38" ht="16.5" x14ac:dyDescent="0.25">
      <c r="A964" s="101"/>
      <c r="B964" s="70"/>
      <c r="C964" s="70"/>
      <c r="D964" s="70"/>
      <c r="E964" s="70"/>
      <c r="F964" s="70"/>
      <c r="G964" s="70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  <c r="AA964" s="70"/>
      <c r="AB964" s="70"/>
      <c r="AC964" s="70"/>
      <c r="AD964" s="70"/>
      <c r="AE964" s="70"/>
      <c r="AF964" s="70"/>
      <c r="AG964" s="70"/>
      <c r="AH964" s="70"/>
      <c r="AI964" s="70"/>
      <c r="AJ964" s="70"/>
      <c r="AK964" s="70"/>
      <c r="AL964" s="70"/>
    </row>
    <row r="965" spans="1:38" ht="16.5" x14ac:dyDescent="0.25">
      <c r="A965" s="101"/>
      <c r="B965" s="70"/>
      <c r="C965" s="70"/>
      <c r="D965" s="70"/>
      <c r="E965" s="70"/>
      <c r="F965" s="70"/>
      <c r="G965" s="70"/>
      <c r="H965" s="70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  <c r="AA965" s="70"/>
      <c r="AB965" s="70"/>
      <c r="AC965" s="70"/>
      <c r="AD965" s="70"/>
      <c r="AE965" s="70"/>
      <c r="AF965" s="70"/>
      <c r="AG965" s="70"/>
      <c r="AH965" s="70"/>
      <c r="AI965" s="70"/>
      <c r="AJ965" s="70"/>
      <c r="AK965" s="70"/>
      <c r="AL965" s="70"/>
    </row>
    <row r="966" spans="1:38" ht="16.5" x14ac:dyDescent="0.25">
      <c r="A966" s="101"/>
      <c r="B966" s="70"/>
      <c r="C966" s="70"/>
      <c r="D966" s="70"/>
      <c r="E966" s="70"/>
      <c r="F966" s="70"/>
      <c r="G966" s="70"/>
      <c r="H966" s="70"/>
      <c r="I966" s="70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  <c r="AA966" s="70"/>
      <c r="AB966" s="70"/>
      <c r="AC966" s="70"/>
      <c r="AD966" s="70"/>
      <c r="AE966" s="70"/>
      <c r="AF966" s="70"/>
      <c r="AG966" s="70"/>
      <c r="AH966" s="70"/>
      <c r="AI966" s="70"/>
      <c r="AJ966" s="70"/>
      <c r="AK966" s="70"/>
      <c r="AL966" s="70"/>
    </row>
    <row r="967" spans="1:38" ht="16.5" x14ac:dyDescent="0.25">
      <c r="A967" s="101"/>
      <c r="B967" s="70"/>
      <c r="C967" s="70"/>
      <c r="D967" s="70"/>
      <c r="E967" s="70"/>
      <c r="F967" s="70"/>
      <c r="G967" s="70"/>
      <c r="H967" s="70"/>
      <c r="I967" s="70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  <c r="AA967" s="70"/>
      <c r="AB967" s="70"/>
      <c r="AC967" s="70"/>
      <c r="AD967" s="70"/>
      <c r="AE967" s="70"/>
      <c r="AF967" s="70"/>
      <c r="AG967" s="70"/>
      <c r="AH967" s="70"/>
      <c r="AI967" s="70"/>
      <c r="AJ967" s="70"/>
      <c r="AK967" s="70"/>
      <c r="AL967" s="70"/>
    </row>
    <row r="968" spans="1:38" ht="16.5" x14ac:dyDescent="0.25">
      <c r="A968" s="101"/>
      <c r="B968" s="70"/>
      <c r="C968" s="70"/>
      <c r="D968" s="70"/>
      <c r="E968" s="70"/>
      <c r="F968" s="70"/>
      <c r="G968" s="70"/>
      <c r="H968" s="70"/>
      <c r="I968" s="70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  <c r="AA968" s="70"/>
      <c r="AB968" s="70"/>
      <c r="AC968" s="70"/>
      <c r="AD968" s="70"/>
      <c r="AE968" s="70"/>
      <c r="AF968" s="70"/>
      <c r="AG968" s="70"/>
      <c r="AH968" s="70"/>
      <c r="AI968" s="70"/>
      <c r="AJ968" s="70"/>
      <c r="AK968" s="70"/>
      <c r="AL968" s="70"/>
    </row>
    <row r="969" spans="1:38" ht="16.5" x14ac:dyDescent="0.25">
      <c r="A969" s="101"/>
      <c r="B969" s="70"/>
      <c r="C969" s="70"/>
      <c r="D969" s="70"/>
      <c r="E969" s="70"/>
      <c r="F969" s="70"/>
      <c r="G969" s="70"/>
      <c r="H969" s="70"/>
      <c r="I969" s="70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  <c r="AA969" s="70"/>
      <c r="AB969" s="70"/>
      <c r="AC969" s="70"/>
      <c r="AD969" s="70"/>
      <c r="AE969" s="70"/>
      <c r="AF969" s="70"/>
      <c r="AG969" s="70"/>
      <c r="AH969" s="70"/>
      <c r="AI969" s="70"/>
      <c r="AJ969" s="70"/>
      <c r="AK969" s="70"/>
      <c r="AL969" s="70"/>
    </row>
    <row r="970" spans="1:38" ht="16.5" x14ac:dyDescent="0.25">
      <c r="A970" s="101"/>
      <c r="B970" s="70"/>
      <c r="C970" s="70"/>
      <c r="D970" s="70"/>
      <c r="E970" s="70"/>
      <c r="F970" s="70"/>
      <c r="G970" s="70"/>
      <c r="H970" s="70"/>
      <c r="I970" s="70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  <c r="AA970" s="70"/>
      <c r="AB970" s="70"/>
      <c r="AC970" s="70"/>
      <c r="AD970" s="70"/>
      <c r="AE970" s="70"/>
      <c r="AF970" s="70"/>
      <c r="AG970" s="70"/>
      <c r="AH970" s="70"/>
      <c r="AI970" s="70"/>
      <c r="AJ970" s="70"/>
      <c r="AK970" s="70"/>
      <c r="AL970" s="70"/>
    </row>
    <row r="971" spans="1:38" ht="16.5" x14ac:dyDescent="0.25">
      <c r="A971" s="101"/>
      <c r="B971" s="70"/>
      <c r="C971" s="70"/>
      <c r="D971" s="70"/>
      <c r="E971" s="70"/>
      <c r="F971" s="70"/>
      <c r="G971" s="70"/>
      <c r="H971" s="70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  <c r="AA971" s="70"/>
      <c r="AB971" s="70"/>
      <c r="AC971" s="70"/>
      <c r="AD971" s="70"/>
      <c r="AE971" s="70"/>
      <c r="AF971" s="70"/>
      <c r="AG971" s="70"/>
      <c r="AH971" s="70"/>
      <c r="AI971" s="70"/>
      <c r="AJ971" s="70"/>
      <c r="AK971" s="70"/>
      <c r="AL971" s="70"/>
    </row>
    <row r="972" spans="1:38" ht="16.5" x14ac:dyDescent="0.25">
      <c r="A972" s="101"/>
      <c r="B972" s="70"/>
      <c r="C972" s="70"/>
      <c r="D972" s="70"/>
      <c r="E972" s="70"/>
      <c r="F972" s="70"/>
      <c r="G972" s="70"/>
      <c r="H972" s="70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  <c r="AA972" s="70"/>
      <c r="AB972" s="70"/>
      <c r="AC972" s="70"/>
      <c r="AD972" s="70"/>
      <c r="AE972" s="70"/>
      <c r="AF972" s="70"/>
      <c r="AG972" s="70"/>
      <c r="AH972" s="70"/>
      <c r="AI972" s="70"/>
      <c r="AJ972" s="70"/>
      <c r="AK972" s="70"/>
      <c r="AL972" s="70"/>
    </row>
    <row r="973" spans="1:38" ht="16.5" x14ac:dyDescent="0.25">
      <c r="A973" s="101"/>
      <c r="B973" s="70"/>
      <c r="C973" s="70"/>
      <c r="D973" s="70"/>
      <c r="E973" s="70"/>
      <c r="F973" s="70"/>
      <c r="G973" s="70"/>
      <c r="H973" s="70"/>
      <c r="I973" s="70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  <c r="AA973" s="70"/>
      <c r="AB973" s="70"/>
      <c r="AC973" s="70"/>
      <c r="AD973" s="70"/>
      <c r="AE973" s="70"/>
      <c r="AF973" s="70"/>
      <c r="AG973" s="70"/>
      <c r="AH973" s="70"/>
      <c r="AI973" s="70"/>
      <c r="AJ973" s="70"/>
      <c r="AK973" s="70"/>
      <c r="AL973" s="70"/>
    </row>
    <row r="974" spans="1:38" ht="16.5" x14ac:dyDescent="0.25">
      <c r="A974" s="101"/>
      <c r="B974" s="70"/>
      <c r="C974" s="70"/>
      <c r="D974" s="70"/>
      <c r="E974" s="70"/>
      <c r="F974" s="70"/>
      <c r="G974" s="70"/>
      <c r="H974" s="70"/>
      <c r="I974" s="70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  <c r="AA974" s="70"/>
      <c r="AB974" s="70"/>
      <c r="AC974" s="70"/>
      <c r="AD974" s="70"/>
      <c r="AE974" s="70"/>
      <c r="AF974" s="70"/>
      <c r="AG974" s="70"/>
      <c r="AH974" s="70"/>
      <c r="AI974" s="70"/>
      <c r="AJ974" s="70"/>
      <c r="AK974" s="70"/>
      <c r="AL974" s="70"/>
    </row>
    <row r="975" spans="1:38" ht="16.5" x14ac:dyDescent="0.25">
      <c r="A975" s="101"/>
      <c r="B975" s="70"/>
      <c r="C975" s="70"/>
      <c r="D975" s="70"/>
      <c r="E975" s="70"/>
      <c r="F975" s="70"/>
      <c r="G975" s="70"/>
      <c r="H975" s="70"/>
      <c r="I975" s="70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  <c r="AA975" s="70"/>
      <c r="AB975" s="70"/>
      <c r="AC975" s="70"/>
      <c r="AD975" s="70"/>
      <c r="AE975" s="70"/>
      <c r="AF975" s="70"/>
      <c r="AG975" s="70"/>
      <c r="AH975" s="70"/>
      <c r="AI975" s="70"/>
      <c r="AJ975" s="70"/>
      <c r="AK975" s="70"/>
      <c r="AL975" s="70"/>
    </row>
    <row r="976" spans="1:38" ht="16.5" x14ac:dyDescent="0.25">
      <c r="A976" s="101"/>
      <c r="B976" s="70"/>
      <c r="C976" s="70"/>
      <c r="D976" s="70"/>
      <c r="E976" s="70"/>
      <c r="F976" s="70"/>
      <c r="G976" s="70"/>
      <c r="H976" s="70"/>
      <c r="I976" s="70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  <c r="AA976" s="70"/>
      <c r="AB976" s="70"/>
      <c r="AC976" s="70"/>
      <c r="AD976" s="70"/>
      <c r="AE976" s="70"/>
      <c r="AF976" s="70"/>
      <c r="AG976" s="70"/>
      <c r="AH976" s="70"/>
      <c r="AI976" s="70"/>
      <c r="AJ976" s="70"/>
      <c r="AK976" s="70"/>
      <c r="AL976" s="70"/>
    </row>
    <row r="977" spans="1:38" ht="16.5" x14ac:dyDescent="0.25">
      <c r="A977" s="101"/>
      <c r="B977" s="70"/>
      <c r="C977" s="70"/>
      <c r="D977" s="70"/>
      <c r="E977" s="70"/>
      <c r="F977" s="70"/>
      <c r="G977" s="70"/>
      <c r="H977" s="70"/>
      <c r="I977" s="70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  <c r="AA977" s="70"/>
      <c r="AB977" s="70"/>
      <c r="AC977" s="70"/>
      <c r="AD977" s="70"/>
      <c r="AE977" s="70"/>
      <c r="AF977" s="70"/>
      <c r="AG977" s="70"/>
      <c r="AH977" s="70"/>
      <c r="AI977" s="70"/>
      <c r="AJ977" s="70"/>
      <c r="AK977" s="70"/>
      <c r="AL977" s="70"/>
    </row>
    <row r="978" spans="1:38" ht="16.5" x14ac:dyDescent="0.25">
      <c r="A978" s="101"/>
      <c r="B978" s="70"/>
      <c r="C978" s="70"/>
      <c r="D978" s="70"/>
      <c r="E978" s="70"/>
      <c r="F978" s="70"/>
      <c r="G978" s="70"/>
      <c r="H978" s="70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  <c r="AA978" s="70"/>
      <c r="AB978" s="70"/>
      <c r="AC978" s="70"/>
      <c r="AD978" s="70"/>
      <c r="AE978" s="70"/>
      <c r="AF978" s="70"/>
      <c r="AG978" s="70"/>
      <c r="AH978" s="70"/>
      <c r="AI978" s="70"/>
      <c r="AJ978" s="70"/>
      <c r="AK978" s="70"/>
      <c r="AL978" s="70"/>
    </row>
    <row r="979" spans="1:38" ht="16.5" x14ac:dyDescent="0.25">
      <c r="A979" s="101"/>
      <c r="B979" s="70"/>
      <c r="C979" s="70"/>
      <c r="D979" s="70"/>
      <c r="E979" s="70"/>
      <c r="F979" s="70"/>
      <c r="G979" s="70"/>
      <c r="H979" s="70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  <c r="AA979" s="70"/>
      <c r="AB979" s="70"/>
      <c r="AC979" s="70"/>
      <c r="AD979" s="70"/>
      <c r="AE979" s="70"/>
      <c r="AF979" s="70"/>
      <c r="AG979" s="70"/>
      <c r="AH979" s="70"/>
      <c r="AI979" s="70"/>
      <c r="AJ979" s="70"/>
      <c r="AK979" s="70"/>
      <c r="AL979" s="70"/>
    </row>
    <row r="980" spans="1:38" ht="16.5" x14ac:dyDescent="0.25">
      <c r="A980" s="101"/>
      <c r="B980" s="70"/>
      <c r="C980" s="70"/>
      <c r="D980" s="70"/>
      <c r="E980" s="70"/>
      <c r="F980" s="70"/>
      <c r="G980" s="70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  <c r="AA980" s="70"/>
      <c r="AB980" s="70"/>
      <c r="AC980" s="70"/>
      <c r="AD980" s="70"/>
      <c r="AE980" s="70"/>
      <c r="AF980" s="70"/>
      <c r="AG980" s="70"/>
      <c r="AH980" s="70"/>
      <c r="AI980" s="70"/>
      <c r="AJ980" s="70"/>
      <c r="AK980" s="70"/>
      <c r="AL980" s="70"/>
    </row>
    <row r="981" spans="1:38" ht="16.5" x14ac:dyDescent="0.25">
      <c r="A981" s="101"/>
      <c r="B981" s="70"/>
      <c r="C981" s="70"/>
      <c r="D981" s="70"/>
      <c r="E981" s="70"/>
      <c r="F981" s="70"/>
      <c r="G981" s="70"/>
      <c r="H981" s="70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  <c r="AA981" s="70"/>
      <c r="AB981" s="70"/>
      <c r="AC981" s="70"/>
      <c r="AD981" s="70"/>
      <c r="AE981" s="70"/>
      <c r="AF981" s="70"/>
      <c r="AG981" s="70"/>
      <c r="AH981" s="70"/>
      <c r="AI981" s="70"/>
      <c r="AJ981" s="70"/>
      <c r="AK981" s="70"/>
      <c r="AL981" s="70"/>
    </row>
    <row r="982" spans="1:38" ht="16.5" x14ac:dyDescent="0.25">
      <c r="A982" s="101"/>
      <c r="B982" s="70"/>
      <c r="C982" s="70"/>
      <c r="D982" s="70"/>
      <c r="E982" s="70"/>
      <c r="F982" s="70"/>
      <c r="G982" s="70"/>
      <c r="H982" s="70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  <c r="AA982" s="70"/>
      <c r="AB982" s="70"/>
      <c r="AC982" s="70"/>
      <c r="AD982" s="70"/>
      <c r="AE982" s="70"/>
      <c r="AF982" s="70"/>
      <c r="AG982" s="70"/>
      <c r="AH982" s="70"/>
      <c r="AI982" s="70"/>
      <c r="AJ982" s="70"/>
      <c r="AK982" s="70"/>
      <c r="AL982" s="70"/>
    </row>
    <row r="983" spans="1:38" ht="16.5" x14ac:dyDescent="0.25">
      <c r="A983" s="101"/>
      <c r="B983" s="70"/>
      <c r="C983" s="70"/>
      <c r="D983" s="70"/>
      <c r="E983" s="70"/>
      <c r="F983" s="70"/>
      <c r="G983" s="70"/>
      <c r="H983" s="70"/>
      <c r="I983" s="70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  <c r="AA983" s="70"/>
      <c r="AB983" s="70"/>
      <c r="AC983" s="70"/>
      <c r="AD983" s="70"/>
      <c r="AE983" s="70"/>
      <c r="AF983" s="70"/>
      <c r="AG983" s="70"/>
      <c r="AH983" s="70"/>
      <c r="AI983" s="70"/>
      <c r="AJ983" s="70"/>
      <c r="AK983" s="70"/>
      <c r="AL983" s="70"/>
    </row>
    <row r="984" spans="1:38" ht="16.5" x14ac:dyDescent="0.25">
      <c r="A984" s="101"/>
      <c r="B984" s="70"/>
      <c r="C984" s="70"/>
      <c r="D984" s="70"/>
      <c r="E984" s="70"/>
      <c r="F984" s="70"/>
      <c r="G984" s="70"/>
      <c r="H984" s="70"/>
      <c r="I984" s="70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  <c r="AA984" s="70"/>
      <c r="AB984" s="70"/>
      <c r="AC984" s="70"/>
      <c r="AD984" s="70"/>
      <c r="AE984" s="70"/>
      <c r="AF984" s="70"/>
      <c r="AG984" s="70"/>
      <c r="AH984" s="70"/>
      <c r="AI984" s="70"/>
      <c r="AJ984" s="70"/>
      <c r="AK984" s="70"/>
      <c r="AL984" s="70"/>
    </row>
    <row r="985" spans="1:38" ht="16.5" x14ac:dyDescent="0.25">
      <c r="A985" s="101"/>
      <c r="B985" s="70"/>
      <c r="C985" s="70"/>
      <c r="D985" s="70"/>
      <c r="E985" s="70"/>
      <c r="F985" s="70"/>
      <c r="G985" s="70"/>
      <c r="H985" s="70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  <c r="AA985" s="70"/>
      <c r="AB985" s="70"/>
      <c r="AC985" s="70"/>
      <c r="AD985" s="70"/>
      <c r="AE985" s="70"/>
      <c r="AF985" s="70"/>
      <c r="AG985" s="70"/>
      <c r="AH985" s="70"/>
      <c r="AI985" s="70"/>
      <c r="AJ985" s="70"/>
      <c r="AK985" s="70"/>
      <c r="AL985" s="70"/>
    </row>
    <row r="986" spans="1:38" ht="16.5" x14ac:dyDescent="0.25">
      <c r="A986" s="101"/>
      <c r="B986" s="70"/>
      <c r="C986" s="70"/>
      <c r="D986" s="70"/>
      <c r="E986" s="70"/>
      <c r="F986" s="70"/>
      <c r="G986" s="70"/>
      <c r="H986" s="70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  <c r="AA986" s="70"/>
      <c r="AB986" s="70"/>
      <c r="AC986" s="70"/>
      <c r="AD986" s="70"/>
      <c r="AE986" s="70"/>
      <c r="AF986" s="70"/>
      <c r="AG986" s="70"/>
      <c r="AH986" s="70"/>
      <c r="AI986" s="70"/>
      <c r="AJ986" s="70"/>
      <c r="AK986" s="70"/>
      <c r="AL986" s="70"/>
    </row>
    <row r="987" spans="1:38" ht="16.5" x14ac:dyDescent="0.25">
      <c r="A987" s="101"/>
      <c r="B987" s="70"/>
      <c r="C987" s="70"/>
      <c r="D987" s="70"/>
      <c r="E987" s="70"/>
      <c r="F987" s="70"/>
      <c r="G987" s="70"/>
      <c r="H987" s="70"/>
      <c r="I987" s="70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  <c r="AA987" s="70"/>
      <c r="AB987" s="70"/>
      <c r="AC987" s="70"/>
      <c r="AD987" s="70"/>
      <c r="AE987" s="70"/>
      <c r="AF987" s="70"/>
      <c r="AG987" s="70"/>
      <c r="AH987" s="70"/>
      <c r="AI987" s="70"/>
      <c r="AJ987" s="70"/>
      <c r="AK987" s="70"/>
      <c r="AL987" s="70"/>
    </row>
    <row r="988" spans="1:38" ht="16.5" x14ac:dyDescent="0.25">
      <c r="A988" s="101"/>
      <c r="B988" s="70"/>
      <c r="C988" s="70"/>
      <c r="D988" s="70"/>
      <c r="E988" s="70"/>
      <c r="F988" s="70"/>
      <c r="G988" s="70"/>
      <c r="H988" s="70"/>
      <c r="I988" s="70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  <c r="AA988" s="70"/>
      <c r="AB988" s="70"/>
      <c r="AC988" s="70"/>
      <c r="AD988" s="70"/>
      <c r="AE988" s="70"/>
      <c r="AF988" s="70"/>
      <c r="AG988" s="70"/>
      <c r="AH988" s="70"/>
      <c r="AI988" s="70"/>
      <c r="AJ988" s="70"/>
      <c r="AK988" s="70"/>
      <c r="AL988" s="70"/>
    </row>
    <row r="989" spans="1:38" ht="16.5" x14ac:dyDescent="0.25">
      <c r="A989" s="101"/>
      <c r="B989" s="70"/>
      <c r="C989" s="70"/>
      <c r="D989" s="70"/>
      <c r="E989" s="70"/>
      <c r="F989" s="70"/>
      <c r="G989" s="70"/>
      <c r="H989" s="70"/>
      <c r="I989" s="70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  <c r="AA989" s="70"/>
      <c r="AB989" s="70"/>
      <c r="AC989" s="70"/>
      <c r="AD989" s="70"/>
      <c r="AE989" s="70"/>
      <c r="AF989" s="70"/>
      <c r="AG989" s="70"/>
      <c r="AH989" s="70"/>
      <c r="AI989" s="70"/>
      <c r="AJ989" s="70"/>
      <c r="AK989" s="70"/>
      <c r="AL989" s="70"/>
    </row>
    <row r="990" spans="1:38" ht="16.5" x14ac:dyDescent="0.25">
      <c r="A990" s="101"/>
      <c r="B990" s="70"/>
      <c r="C990" s="70"/>
      <c r="D990" s="70"/>
      <c r="E990" s="70"/>
      <c r="F990" s="70"/>
      <c r="G990" s="70"/>
      <c r="H990" s="70"/>
      <c r="I990" s="70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  <c r="AA990" s="70"/>
      <c r="AB990" s="70"/>
      <c r="AC990" s="70"/>
      <c r="AD990" s="70"/>
      <c r="AE990" s="70"/>
      <c r="AF990" s="70"/>
      <c r="AG990" s="70"/>
      <c r="AH990" s="70"/>
      <c r="AI990" s="70"/>
      <c r="AJ990" s="70"/>
      <c r="AK990" s="70"/>
      <c r="AL990" s="70"/>
    </row>
    <row r="991" spans="1:38" ht="16.5" x14ac:dyDescent="0.25">
      <c r="A991" s="101"/>
      <c r="B991" s="70"/>
      <c r="C991" s="70"/>
      <c r="D991" s="70"/>
      <c r="E991" s="70"/>
      <c r="F991" s="70"/>
      <c r="G991" s="70"/>
      <c r="H991" s="70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  <c r="AA991" s="70"/>
      <c r="AB991" s="70"/>
      <c r="AC991" s="70"/>
      <c r="AD991" s="70"/>
      <c r="AE991" s="70"/>
      <c r="AF991" s="70"/>
      <c r="AG991" s="70"/>
      <c r="AH991" s="70"/>
      <c r="AI991" s="70"/>
      <c r="AJ991" s="70"/>
      <c r="AK991" s="70"/>
      <c r="AL991" s="70"/>
    </row>
    <row r="992" spans="1:38" ht="16.5" x14ac:dyDescent="0.25">
      <c r="A992" s="101"/>
      <c r="B992" s="70"/>
      <c r="C992" s="70"/>
      <c r="D992" s="70"/>
      <c r="E992" s="70"/>
      <c r="F992" s="70"/>
      <c r="G992" s="70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  <c r="AA992" s="70"/>
      <c r="AB992" s="70"/>
      <c r="AC992" s="70"/>
      <c r="AD992" s="70"/>
      <c r="AE992" s="70"/>
      <c r="AF992" s="70"/>
      <c r="AG992" s="70"/>
      <c r="AH992" s="70"/>
      <c r="AI992" s="70"/>
      <c r="AJ992" s="70"/>
      <c r="AK992" s="70"/>
      <c r="AL992" s="70"/>
    </row>
    <row r="993" spans="1:38" ht="16.5" x14ac:dyDescent="0.25">
      <c r="A993" s="101"/>
      <c r="B993" s="70"/>
      <c r="C993" s="70"/>
      <c r="D993" s="70"/>
      <c r="E993" s="70"/>
      <c r="F993" s="70"/>
      <c r="G993" s="70"/>
      <c r="H993" s="70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  <c r="AA993" s="70"/>
      <c r="AB993" s="70"/>
      <c r="AC993" s="70"/>
      <c r="AD993" s="70"/>
      <c r="AE993" s="70"/>
      <c r="AF993" s="70"/>
      <c r="AG993" s="70"/>
      <c r="AH993" s="70"/>
      <c r="AI993" s="70"/>
      <c r="AJ993" s="70"/>
      <c r="AK993" s="70"/>
      <c r="AL993" s="70"/>
    </row>
    <row r="994" spans="1:38" ht="16.5" x14ac:dyDescent="0.25">
      <c r="A994" s="101"/>
      <c r="B994" s="70"/>
      <c r="C994" s="70"/>
      <c r="D994" s="70"/>
      <c r="E994" s="70"/>
      <c r="F994" s="70"/>
      <c r="G994" s="70"/>
      <c r="H994" s="70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  <c r="AA994" s="70"/>
      <c r="AB994" s="70"/>
      <c r="AC994" s="70"/>
      <c r="AD994" s="70"/>
      <c r="AE994" s="70"/>
      <c r="AF994" s="70"/>
      <c r="AG994" s="70"/>
      <c r="AH994" s="70"/>
      <c r="AI994" s="70"/>
      <c r="AJ994" s="70"/>
      <c r="AK994" s="70"/>
      <c r="AL994" s="70"/>
    </row>
    <row r="995" spans="1:38" ht="16.5" x14ac:dyDescent="0.25">
      <c r="A995" s="101"/>
      <c r="B995" s="70"/>
      <c r="C995" s="70"/>
      <c r="D995" s="70"/>
      <c r="E995" s="70"/>
      <c r="F995" s="70"/>
      <c r="G995" s="70"/>
      <c r="H995" s="70"/>
      <c r="I995" s="70"/>
      <c r="J995" s="70"/>
      <c r="K995" s="70"/>
      <c r="L995" s="70"/>
      <c r="M995" s="70"/>
      <c r="N995" s="70"/>
      <c r="O995" s="70"/>
      <c r="P995" s="70"/>
      <c r="Q995" s="70"/>
      <c r="R995" s="70"/>
      <c r="S995" s="70"/>
      <c r="T995" s="70"/>
      <c r="U995" s="70"/>
      <c r="V995" s="70"/>
      <c r="W995" s="70"/>
      <c r="X995" s="70"/>
      <c r="Y995" s="70"/>
      <c r="Z995" s="70"/>
      <c r="AA995" s="70"/>
      <c r="AB995" s="70"/>
      <c r="AC995" s="70"/>
      <c r="AD995" s="70"/>
      <c r="AE995" s="70"/>
      <c r="AF995" s="70"/>
      <c r="AG995" s="70"/>
      <c r="AH995" s="70"/>
      <c r="AI995" s="70"/>
      <c r="AJ995" s="70"/>
      <c r="AK995" s="70"/>
      <c r="AL995" s="70"/>
    </row>
    <row r="996" spans="1:38" ht="16.5" x14ac:dyDescent="0.25">
      <c r="A996" s="101"/>
      <c r="B996" s="70"/>
      <c r="C996" s="70"/>
      <c r="D996" s="70"/>
      <c r="E996" s="70"/>
      <c r="F996" s="70"/>
      <c r="G996" s="70"/>
      <c r="H996" s="70"/>
      <c r="I996" s="70"/>
      <c r="J996" s="70"/>
      <c r="K996" s="70"/>
      <c r="L996" s="70"/>
      <c r="M996" s="70"/>
      <c r="N996" s="70"/>
      <c r="O996" s="70"/>
      <c r="P996" s="70"/>
      <c r="Q996" s="70"/>
      <c r="R996" s="70"/>
      <c r="S996" s="70"/>
      <c r="T996" s="70"/>
      <c r="U996" s="70"/>
      <c r="V996" s="70"/>
      <c r="W996" s="70"/>
      <c r="X996" s="70"/>
      <c r="Y996" s="70"/>
      <c r="Z996" s="70"/>
      <c r="AA996" s="70"/>
      <c r="AB996" s="70"/>
      <c r="AC996" s="70"/>
      <c r="AD996" s="70"/>
      <c r="AE996" s="70"/>
      <c r="AF996" s="70"/>
      <c r="AG996" s="70"/>
      <c r="AH996" s="70"/>
      <c r="AI996" s="70"/>
      <c r="AJ996" s="70"/>
      <c r="AK996" s="70"/>
      <c r="AL996" s="70"/>
    </row>
    <row r="997" spans="1:38" ht="16.5" x14ac:dyDescent="0.25">
      <c r="A997" s="101"/>
      <c r="B997" s="70"/>
      <c r="C997" s="70"/>
      <c r="D997" s="70"/>
      <c r="E997" s="70"/>
      <c r="F997" s="70"/>
      <c r="G997" s="70"/>
      <c r="H997" s="70"/>
      <c r="I997" s="70"/>
      <c r="J997" s="70"/>
      <c r="K997" s="70"/>
      <c r="L997" s="70"/>
      <c r="M997" s="70"/>
      <c r="N997" s="70"/>
      <c r="O997" s="70"/>
      <c r="P997" s="70"/>
      <c r="Q997" s="70"/>
      <c r="R997" s="70"/>
      <c r="S997" s="70"/>
      <c r="T997" s="70"/>
      <c r="U997" s="70"/>
      <c r="V997" s="70"/>
      <c r="W997" s="70"/>
      <c r="X997" s="70"/>
      <c r="Y997" s="70"/>
      <c r="Z997" s="70"/>
      <c r="AA997" s="70"/>
      <c r="AB997" s="70"/>
      <c r="AC997" s="70"/>
      <c r="AD997" s="70"/>
      <c r="AE997" s="70"/>
      <c r="AF997" s="70"/>
      <c r="AG997" s="70"/>
      <c r="AH997" s="70"/>
      <c r="AI997" s="70"/>
      <c r="AJ997" s="70"/>
      <c r="AK997" s="70"/>
      <c r="AL997" s="70"/>
    </row>
    <row r="998" spans="1:38" ht="16.5" x14ac:dyDescent="0.25">
      <c r="A998" s="101"/>
      <c r="B998" s="70"/>
      <c r="C998" s="70"/>
      <c r="D998" s="70"/>
      <c r="E998" s="70"/>
      <c r="F998" s="70"/>
      <c r="G998" s="70"/>
      <c r="H998" s="70"/>
      <c r="I998" s="70"/>
      <c r="J998" s="70"/>
      <c r="K998" s="70"/>
      <c r="L998" s="70"/>
      <c r="M998" s="70"/>
      <c r="N998" s="70"/>
      <c r="O998" s="70"/>
      <c r="P998" s="70"/>
      <c r="Q998" s="70"/>
      <c r="R998" s="70"/>
      <c r="S998" s="70"/>
      <c r="T998" s="70"/>
      <c r="U998" s="70"/>
      <c r="V998" s="70"/>
      <c r="W998" s="70"/>
      <c r="X998" s="70"/>
      <c r="Y998" s="70"/>
      <c r="Z998" s="70"/>
      <c r="AA998" s="70"/>
      <c r="AB998" s="70"/>
      <c r="AC998" s="70"/>
      <c r="AD998" s="70"/>
      <c r="AE998" s="70"/>
      <c r="AF998" s="70"/>
      <c r="AG998" s="70"/>
      <c r="AH998" s="70"/>
      <c r="AI998" s="70"/>
      <c r="AJ998" s="70"/>
      <c r="AK998" s="70"/>
      <c r="AL998" s="70"/>
    </row>
    <row r="999" spans="1:38" ht="16.5" x14ac:dyDescent="0.25">
      <c r="A999" s="101"/>
      <c r="B999" s="70"/>
      <c r="C999" s="70"/>
      <c r="D999" s="70"/>
      <c r="E999" s="70"/>
      <c r="F999" s="70"/>
      <c r="G999" s="70"/>
      <c r="H999" s="70"/>
      <c r="I999" s="70"/>
      <c r="J999" s="70"/>
      <c r="K999" s="70"/>
      <c r="L999" s="70"/>
      <c r="M999" s="70"/>
      <c r="N999" s="70"/>
      <c r="O999" s="70"/>
      <c r="P999" s="70"/>
      <c r="Q999" s="70"/>
      <c r="R999" s="70"/>
      <c r="S999" s="70"/>
      <c r="T999" s="70"/>
      <c r="U999" s="70"/>
      <c r="V999" s="70"/>
      <c r="W999" s="70"/>
      <c r="X999" s="70"/>
      <c r="Y999" s="70"/>
      <c r="Z999" s="70"/>
      <c r="AA999" s="70"/>
      <c r="AB999" s="70"/>
      <c r="AC999" s="70"/>
      <c r="AD999" s="70"/>
      <c r="AE999" s="70"/>
      <c r="AF999" s="70"/>
      <c r="AG999" s="70"/>
      <c r="AH999" s="70"/>
      <c r="AI999" s="70"/>
      <c r="AJ999" s="70"/>
      <c r="AK999" s="70"/>
      <c r="AL999" s="70"/>
    </row>
    <row r="1000" spans="1:38" ht="16.5" x14ac:dyDescent="0.25">
      <c r="A1000" s="101"/>
      <c r="B1000" s="70"/>
      <c r="C1000" s="70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  <c r="P1000" s="70"/>
      <c r="Q1000" s="70"/>
      <c r="R1000" s="70"/>
      <c r="S1000" s="70"/>
      <c r="T1000" s="70"/>
      <c r="U1000" s="70"/>
      <c r="V1000" s="70"/>
      <c r="W1000" s="70"/>
      <c r="X1000" s="70"/>
      <c r="Y1000" s="70"/>
      <c r="Z1000" s="70"/>
      <c r="AA1000" s="70"/>
      <c r="AB1000" s="70"/>
      <c r="AC1000" s="70"/>
      <c r="AD1000" s="70"/>
      <c r="AE1000" s="70"/>
      <c r="AF1000" s="70"/>
      <c r="AG1000" s="70"/>
      <c r="AH1000" s="70"/>
      <c r="AI1000" s="70"/>
      <c r="AJ1000" s="70"/>
      <c r="AK1000" s="70"/>
      <c r="AL1000" s="70"/>
    </row>
  </sheetData>
  <mergeCells count="20">
    <mergeCell ref="Q6:Q7"/>
    <mergeCell ref="A1:B1"/>
    <mergeCell ref="A2:R2"/>
    <mergeCell ref="A3:R3"/>
    <mergeCell ref="M4:R4"/>
    <mergeCell ref="A5:A7"/>
    <mergeCell ref="B5:B7"/>
    <mergeCell ref="Q5:R5"/>
    <mergeCell ref="R6:R7"/>
    <mergeCell ref="D5:E5"/>
    <mergeCell ref="F5:P5"/>
    <mergeCell ref="C5:C7"/>
    <mergeCell ref="D6:D7"/>
    <mergeCell ref="E6:E7"/>
    <mergeCell ref="F6:G6"/>
    <mergeCell ref="H6:I6"/>
    <mergeCell ref="J6:J7"/>
    <mergeCell ref="K6:L6"/>
    <mergeCell ref="M6:N6"/>
    <mergeCell ref="O6:P6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84"/>
  <sheetViews>
    <sheetView zoomScaleNormal="100" workbookViewId="0">
      <pane ySplit="8" topLeftCell="A48" activePane="bottomLeft" state="frozen"/>
      <selection pane="bottomLeft" activeCell="C7" sqref="C7:C8"/>
    </sheetView>
  </sheetViews>
  <sheetFormatPr defaultColWidth="11.21875" defaultRowHeight="15" customHeight="1" x14ac:dyDescent="0.25"/>
  <cols>
    <col min="1" max="1" width="7.88671875" style="330" customWidth="1"/>
    <col min="2" max="2" width="29" style="330" customWidth="1"/>
    <col min="3" max="3" width="10.33203125" style="330" customWidth="1"/>
    <col min="4" max="4" width="16.21875" style="330" customWidth="1"/>
    <col min="5" max="5" width="17.88671875" style="330" customWidth="1"/>
    <col min="6" max="9" width="12.6640625" style="330" customWidth="1"/>
    <col min="10" max="10" width="8.88671875" style="125" customWidth="1"/>
    <col min="11" max="11" width="19.77734375" style="125" customWidth="1"/>
    <col min="12" max="14" width="8.88671875" style="125" customWidth="1"/>
    <col min="15" max="16384" width="11.21875" style="125"/>
  </cols>
  <sheetData>
    <row r="1" spans="1:23" ht="15" customHeight="1" x14ac:dyDescent="0.25">
      <c r="H1" s="409"/>
      <c r="I1" s="409"/>
    </row>
    <row r="2" spans="1:23" ht="16.5" x14ac:dyDescent="0.25">
      <c r="A2" s="410"/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  <c r="N2" s="127"/>
    </row>
    <row r="3" spans="1:23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23" ht="16.5" x14ac:dyDescent="0.25">
      <c r="A4" s="405" t="s">
        <v>224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23" ht="16.5" x14ac:dyDescent="0.25">
      <c r="A5" s="417" t="str">
        <f>'TUMO RONG (1)'!A5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23" ht="16.5" x14ac:dyDescent="0.25">
      <c r="A6" s="398"/>
      <c r="B6" s="398"/>
      <c r="C6" s="398"/>
      <c r="D6" s="398"/>
      <c r="E6" s="398"/>
      <c r="F6" s="398"/>
      <c r="G6" s="398"/>
      <c r="H6" s="398"/>
      <c r="I6" s="398"/>
      <c r="J6" s="127"/>
      <c r="K6" s="127"/>
      <c r="L6" s="127"/>
      <c r="M6" s="127"/>
      <c r="N6" s="127"/>
    </row>
    <row r="7" spans="1:23" ht="33.6" customHeight="1" x14ac:dyDescent="0.25">
      <c r="A7" s="403" t="s">
        <v>10</v>
      </c>
      <c r="B7" s="403" t="s">
        <v>1</v>
      </c>
      <c r="C7" s="403" t="s">
        <v>11</v>
      </c>
      <c r="D7" s="403" t="s">
        <v>222</v>
      </c>
      <c r="E7" s="416" t="s">
        <v>256</v>
      </c>
      <c r="F7" s="418"/>
      <c r="G7" s="418"/>
      <c r="H7" s="419"/>
      <c r="I7" s="407" t="s">
        <v>259</v>
      </c>
      <c r="J7" s="127"/>
      <c r="K7" s="153" t="s">
        <v>215</v>
      </c>
      <c r="L7" s="172">
        <v>37</v>
      </c>
      <c r="M7" s="127"/>
      <c r="N7" s="127"/>
    </row>
    <row r="8" spans="1:23" ht="33.6" customHeight="1" x14ac:dyDescent="0.25">
      <c r="A8" s="404"/>
      <c r="B8" s="404"/>
      <c r="C8" s="404"/>
      <c r="D8" s="403"/>
      <c r="E8" s="331" t="s">
        <v>257</v>
      </c>
      <c r="F8" s="331" t="s">
        <v>261</v>
      </c>
      <c r="G8" s="331" t="s">
        <v>263</v>
      </c>
      <c r="H8" s="331" t="s">
        <v>258</v>
      </c>
      <c r="I8" s="408"/>
      <c r="J8" s="155"/>
      <c r="K8" s="160" t="s">
        <v>216</v>
      </c>
      <c r="L8" s="173">
        <v>130</v>
      </c>
      <c r="M8" s="155"/>
      <c r="N8" s="155"/>
      <c r="O8" s="138"/>
      <c r="P8" s="138"/>
      <c r="Q8" s="138"/>
      <c r="R8" s="138"/>
      <c r="S8" s="138"/>
      <c r="T8" s="138"/>
      <c r="U8" s="138"/>
      <c r="V8" s="138"/>
      <c r="W8" s="138"/>
    </row>
    <row r="9" spans="1:23" s="131" customFormat="1" ht="31.9" customHeight="1" x14ac:dyDescent="0.25">
      <c r="A9" s="332" t="s">
        <v>12</v>
      </c>
      <c r="B9" s="333" t="s">
        <v>13</v>
      </c>
      <c r="C9" s="332" t="s">
        <v>6</v>
      </c>
      <c r="D9" s="294">
        <f>D13+D28+D37+D43+D46+D67</f>
        <v>45.59</v>
      </c>
      <c r="E9" s="294">
        <f t="shared" ref="E9:G9" si="0">E13+E28+E37+E43+E46+E67</f>
        <v>64.309999999999988</v>
      </c>
      <c r="F9" s="294">
        <f t="shared" si="0"/>
        <v>42.283000000000001</v>
      </c>
      <c r="G9" s="294">
        <f t="shared" si="0"/>
        <v>42.283000000000001</v>
      </c>
      <c r="H9" s="294">
        <f>F9/E9*100</f>
        <v>65.748717151298408</v>
      </c>
      <c r="I9" s="294"/>
      <c r="J9" s="228"/>
      <c r="K9" s="228"/>
      <c r="L9" s="228"/>
      <c r="M9" s="228"/>
      <c r="N9" s="228"/>
      <c r="O9" s="143"/>
      <c r="P9" s="143"/>
      <c r="Q9" s="143"/>
      <c r="R9" s="143"/>
      <c r="S9" s="143"/>
      <c r="T9" s="143"/>
      <c r="U9" s="143"/>
      <c r="V9" s="143"/>
      <c r="W9" s="143"/>
    </row>
    <row r="10" spans="1:23" s="131" customFormat="1" ht="31.9" customHeight="1" x14ac:dyDescent="0.25">
      <c r="A10" s="332">
        <v>1</v>
      </c>
      <c r="B10" s="333" t="s">
        <v>14</v>
      </c>
      <c r="C10" s="332" t="s">
        <v>6</v>
      </c>
      <c r="D10" s="294">
        <f>D13+D28</f>
        <v>1</v>
      </c>
      <c r="E10" s="294">
        <f t="shared" ref="E10:G10" si="1">E13+E28</f>
        <v>10.82</v>
      </c>
      <c r="F10" s="294">
        <f t="shared" si="1"/>
        <v>1.17</v>
      </c>
      <c r="G10" s="294">
        <f t="shared" si="1"/>
        <v>1.17</v>
      </c>
      <c r="H10" s="294">
        <f t="shared" ref="H10:H73" si="2">F10/E10*100</f>
        <v>10.813308687615526</v>
      </c>
      <c r="I10" s="294"/>
      <c r="J10" s="228"/>
      <c r="K10" s="228"/>
      <c r="L10" s="228"/>
      <c r="M10" s="228"/>
      <c r="N10" s="228"/>
      <c r="O10" s="143"/>
      <c r="P10" s="143"/>
      <c r="Q10" s="143"/>
      <c r="R10" s="143"/>
      <c r="S10" s="143"/>
      <c r="T10" s="143"/>
      <c r="U10" s="143"/>
      <c r="V10" s="143"/>
      <c r="W10" s="143"/>
    </row>
    <row r="11" spans="1:23" s="131" customFormat="1" ht="31.9" customHeight="1" x14ac:dyDescent="0.25">
      <c r="A11" s="332"/>
      <c r="B11" s="334" t="s">
        <v>16</v>
      </c>
      <c r="C11" s="3" t="s">
        <v>17</v>
      </c>
      <c r="D11" s="294">
        <f>D15+D30</f>
        <v>3.6850000000000001</v>
      </c>
      <c r="E11" s="294">
        <f t="shared" ref="E11:G11" si="3">E15+E30</f>
        <v>40.773600000000002</v>
      </c>
      <c r="F11" s="294">
        <f t="shared" si="3"/>
        <v>0</v>
      </c>
      <c r="G11" s="294">
        <f t="shared" si="3"/>
        <v>0</v>
      </c>
      <c r="H11" s="294">
        <f t="shared" si="2"/>
        <v>0</v>
      </c>
      <c r="I11" s="294"/>
      <c r="J11" s="228"/>
      <c r="K11" s="228"/>
      <c r="L11" s="228"/>
      <c r="M11" s="228"/>
      <c r="N11" s="228"/>
      <c r="O11" s="143"/>
      <c r="P11" s="143"/>
      <c r="Q11" s="143"/>
      <c r="R11" s="143"/>
      <c r="S11" s="143"/>
      <c r="T11" s="143"/>
      <c r="U11" s="143"/>
      <c r="V11" s="143"/>
      <c r="W11" s="143"/>
    </row>
    <row r="12" spans="1:23" s="131" customFormat="1" ht="31.9" customHeight="1" x14ac:dyDescent="0.25">
      <c r="A12" s="332"/>
      <c r="B12" s="335" t="s">
        <v>221</v>
      </c>
      <c r="C12" s="3" t="s">
        <v>17</v>
      </c>
      <c r="D12" s="294">
        <f>D15</f>
        <v>0</v>
      </c>
      <c r="E12" s="294">
        <f t="shared" ref="E12:G12" si="4">E15</f>
        <v>37.083600000000004</v>
      </c>
      <c r="F12" s="294">
        <f t="shared" si="4"/>
        <v>0</v>
      </c>
      <c r="G12" s="294">
        <f t="shared" si="4"/>
        <v>0</v>
      </c>
      <c r="H12" s="294">
        <f t="shared" si="2"/>
        <v>0</v>
      </c>
      <c r="I12" s="294"/>
      <c r="J12" s="228"/>
      <c r="K12" s="228"/>
      <c r="L12" s="228"/>
      <c r="M12" s="228"/>
      <c r="N12" s="228"/>
      <c r="O12" s="143"/>
      <c r="P12" s="143"/>
      <c r="Q12" s="143"/>
      <c r="R12" s="143"/>
      <c r="S12" s="143"/>
      <c r="T12" s="143"/>
      <c r="U12" s="143"/>
      <c r="V12" s="143"/>
      <c r="W12" s="143"/>
    </row>
    <row r="13" spans="1:23" ht="31.9" customHeight="1" x14ac:dyDescent="0.25">
      <c r="A13" s="332" t="s">
        <v>5</v>
      </c>
      <c r="B13" s="333" t="s">
        <v>19</v>
      </c>
      <c r="C13" s="332" t="s">
        <v>6</v>
      </c>
      <c r="D13" s="294">
        <f>D16+D19</f>
        <v>0</v>
      </c>
      <c r="E13" s="294">
        <f t="shared" ref="E13:G13" si="5">E16+E19</f>
        <v>9.82</v>
      </c>
      <c r="F13" s="294">
        <f t="shared" si="5"/>
        <v>1.17</v>
      </c>
      <c r="G13" s="294">
        <f t="shared" si="5"/>
        <v>1.17</v>
      </c>
      <c r="H13" s="294">
        <f t="shared" si="2"/>
        <v>11.914460285132382</v>
      </c>
      <c r="I13" s="294"/>
      <c r="J13" s="155"/>
      <c r="K13" s="250"/>
      <c r="L13" s="250"/>
      <c r="M13" s="251"/>
      <c r="N13" s="250"/>
      <c r="O13" s="252"/>
      <c r="P13" s="252"/>
      <c r="Q13" s="252"/>
      <c r="R13" s="252"/>
      <c r="S13" s="157"/>
      <c r="T13" s="141"/>
      <c r="U13" s="138"/>
      <c r="V13" s="138"/>
      <c r="W13" s="138"/>
    </row>
    <row r="14" spans="1:23" ht="31.9" customHeight="1" x14ac:dyDescent="0.25">
      <c r="A14" s="332"/>
      <c r="B14" s="337" t="s">
        <v>218</v>
      </c>
      <c r="C14" s="5" t="s">
        <v>219</v>
      </c>
      <c r="D14" s="298"/>
      <c r="E14" s="298">
        <f t="shared" ref="E14:G14" si="6">E15/E13*10</f>
        <v>37.763340122199594</v>
      </c>
      <c r="F14" s="298">
        <f t="shared" si="6"/>
        <v>0</v>
      </c>
      <c r="G14" s="298">
        <f t="shared" si="6"/>
        <v>0</v>
      </c>
      <c r="H14" s="294">
        <f t="shared" si="2"/>
        <v>0</v>
      </c>
      <c r="I14" s="298"/>
      <c r="J14" s="155"/>
      <c r="K14" s="155"/>
      <c r="L14" s="155"/>
      <c r="M14" s="155"/>
      <c r="N14" s="155"/>
      <c r="O14" s="138"/>
      <c r="P14" s="138"/>
      <c r="Q14" s="138"/>
      <c r="R14" s="138"/>
      <c r="S14" s="138"/>
      <c r="T14" s="138"/>
      <c r="U14" s="138"/>
      <c r="V14" s="138"/>
      <c r="W14" s="138"/>
    </row>
    <row r="15" spans="1:23" ht="31.9" customHeight="1" x14ac:dyDescent="0.25">
      <c r="A15" s="332"/>
      <c r="B15" s="337" t="s">
        <v>220</v>
      </c>
      <c r="C15" s="5" t="s">
        <v>17</v>
      </c>
      <c r="D15" s="298">
        <f>D18+D21</f>
        <v>0</v>
      </c>
      <c r="E15" s="298">
        <f t="shared" ref="E15:G15" si="7">E18+E21</f>
        <v>37.083600000000004</v>
      </c>
      <c r="F15" s="298">
        <f t="shared" si="7"/>
        <v>0</v>
      </c>
      <c r="G15" s="298">
        <f t="shared" si="7"/>
        <v>0</v>
      </c>
      <c r="H15" s="294">
        <f t="shared" si="2"/>
        <v>0</v>
      </c>
      <c r="I15" s="298"/>
      <c r="J15" s="155"/>
      <c r="K15" s="155"/>
      <c r="L15" s="155"/>
      <c r="M15" s="155"/>
      <c r="N15" s="155"/>
      <c r="O15" s="138"/>
      <c r="P15" s="138"/>
      <c r="Q15" s="138"/>
      <c r="R15" s="138"/>
      <c r="S15" s="138"/>
      <c r="T15" s="138"/>
      <c r="U15" s="138"/>
      <c r="V15" s="138"/>
      <c r="W15" s="138"/>
    </row>
    <row r="16" spans="1:23" ht="31.9" customHeight="1" x14ac:dyDescent="0.25">
      <c r="A16" s="332" t="s">
        <v>20</v>
      </c>
      <c r="B16" s="333" t="s">
        <v>21</v>
      </c>
      <c r="C16" s="332" t="s">
        <v>6</v>
      </c>
      <c r="D16" s="294"/>
      <c r="E16" s="294">
        <v>1.17</v>
      </c>
      <c r="F16" s="294">
        <v>1.17</v>
      </c>
      <c r="G16" s="294">
        <v>1.17</v>
      </c>
      <c r="H16" s="294">
        <f t="shared" si="2"/>
        <v>100</v>
      </c>
      <c r="I16" s="294"/>
      <c r="J16" s="134"/>
      <c r="K16" s="134"/>
      <c r="L16" s="134"/>
      <c r="M16" s="134"/>
      <c r="N16" s="134"/>
      <c r="O16" s="161"/>
      <c r="P16" s="161"/>
      <c r="Q16" s="161"/>
      <c r="R16" s="161"/>
      <c r="S16" s="138"/>
      <c r="T16" s="138"/>
      <c r="U16" s="138"/>
      <c r="V16" s="138"/>
      <c r="W16" s="138"/>
    </row>
    <row r="17" spans="1:23" ht="31.9" customHeight="1" x14ac:dyDescent="0.25">
      <c r="A17" s="332"/>
      <c r="B17" s="337" t="s">
        <v>218</v>
      </c>
      <c r="C17" s="5" t="s">
        <v>219</v>
      </c>
      <c r="D17" s="298">
        <v>33.5</v>
      </c>
      <c r="E17" s="298">
        <v>33.5</v>
      </c>
      <c r="F17" s="298"/>
      <c r="G17" s="298">
        <v>0</v>
      </c>
      <c r="H17" s="294">
        <f t="shared" si="2"/>
        <v>0</v>
      </c>
      <c r="I17" s="298"/>
      <c r="J17" s="134"/>
      <c r="K17" s="134"/>
      <c r="L17" s="134"/>
      <c r="M17" s="134"/>
      <c r="N17" s="134"/>
      <c r="O17" s="161"/>
      <c r="P17" s="161"/>
      <c r="Q17" s="161"/>
      <c r="R17" s="161"/>
      <c r="S17" s="138"/>
      <c r="T17" s="138"/>
      <c r="U17" s="138"/>
      <c r="V17" s="138"/>
      <c r="W17" s="138"/>
    </row>
    <row r="18" spans="1:23" ht="31.9" customHeight="1" x14ac:dyDescent="0.25">
      <c r="A18" s="332"/>
      <c r="B18" s="337" t="s">
        <v>220</v>
      </c>
      <c r="C18" s="5" t="s">
        <v>17</v>
      </c>
      <c r="D18" s="294">
        <f>D16*D17/10</f>
        <v>0</v>
      </c>
      <c r="E18" s="298">
        <f t="shared" ref="E18:G18" si="8">E16*E17/10</f>
        <v>3.9195000000000002</v>
      </c>
      <c r="F18" s="298">
        <f t="shared" si="8"/>
        <v>0</v>
      </c>
      <c r="G18" s="298">
        <f t="shared" si="8"/>
        <v>0</v>
      </c>
      <c r="H18" s="294">
        <f t="shared" si="2"/>
        <v>0</v>
      </c>
      <c r="I18" s="298"/>
      <c r="J18" s="134"/>
      <c r="K18" s="134"/>
      <c r="L18" s="134"/>
      <c r="M18" s="134"/>
      <c r="N18" s="134"/>
      <c r="O18" s="161"/>
      <c r="P18" s="161"/>
      <c r="Q18" s="161"/>
      <c r="R18" s="161"/>
      <c r="S18" s="138"/>
      <c r="T18" s="138"/>
      <c r="U18" s="138"/>
      <c r="V18" s="138"/>
      <c r="W18" s="138"/>
    </row>
    <row r="19" spans="1:23" ht="31.9" customHeight="1" x14ac:dyDescent="0.25">
      <c r="A19" s="340" t="s">
        <v>22</v>
      </c>
      <c r="B19" s="341" t="s">
        <v>23</v>
      </c>
      <c r="C19" s="340" t="s">
        <v>6</v>
      </c>
      <c r="D19" s="294">
        <f t="shared" ref="D19:G19" si="9">D22+D25</f>
        <v>0</v>
      </c>
      <c r="E19" s="294">
        <f t="shared" si="9"/>
        <v>8.65</v>
      </c>
      <c r="F19" s="294">
        <f t="shared" si="9"/>
        <v>0</v>
      </c>
      <c r="G19" s="294">
        <f t="shared" si="9"/>
        <v>0</v>
      </c>
      <c r="H19" s="294">
        <f t="shared" si="2"/>
        <v>0</v>
      </c>
      <c r="I19" s="294"/>
      <c r="J19" s="132"/>
      <c r="K19" s="132"/>
      <c r="L19" s="132"/>
      <c r="M19" s="132"/>
      <c r="N19" s="137"/>
      <c r="O19" s="162"/>
      <c r="P19" s="162"/>
      <c r="Q19" s="162"/>
      <c r="R19" s="162"/>
      <c r="S19" s="162"/>
      <c r="T19" s="162"/>
      <c r="U19" s="162"/>
      <c r="V19" s="162"/>
      <c r="W19" s="138"/>
    </row>
    <row r="20" spans="1:23" ht="31.9" customHeight="1" x14ac:dyDescent="0.25">
      <c r="A20" s="340"/>
      <c r="B20" s="337" t="s">
        <v>218</v>
      </c>
      <c r="C20" s="5" t="s">
        <v>219</v>
      </c>
      <c r="D20" s="298"/>
      <c r="E20" s="298">
        <f>E21/E19*10</f>
        <v>38.340000000000003</v>
      </c>
      <c r="F20" s="298"/>
      <c r="G20" s="298"/>
      <c r="H20" s="294">
        <f t="shared" si="2"/>
        <v>0</v>
      </c>
      <c r="I20" s="298"/>
      <c r="J20" s="132"/>
      <c r="K20" s="132"/>
      <c r="L20" s="132"/>
      <c r="M20" s="132"/>
      <c r="N20" s="137"/>
      <c r="O20" s="162"/>
      <c r="P20" s="162"/>
      <c r="Q20" s="162"/>
      <c r="R20" s="162"/>
      <c r="S20" s="162"/>
      <c r="T20" s="162"/>
      <c r="U20" s="162"/>
      <c r="V20" s="162"/>
      <c r="W20" s="138"/>
    </row>
    <row r="21" spans="1:23" ht="31.9" customHeight="1" x14ac:dyDescent="0.25">
      <c r="A21" s="340"/>
      <c r="B21" s="337" t="s">
        <v>220</v>
      </c>
      <c r="C21" s="5" t="s">
        <v>17</v>
      </c>
      <c r="D21" s="298">
        <f>D24+D27</f>
        <v>0</v>
      </c>
      <c r="E21" s="298">
        <f t="shared" ref="E21:G21" si="10">E24+E27</f>
        <v>33.164100000000005</v>
      </c>
      <c r="F21" s="298">
        <f t="shared" si="10"/>
        <v>0</v>
      </c>
      <c r="G21" s="298">
        <f t="shared" si="10"/>
        <v>0</v>
      </c>
      <c r="H21" s="294">
        <f t="shared" si="2"/>
        <v>0</v>
      </c>
      <c r="I21" s="298"/>
      <c r="J21" s="132"/>
      <c r="K21" s="132"/>
      <c r="L21" s="132"/>
      <c r="M21" s="132"/>
      <c r="N21" s="137"/>
      <c r="O21" s="162"/>
      <c r="P21" s="162"/>
      <c r="Q21" s="162"/>
      <c r="R21" s="162"/>
      <c r="S21" s="162"/>
      <c r="T21" s="162"/>
      <c r="U21" s="162"/>
      <c r="V21" s="162"/>
      <c r="W21" s="138"/>
    </row>
    <row r="22" spans="1:23" ht="31.9" customHeight="1" x14ac:dyDescent="0.25">
      <c r="A22" s="340" t="s">
        <v>24</v>
      </c>
      <c r="B22" s="341" t="s">
        <v>25</v>
      </c>
      <c r="C22" s="340" t="s">
        <v>6</v>
      </c>
      <c r="D22" s="294"/>
      <c r="E22" s="294">
        <f>5.33+3.32</f>
        <v>8.65</v>
      </c>
      <c r="F22" s="298"/>
      <c r="G22" s="294">
        <v>0</v>
      </c>
      <c r="H22" s="294">
        <f t="shared" si="2"/>
        <v>0</v>
      </c>
      <c r="I22" s="298"/>
      <c r="J22" s="116"/>
      <c r="K22" s="116"/>
      <c r="L22" s="116"/>
      <c r="M22" s="116"/>
      <c r="N22" s="117"/>
      <c r="O22" s="118"/>
      <c r="P22" s="118"/>
      <c r="Q22" s="118"/>
      <c r="R22" s="118"/>
      <c r="S22" s="118"/>
      <c r="T22" s="118"/>
      <c r="U22" s="162"/>
      <c r="V22" s="162"/>
      <c r="W22" s="138"/>
    </row>
    <row r="23" spans="1:23" ht="31.9" customHeight="1" x14ac:dyDescent="0.25">
      <c r="A23" s="340"/>
      <c r="B23" s="337" t="s">
        <v>218</v>
      </c>
      <c r="C23" s="5" t="s">
        <v>219</v>
      </c>
      <c r="D23" s="298">
        <v>38.299999999999997</v>
      </c>
      <c r="E23" s="298">
        <v>38.340000000000003</v>
      </c>
      <c r="F23" s="298"/>
      <c r="G23" s="298"/>
      <c r="H23" s="294">
        <f t="shared" si="2"/>
        <v>0</v>
      </c>
      <c r="I23" s="298"/>
      <c r="J23" s="116"/>
      <c r="K23" s="116"/>
      <c r="L23" s="116"/>
      <c r="M23" s="116"/>
      <c r="N23" s="117"/>
      <c r="O23" s="118"/>
      <c r="P23" s="118"/>
      <c r="Q23" s="118"/>
      <c r="R23" s="118"/>
      <c r="S23" s="118"/>
      <c r="T23" s="118"/>
      <c r="U23" s="162"/>
      <c r="V23" s="162"/>
      <c r="W23" s="138"/>
    </row>
    <row r="24" spans="1:23" ht="31.9" customHeight="1" x14ac:dyDescent="0.25">
      <c r="A24" s="340"/>
      <c r="B24" s="337" t="s">
        <v>220</v>
      </c>
      <c r="C24" s="5" t="s">
        <v>17</v>
      </c>
      <c r="D24" s="298">
        <f>D22*D23/10</f>
        <v>0</v>
      </c>
      <c r="E24" s="298">
        <f t="shared" ref="E24:G24" si="11">E22*E23/10</f>
        <v>33.164100000000005</v>
      </c>
      <c r="F24" s="298">
        <f t="shared" si="11"/>
        <v>0</v>
      </c>
      <c r="G24" s="298">
        <f t="shared" si="11"/>
        <v>0</v>
      </c>
      <c r="H24" s="294">
        <f t="shared" si="2"/>
        <v>0</v>
      </c>
      <c r="I24" s="298"/>
      <c r="J24" s="116"/>
      <c r="K24" s="116"/>
      <c r="L24" s="116"/>
      <c r="M24" s="116"/>
      <c r="N24" s="117"/>
      <c r="O24" s="118"/>
      <c r="P24" s="118"/>
      <c r="Q24" s="118"/>
      <c r="R24" s="118"/>
      <c r="S24" s="118"/>
      <c r="T24" s="118"/>
      <c r="U24" s="162"/>
      <c r="V24" s="162"/>
      <c r="W24" s="138"/>
    </row>
    <row r="25" spans="1:23" ht="31.9" customHeight="1" x14ac:dyDescent="0.25">
      <c r="A25" s="340" t="s">
        <v>24</v>
      </c>
      <c r="B25" s="341" t="s">
        <v>26</v>
      </c>
      <c r="C25" s="340" t="s">
        <v>6</v>
      </c>
      <c r="D25" s="294"/>
      <c r="E25" s="298"/>
      <c r="F25" s="298"/>
      <c r="G25" s="298">
        <v>0</v>
      </c>
      <c r="H25" s="294"/>
      <c r="I25" s="298"/>
      <c r="J25" s="116"/>
      <c r="K25" s="116"/>
      <c r="L25" s="116"/>
      <c r="M25" s="116"/>
      <c r="N25" s="116"/>
      <c r="O25" s="119"/>
      <c r="P25" s="119"/>
      <c r="Q25" s="115"/>
      <c r="R25" s="115"/>
      <c r="S25" s="115"/>
      <c r="T25" s="115"/>
      <c r="U25" s="138"/>
      <c r="V25" s="138"/>
      <c r="W25" s="138"/>
    </row>
    <row r="26" spans="1:23" ht="31.9" customHeight="1" x14ac:dyDescent="0.25">
      <c r="A26" s="340"/>
      <c r="B26" s="337" t="s">
        <v>218</v>
      </c>
      <c r="C26" s="5" t="s">
        <v>219</v>
      </c>
      <c r="D26" s="298">
        <v>15.2</v>
      </c>
      <c r="E26" s="298">
        <v>0</v>
      </c>
      <c r="F26" s="298"/>
      <c r="G26" s="298"/>
      <c r="H26" s="298"/>
      <c r="I26" s="298"/>
      <c r="J26" s="116"/>
      <c r="K26" s="116"/>
      <c r="L26" s="116"/>
      <c r="M26" s="116"/>
      <c r="N26" s="116"/>
      <c r="O26" s="119"/>
      <c r="P26" s="119"/>
      <c r="Q26" s="115"/>
      <c r="R26" s="115"/>
      <c r="S26" s="115"/>
      <c r="T26" s="115"/>
      <c r="U26" s="138"/>
      <c r="V26" s="138"/>
      <c r="W26" s="138"/>
    </row>
    <row r="27" spans="1:23" ht="31.9" customHeight="1" x14ac:dyDescent="0.25">
      <c r="A27" s="340"/>
      <c r="B27" s="337" t="s">
        <v>220</v>
      </c>
      <c r="C27" s="5" t="s">
        <v>17</v>
      </c>
      <c r="D27" s="294">
        <f>D25*D26/10</f>
        <v>0</v>
      </c>
      <c r="E27" s="294">
        <f t="shared" ref="E27" si="12">E25*E26/10</f>
        <v>0</v>
      </c>
      <c r="F27" s="298"/>
      <c r="G27" s="298"/>
      <c r="H27" s="298"/>
      <c r="I27" s="294"/>
      <c r="J27" s="116"/>
      <c r="K27" s="116"/>
      <c r="L27" s="116"/>
      <c r="M27" s="116"/>
      <c r="N27" s="116"/>
      <c r="O27" s="119"/>
      <c r="P27" s="119"/>
      <c r="Q27" s="115"/>
      <c r="R27" s="115"/>
      <c r="S27" s="115"/>
      <c r="T27" s="115"/>
      <c r="U27" s="138"/>
      <c r="V27" s="138"/>
      <c r="W27" s="138"/>
    </row>
    <row r="28" spans="1:23" ht="31.9" customHeight="1" x14ac:dyDescent="0.25">
      <c r="A28" s="332" t="s">
        <v>7</v>
      </c>
      <c r="B28" s="333" t="s">
        <v>27</v>
      </c>
      <c r="C28" s="332" t="s">
        <v>6</v>
      </c>
      <c r="D28" s="294">
        <f t="shared" ref="D28:G28" si="13">D31+D34</f>
        <v>1</v>
      </c>
      <c r="E28" s="294">
        <f t="shared" si="13"/>
        <v>1</v>
      </c>
      <c r="F28" s="294">
        <f t="shared" si="13"/>
        <v>0</v>
      </c>
      <c r="G28" s="294">
        <f t="shared" si="13"/>
        <v>0</v>
      </c>
      <c r="H28" s="294">
        <f t="shared" si="2"/>
        <v>0</v>
      </c>
      <c r="I28" s="294"/>
      <c r="J28" s="120"/>
      <c r="K28" s="120"/>
      <c r="L28" s="120"/>
      <c r="M28" s="120"/>
      <c r="N28" s="120"/>
      <c r="O28" s="115"/>
      <c r="P28" s="115"/>
      <c r="Q28" s="115"/>
      <c r="R28" s="115"/>
      <c r="S28" s="115"/>
      <c r="T28" s="115"/>
      <c r="U28" s="138"/>
      <c r="V28" s="138"/>
      <c r="W28" s="138"/>
    </row>
    <row r="29" spans="1:23" ht="31.9" customHeight="1" x14ac:dyDescent="0.25">
      <c r="A29" s="332"/>
      <c r="B29" s="337" t="s">
        <v>218</v>
      </c>
      <c r="C29" s="5" t="s">
        <v>219</v>
      </c>
      <c r="D29" s="298">
        <f>D30/D28*10</f>
        <v>36.85</v>
      </c>
      <c r="E29" s="298">
        <f t="shared" ref="E29:G29" si="14">E30/E28*10</f>
        <v>36.9</v>
      </c>
      <c r="F29" s="298"/>
      <c r="G29" s="298" t="e">
        <f t="shared" si="14"/>
        <v>#DIV/0!</v>
      </c>
      <c r="H29" s="298">
        <f t="shared" si="2"/>
        <v>0</v>
      </c>
      <c r="I29" s="298"/>
      <c r="J29" s="120"/>
      <c r="K29" s="120"/>
      <c r="L29" s="120"/>
      <c r="M29" s="120"/>
      <c r="N29" s="120"/>
      <c r="O29" s="115"/>
      <c r="P29" s="115"/>
      <c r="Q29" s="115"/>
      <c r="R29" s="115"/>
      <c r="S29" s="115"/>
      <c r="T29" s="115"/>
      <c r="U29" s="138"/>
      <c r="V29" s="138"/>
      <c r="W29" s="138"/>
    </row>
    <row r="30" spans="1:23" ht="31.9" customHeight="1" x14ac:dyDescent="0.25">
      <c r="A30" s="332"/>
      <c r="B30" s="337" t="s">
        <v>220</v>
      </c>
      <c r="C30" s="5" t="s">
        <v>17</v>
      </c>
      <c r="D30" s="298">
        <f>D33+D36</f>
        <v>3.6850000000000001</v>
      </c>
      <c r="E30" s="298">
        <f>E33+E36</f>
        <v>3.69</v>
      </c>
      <c r="F30" s="298">
        <f t="shared" ref="F30:G30" si="15">F33+F36</f>
        <v>0</v>
      </c>
      <c r="G30" s="298">
        <f t="shared" si="15"/>
        <v>0</v>
      </c>
      <c r="H30" s="298">
        <f t="shared" si="2"/>
        <v>0</v>
      </c>
      <c r="I30" s="298"/>
      <c r="J30" s="120"/>
      <c r="K30" s="120"/>
      <c r="L30" s="120"/>
      <c r="M30" s="120"/>
      <c r="N30" s="120"/>
      <c r="O30" s="115"/>
      <c r="P30" s="115"/>
      <c r="Q30" s="115"/>
      <c r="R30" s="115"/>
      <c r="S30" s="115"/>
      <c r="T30" s="115"/>
      <c r="U30" s="138"/>
      <c r="V30" s="138"/>
      <c r="W30" s="138"/>
    </row>
    <row r="31" spans="1:23" ht="31.9" customHeight="1" x14ac:dyDescent="0.25">
      <c r="A31" s="340" t="s">
        <v>20</v>
      </c>
      <c r="B31" s="342" t="s">
        <v>28</v>
      </c>
      <c r="C31" s="340" t="s">
        <v>6</v>
      </c>
      <c r="D31" s="294"/>
      <c r="E31" s="294"/>
      <c r="F31" s="294"/>
      <c r="G31" s="294"/>
      <c r="H31" s="294"/>
      <c r="I31" s="294"/>
      <c r="J31" s="120"/>
      <c r="K31" s="120"/>
      <c r="L31" s="120"/>
      <c r="M31" s="120"/>
      <c r="N31" s="120"/>
      <c r="O31" s="115"/>
      <c r="P31" s="115"/>
      <c r="Q31" s="115"/>
      <c r="R31" s="115"/>
      <c r="S31" s="115"/>
      <c r="T31" s="115"/>
      <c r="U31" s="138"/>
      <c r="V31" s="138"/>
      <c r="W31" s="138"/>
    </row>
    <row r="32" spans="1:23" ht="31.9" customHeight="1" x14ac:dyDescent="0.25">
      <c r="A32" s="340"/>
      <c r="B32" s="337" t="s">
        <v>218</v>
      </c>
      <c r="C32" s="5" t="s">
        <v>219</v>
      </c>
      <c r="D32" s="294"/>
      <c r="E32" s="294"/>
      <c r="F32" s="294"/>
      <c r="G32" s="298"/>
      <c r="H32" s="298"/>
      <c r="I32" s="294"/>
      <c r="J32" s="120"/>
      <c r="K32" s="120"/>
      <c r="L32" s="120"/>
      <c r="M32" s="120"/>
      <c r="N32" s="120"/>
      <c r="O32" s="115"/>
      <c r="P32" s="115"/>
      <c r="Q32" s="115"/>
      <c r="R32" s="115"/>
      <c r="S32" s="115"/>
      <c r="T32" s="115"/>
      <c r="U32" s="138"/>
      <c r="V32" s="138"/>
      <c r="W32" s="138"/>
    </row>
    <row r="33" spans="1:23" ht="31.9" customHeight="1" x14ac:dyDescent="0.25">
      <c r="A33" s="340"/>
      <c r="B33" s="337" t="s">
        <v>220</v>
      </c>
      <c r="C33" s="5" t="s">
        <v>17</v>
      </c>
      <c r="D33" s="294"/>
      <c r="E33" s="294"/>
      <c r="F33" s="294"/>
      <c r="G33" s="298"/>
      <c r="H33" s="298"/>
      <c r="I33" s="294"/>
      <c r="J33" s="120"/>
      <c r="K33" s="120"/>
      <c r="L33" s="120"/>
      <c r="M33" s="120"/>
      <c r="N33" s="120"/>
      <c r="O33" s="115"/>
      <c r="P33" s="115"/>
      <c r="Q33" s="115"/>
      <c r="R33" s="115"/>
      <c r="S33" s="115"/>
      <c r="T33" s="115"/>
      <c r="U33" s="138"/>
      <c r="V33" s="138"/>
      <c r="W33" s="138"/>
    </row>
    <row r="34" spans="1:23" ht="31.9" customHeight="1" x14ac:dyDescent="0.25">
      <c r="A34" s="340" t="s">
        <v>22</v>
      </c>
      <c r="B34" s="341" t="s">
        <v>29</v>
      </c>
      <c r="C34" s="340" t="s">
        <v>6</v>
      </c>
      <c r="D34" s="314">
        <v>1</v>
      </c>
      <c r="E34" s="314">
        <v>1</v>
      </c>
      <c r="F34" s="314">
        <v>0</v>
      </c>
      <c r="G34" s="314">
        <v>0</v>
      </c>
      <c r="H34" s="294">
        <f t="shared" si="2"/>
        <v>0</v>
      </c>
      <c r="I34" s="298"/>
      <c r="J34" s="155"/>
      <c r="K34" s="155"/>
      <c r="L34" s="155"/>
      <c r="M34" s="155"/>
      <c r="N34" s="155"/>
      <c r="O34" s="138"/>
      <c r="P34" s="138"/>
      <c r="Q34" s="138"/>
      <c r="R34" s="138"/>
      <c r="S34" s="138"/>
      <c r="T34" s="138"/>
      <c r="U34" s="138"/>
      <c r="V34" s="138"/>
      <c r="W34" s="138"/>
    </row>
    <row r="35" spans="1:23" ht="31.9" customHeight="1" x14ac:dyDescent="0.25">
      <c r="A35" s="340"/>
      <c r="B35" s="337" t="s">
        <v>218</v>
      </c>
      <c r="C35" s="5" t="s">
        <v>219</v>
      </c>
      <c r="D35" s="298">
        <v>36.85</v>
      </c>
      <c r="E35" s="298">
        <v>36.9</v>
      </c>
      <c r="F35" s="298"/>
      <c r="G35" s="298"/>
      <c r="H35" s="294">
        <f t="shared" si="2"/>
        <v>0</v>
      </c>
      <c r="I35" s="298"/>
      <c r="J35" s="155"/>
      <c r="K35" s="169"/>
      <c r="L35" s="169"/>
      <c r="M35" s="169"/>
      <c r="N35" s="169"/>
      <c r="O35" s="169"/>
      <c r="P35" s="162"/>
      <c r="Q35" s="162"/>
      <c r="R35" s="162"/>
      <c r="S35" s="138"/>
      <c r="T35" s="138"/>
      <c r="U35" s="138"/>
      <c r="V35" s="138"/>
      <c r="W35" s="138"/>
    </row>
    <row r="36" spans="1:23" ht="31.9" customHeight="1" x14ac:dyDescent="0.25">
      <c r="A36" s="340"/>
      <c r="B36" s="337" t="s">
        <v>220</v>
      </c>
      <c r="C36" s="5" t="s">
        <v>17</v>
      </c>
      <c r="D36" s="298">
        <f>D34*D35/10</f>
        <v>3.6850000000000001</v>
      </c>
      <c r="E36" s="298">
        <f t="shared" ref="E36:G36" si="16">E34*E35/10</f>
        <v>3.69</v>
      </c>
      <c r="F36" s="298">
        <f t="shared" si="16"/>
        <v>0</v>
      </c>
      <c r="G36" s="298">
        <f t="shared" si="16"/>
        <v>0</v>
      </c>
      <c r="H36" s="294">
        <f t="shared" si="2"/>
        <v>0</v>
      </c>
      <c r="I36" s="298"/>
      <c r="J36" s="155"/>
      <c r="K36" s="137"/>
      <c r="L36" s="137"/>
      <c r="M36" s="137"/>
      <c r="N36" s="137"/>
      <c r="O36" s="137"/>
      <c r="P36" s="162"/>
      <c r="Q36" s="162"/>
      <c r="R36" s="162"/>
      <c r="S36" s="138"/>
      <c r="T36" s="138"/>
      <c r="U36" s="138"/>
      <c r="V36" s="138"/>
      <c r="W36" s="138"/>
    </row>
    <row r="37" spans="1:23" ht="31.9" customHeight="1" x14ac:dyDescent="0.25">
      <c r="A37" s="332">
        <v>2</v>
      </c>
      <c r="B37" s="333" t="s">
        <v>30</v>
      </c>
      <c r="C37" s="332" t="s">
        <v>6</v>
      </c>
      <c r="D37" s="294"/>
      <c r="E37" s="294">
        <v>6.34</v>
      </c>
      <c r="F37" s="294">
        <v>0</v>
      </c>
      <c r="G37" s="294">
        <v>0</v>
      </c>
      <c r="H37" s="294">
        <f t="shared" si="2"/>
        <v>0</v>
      </c>
      <c r="I37" s="298"/>
      <c r="J37" s="116"/>
      <c r="K37" s="210"/>
      <c r="L37" s="210"/>
      <c r="M37" s="116"/>
      <c r="N37" s="116"/>
      <c r="O37" s="116"/>
      <c r="P37" s="119"/>
      <c r="Q37" s="119"/>
      <c r="R37" s="119"/>
      <c r="S37" s="119"/>
      <c r="T37" s="119"/>
      <c r="U37" s="119"/>
      <c r="V37" s="138"/>
      <c r="W37" s="138"/>
    </row>
    <row r="38" spans="1:23" ht="31.9" customHeight="1" x14ac:dyDescent="0.25">
      <c r="A38" s="332"/>
      <c r="B38" s="337" t="s">
        <v>218</v>
      </c>
      <c r="C38" s="5" t="s">
        <v>219</v>
      </c>
      <c r="D38" s="294"/>
      <c r="E38" s="298">
        <v>140</v>
      </c>
      <c r="F38" s="298"/>
      <c r="G38" s="298"/>
      <c r="H38" s="294">
        <f t="shared" si="2"/>
        <v>0</v>
      </c>
      <c r="I38" s="298"/>
      <c r="J38" s="116"/>
      <c r="K38" s="116"/>
      <c r="L38" s="116"/>
      <c r="M38" s="116"/>
      <c r="N38" s="116"/>
      <c r="O38" s="116"/>
      <c r="P38" s="119"/>
      <c r="Q38" s="119"/>
      <c r="R38" s="119"/>
      <c r="S38" s="119"/>
      <c r="T38" s="119"/>
      <c r="U38" s="119"/>
      <c r="V38" s="138"/>
      <c r="W38" s="138"/>
    </row>
    <row r="39" spans="1:23" ht="31.9" customHeight="1" x14ac:dyDescent="0.25">
      <c r="A39" s="345"/>
      <c r="B39" s="346" t="s">
        <v>220</v>
      </c>
      <c r="C39" s="347" t="s">
        <v>17</v>
      </c>
      <c r="D39" s="310"/>
      <c r="E39" s="311">
        <f>E37*E38/10</f>
        <v>88.76</v>
      </c>
      <c r="F39" s="311">
        <f t="shared" ref="F39:G39" si="17">F37*F38/10</f>
        <v>0</v>
      </c>
      <c r="G39" s="311">
        <f t="shared" si="17"/>
        <v>0</v>
      </c>
      <c r="H39" s="294">
        <f t="shared" si="2"/>
        <v>0</v>
      </c>
      <c r="I39" s="298"/>
      <c r="J39" s="116"/>
      <c r="K39" s="116"/>
      <c r="L39" s="116"/>
      <c r="M39" s="116"/>
      <c r="N39" s="116"/>
      <c r="O39" s="116"/>
      <c r="P39" s="119"/>
      <c r="Q39" s="119"/>
      <c r="R39" s="119"/>
      <c r="S39" s="119"/>
      <c r="T39" s="119"/>
      <c r="U39" s="119"/>
      <c r="V39" s="138"/>
      <c r="W39" s="138"/>
    </row>
    <row r="40" spans="1:23" ht="31.9" customHeight="1" x14ac:dyDescent="0.25">
      <c r="A40" s="332">
        <v>3</v>
      </c>
      <c r="B40" s="333" t="s">
        <v>241</v>
      </c>
      <c r="C40" s="332" t="s">
        <v>6</v>
      </c>
      <c r="D40" s="294"/>
      <c r="E40" s="294">
        <v>0</v>
      </c>
      <c r="F40" s="294">
        <v>0</v>
      </c>
      <c r="G40" s="294">
        <v>0</v>
      </c>
      <c r="H40" s="294"/>
      <c r="I40" s="298"/>
      <c r="J40" s="116"/>
      <c r="K40" s="116"/>
      <c r="L40" s="116"/>
      <c r="M40" s="116"/>
      <c r="N40" s="116"/>
      <c r="O40" s="116"/>
      <c r="P40" s="119"/>
      <c r="Q40" s="119"/>
      <c r="R40" s="119"/>
      <c r="S40" s="119"/>
      <c r="T40" s="119"/>
      <c r="U40" s="119"/>
      <c r="V40" s="138"/>
      <c r="W40" s="138"/>
    </row>
    <row r="41" spans="1:23" ht="31.9" customHeight="1" x14ac:dyDescent="0.25">
      <c r="A41" s="332"/>
      <c r="B41" s="337" t="s">
        <v>218</v>
      </c>
      <c r="C41" s="5" t="s">
        <v>219</v>
      </c>
      <c r="D41" s="298"/>
      <c r="E41" s="298">
        <v>24.1</v>
      </c>
      <c r="F41" s="298"/>
      <c r="G41" s="298"/>
      <c r="H41" s="294">
        <f t="shared" si="2"/>
        <v>0</v>
      </c>
      <c r="I41" s="298"/>
      <c r="J41" s="116"/>
      <c r="K41" s="116"/>
      <c r="L41" s="116"/>
      <c r="M41" s="116"/>
      <c r="N41" s="116"/>
      <c r="O41" s="116"/>
      <c r="P41" s="119"/>
      <c r="Q41" s="119"/>
      <c r="R41" s="119"/>
      <c r="S41" s="119"/>
      <c r="T41" s="119"/>
      <c r="U41" s="119"/>
      <c r="V41" s="138"/>
      <c r="W41" s="138"/>
    </row>
    <row r="42" spans="1:23" ht="31.9" customHeight="1" x14ac:dyDescent="0.25">
      <c r="A42" s="332"/>
      <c r="B42" s="346" t="s">
        <v>220</v>
      </c>
      <c r="C42" s="347" t="s">
        <v>17</v>
      </c>
      <c r="D42" s="298"/>
      <c r="E42" s="298">
        <f>E40*E41/10</f>
        <v>0</v>
      </c>
      <c r="F42" s="298">
        <f t="shared" ref="F42:G42" si="18">F40*F41/10</f>
        <v>0</v>
      </c>
      <c r="G42" s="298">
        <f t="shared" si="18"/>
        <v>0</v>
      </c>
      <c r="H42" s="294"/>
      <c r="I42" s="298"/>
      <c r="J42" s="116"/>
      <c r="K42" s="116"/>
      <c r="L42" s="116"/>
      <c r="M42" s="116"/>
      <c r="N42" s="116"/>
      <c r="O42" s="116"/>
      <c r="P42" s="119"/>
      <c r="Q42" s="119"/>
      <c r="R42" s="119"/>
      <c r="S42" s="119"/>
      <c r="T42" s="119"/>
      <c r="U42" s="119"/>
      <c r="V42" s="138"/>
      <c r="W42" s="138"/>
    </row>
    <row r="43" spans="1:23" ht="31.9" customHeight="1" x14ac:dyDescent="0.25">
      <c r="A43" s="332">
        <v>4</v>
      </c>
      <c r="B43" s="335" t="s">
        <v>242</v>
      </c>
      <c r="C43" s="3" t="s">
        <v>6</v>
      </c>
      <c r="D43" s="294">
        <v>0.5</v>
      </c>
      <c r="E43" s="294">
        <v>0.5</v>
      </c>
      <c r="F43" s="294">
        <v>0.27300000000000002</v>
      </c>
      <c r="G43" s="294">
        <f>F43</f>
        <v>0.27300000000000002</v>
      </c>
      <c r="H43" s="294">
        <f t="shared" si="2"/>
        <v>54.6</v>
      </c>
      <c r="I43" s="294"/>
      <c r="J43" s="155"/>
      <c r="K43" s="215"/>
      <c r="L43" s="215"/>
      <c r="M43" s="215"/>
      <c r="N43" s="215"/>
      <c r="O43" s="215"/>
      <c r="P43" s="138"/>
      <c r="Q43" s="138"/>
      <c r="R43" s="138"/>
      <c r="S43" s="138"/>
      <c r="T43" s="138"/>
      <c r="U43" s="138"/>
      <c r="V43" s="138"/>
      <c r="W43" s="138"/>
    </row>
    <row r="44" spans="1:23" ht="31.9" customHeight="1" x14ac:dyDescent="0.25">
      <c r="A44" s="343"/>
      <c r="B44" s="337" t="s">
        <v>218</v>
      </c>
      <c r="C44" s="5" t="s">
        <v>219</v>
      </c>
      <c r="D44" s="296">
        <v>100</v>
      </c>
      <c r="E44" s="296">
        <v>98.5</v>
      </c>
      <c r="F44" s="298"/>
      <c r="G44" s="298"/>
      <c r="H44" s="294">
        <f t="shared" si="2"/>
        <v>0</v>
      </c>
      <c r="I44" s="298"/>
      <c r="J44" s="155"/>
      <c r="K44" s="249"/>
      <c r="L44" s="155"/>
      <c r="M44" s="155"/>
      <c r="N44" s="155"/>
      <c r="O44" s="138"/>
      <c r="P44" s="138"/>
      <c r="Q44" s="138"/>
      <c r="R44" s="138"/>
      <c r="S44" s="138"/>
      <c r="T44" s="138"/>
      <c r="U44" s="138"/>
      <c r="V44" s="138"/>
      <c r="W44" s="138"/>
    </row>
    <row r="45" spans="1:23" ht="31.9" customHeight="1" x14ac:dyDescent="0.25">
      <c r="A45" s="343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19">F43*F44/10</f>
        <v>0</v>
      </c>
      <c r="G45" s="296">
        <f t="shared" si="19"/>
        <v>0</v>
      </c>
      <c r="H45" s="294">
        <f t="shared" si="2"/>
        <v>0</v>
      </c>
      <c r="I45" s="298"/>
      <c r="J45" s="155"/>
      <c r="K45" s="155"/>
      <c r="L45" s="155"/>
      <c r="M45" s="155"/>
      <c r="N45" s="155"/>
      <c r="O45" s="138"/>
      <c r="P45" s="138"/>
      <c r="Q45" s="138"/>
      <c r="R45" s="138"/>
      <c r="S45" s="138"/>
      <c r="T45" s="138"/>
      <c r="U45" s="138"/>
      <c r="V45" s="138"/>
      <c r="W45" s="138"/>
    </row>
    <row r="46" spans="1:23" ht="31.9" customHeight="1" x14ac:dyDescent="0.25">
      <c r="A46" s="332">
        <v>5</v>
      </c>
      <c r="B46" s="333" t="s">
        <v>32</v>
      </c>
      <c r="C46" s="332" t="s">
        <v>6</v>
      </c>
      <c r="D46" s="294">
        <f>D47+D55+D64</f>
        <v>29.52</v>
      </c>
      <c r="E46" s="294">
        <f t="shared" ref="E46:G46" si="20">E47+E55+E64</f>
        <v>35.519999999999996</v>
      </c>
      <c r="F46" s="294">
        <f t="shared" si="20"/>
        <v>29.82</v>
      </c>
      <c r="G46" s="294">
        <f t="shared" si="20"/>
        <v>29.82</v>
      </c>
      <c r="H46" s="294">
        <f t="shared" si="2"/>
        <v>83.952702702702709</v>
      </c>
      <c r="I46" s="294"/>
      <c r="J46" s="155"/>
      <c r="K46" s="155"/>
      <c r="L46" s="155"/>
      <c r="M46" s="155"/>
      <c r="N46" s="155"/>
      <c r="O46" s="138"/>
      <c r="P46" s="138"/>
      <c r="Q46" s="138"/>
      <c r="R46" s="138"/>
      <c r="S46" s="138"/>
      <c r="T46" s="138"/>
      <c r="U46" s="138"/>
      <c r="V46" s="138"/>
      <c r="W46" s="138"/>
    </row>
    <row r="47" spans="1:23" ht="31.9" customHeight="1" x14ac:dyDescent="0.25">
      <c r="A47" s="350" t="s">
        <v>33</v>
      </c>
      <c r="B47" s="333" t="s">
        <v>34</v>
      </c>
      <c r="C47" s="332" t="s">
        <v>6</v>
      </c>
      <c r="D47" s="294">
        <f>D48+D49</f>
        <v>25.02</v>
      </c>
      <c r="E47" s="294">
        <f t="shared" ref="E47:G47" si="21">E48+E49</f>
        <v>30.02</v>
      </c>
      <c r="F47" s="294">
        <f t="shared" si="21"/>
        <v>25.02</v>
      </c>
      <c r="G47" s="294">
        <f t="shared" si="21"/>
        <v>25.02</v>
      </c>
      <c r="H47" s="294">
        <f t="shared" si="2"/>
        <v>83.344437041972014</v>
      </c>
      <c r="I47" s="294"/>
      <c r="J47" s="155"/>
      <c r="K47" s="155"/>
      <c r="L47" s="155"/>
      <c r="M47" s="155"/>
      <c r="N47" s="155"/>
      <c r="O47" s="138"/>
      <c r="P47" s="138"/>
      <c r="Q47" s="138"/>
      <c r="R47" s="138"/>
      <c r="S47" s="138"/>
      <c r="T47" s="138"/>
      <c r="U47" s="138"/>
      <c r="V47" s="138"/>
      <c r="W47" s="138"/>
    </row>
    <row r="48" spans="1:23" ht="31.9" customHeight="1" x14ac:dyDescent="0.25">
      <c r="A48" s="351" t="s">
        <v>24</v>
      </c>
      <c r="B48" s="352" t="s">
        <v>196</v>
      </c>
      <c r="C48" s="353" t="s">
        <v>6</v>
      </c>
      <c r="D48" s="298">
        <v>18</v>
      </c>
      <c r="E48" s="298">
        <f>D48+D49</f>
        <v>25.02</v>
      </c>
      <c r="F48" s="298">
        <v>25.02</v>
      </c>
      <c r="G48" s="298">
        <v>25.02</v>
      </c>
      <c r="H48" s="294">
        <f t="shared" si="2"/>
        <v>100</v>
      </c>
      <c r="I48" s="298"/>
      <c r="J48" s="116"/>
      <c r="K48" s="116"/>
      <c r="L48" s="116"/>
      <c r="M48" s="116"/>
      <c r="N48" s="116"/>
      <c r="O48" s="119"/>
      <c r="P48" s="119"/>
      <c r="Q48" s="119"/>
      <c r="R48" s="119"/>
      <c r="S48" s="138"/>
      <c r="T48" s="138"/>
      <c r="U48" s="138"/>
      <c r="V48" s="138"/>
      <c r="W48" s="138"/>
    </row>
    <row r="49" spans="1:23" s="131" customFormat="1" ht="31.9" customHeight="1" x14ac:dyDescent="0.25">
      <c r="A49" s="332" t="s">
        <v>20</v>
      </c>
      <c r="B49" s="333" t="s">
        <v>186</v>
      </c>
      <c r="C49" s="354" t="s">
        <v>6</v>
      </c>
      <c r="D49" s="294">
        <f>D50+D51</f>
        <v>7.02</v>
      </c>
      <c r="E49" s="294">
        <f t="shared" ref="E49:G49" si="22">E50+E51</f>
        <v>5</v>
      </c>
      <c r="F49" s="294">
        <f t="shared" si="22"/>
        <v>0</v>
      </c>
      <c r="G49" s="294">
        <f t="shared" si="22"/>
        <v>0</v>
      </c>
      <c r="H49" s="294">
        <f t="shared" si="2"/>
        <v>0</v>
      </c>
      <c r="I49" s="294"/>
      <c r="J49" s="228"/>
      <c r="K49" s="210"/>
      <c r="L49" s="210"/>
      <c r="M49" s="251"/>
      <c r="N49" s="251"/>
      <c r="O49" s="143"/>
      <c r="P49" s="143"/>
      <c r="Q49" s="143"/>
      <c r="R49" s="143"/>
      <c r="S49" s="143"/>
      <c r="T49" s="143"/>
      <c r="U49" s="143"/>
      <c r="V49" s="143"/>
      <c r="W49" s="143"/>
    </row>
    <row r="50" spans="1:23" ht="31.9" customHeight="1" x14ac:dyDescent="0.25">
      <c r="A50" s="353" t="s">
        <v>18</v>
      </c>
      <c r="B50" s="355" t="s">
        <v>194</v>
      </c>
      <c r="C50" s="353" t="s">
        <v>6</v>
      </c>
      <c r="D50" s="298">
        <v>5.54</v>
      </c>
      <c r="E50" s="298">
        <f>8-3</f>
        <v>5</v>
      </c>
      <c r="F50" s="298">
        <v>0</v>
      </c>
      <c r="G50" s="298">
        <v>0</v>
      </c>
      <c r="H50" s="298">
        <f t="shared" si="2"/>
        <v>0</v>
      </c>
      <c r="I50" s="298"/>
      <c r="J50" s="134"/>
      <c r="K50" s="116"/>
      <c r="L50" s="155"/>
      <c r="M50" s="155"/>
      <c r="N50" s="155"/>
      <c r="O50" s="138"/>
      <c r="P50" s="138"/>
      <c r="Q50" s="138"/>
      <c r="R50" s="138"/>
      <c r="S50" s="138"/>
      <c r="T50" s="138"/>
      <c r="U50" s="138"/>
      <c r="V50" s="138"/>
      <c r="W50" s="138"/>
    </row>
    <row r="51" spans="1:23" ht="31.9" customHeight="1" x14ac:dyDescent="0.25">
      <c r="A51" s="353" t="s">
        <v>18</v>
      </c>
      <c r="B51" s="355" t="s">
        <v>35</v>
      </c>
      <c r="C51" s="343" t="s">
        <v>6</v>
      </c>
      <c r="D51" s="298">
        <v>1.48</v>
      </c>
      <c r="E51" s="298"/>
      <c r="F51" s="298"/>
      <c r="G51" s="298"/>
      <c r="H51" s="298"/>
      <c r="I51" s="298"/>
      <c r="J51" s="155"/>
      <c r="K51" s="155"/>
      <c r="L51" s="155"/>
      <c r="M51" s="155"/>
      <c r="N51" s="155"/>
      <c r="O51" s="138"/>
      <c r="P51" s="138"/>
      <c r="Q51" s="138"/>
      <c r="R51" s="138"/>
      <c r="S51" s="138"/>
      <c r="T51" s="138"/>
      <c r="U51" s="138"/>
      <c r="V51" s="138"/>
      <c r="W51" s="138"/>
    </row>
    <row r="52" spans="1:23" s="131" customFormat="1" ht="31.9" customHeight="1" x14ac:dyDescent="0.25">
      <c r="A52" s="331" t="s">
        <v>22</v>
      </c>
      <c r="B52" s="356" t="s">
        <v>197</v>
      </c>
      <c r="C52" s="332" t="s">
        <v>6</v>
      </c>
      <c r="D52" s="294">
        <f>D53+D54</f>
        <v>13.7</v>
      </c>
      <c r="E52" s="294">
        <f t="shared" ref="E52:G52" si="23">E53+E54</f>
        <v>15.299999999999999</v>
      </c>
      <c r="F52" s="294">
        <f t="shared" si="23"/>
        <v>15.3</v>
      </c>
      <c r="G52" s="294">
        <f t="shared" si="23"/>
        <v>15.3</v>
      </c>
      <c r="H52" s="294">
        <f t="shared" si="2"/>
        <v>100.00000000000003</v>
      </c>
      <c r="I52" s="294"/>
      <c r="J52" s="228"/>
      <c r="K52" s="228"/>
      <c r="L52" s="228"/>
      <c r="M52" s="228"/>
      <c r="N52" s="228"/>
      <c r="O52" s="143"/>
      <c r="P52" s="143"/>
      <c r="Q52" s="143"/>
      <c r="R52" s="143"/>
      <c r="S52" s="143"/>
      <c r="T52" s="143"/>
      <c r="U52" s="143"/>
      <c r="V52" s="143"/>
      <c r="W52" s="143"/>
    </row>
    <row r="53" spans="1:23" ht="31.9" customHeight="1" x14ac:dyDescent="0.25">
      <c r="A53" s="357" t="s">
        <v>18</v>
      </c>
      <c r="B53" s="355" t="s">
        <v>198</v>
      </c>
      <c r="C53" s="343" t="s">
        <v>6</v>
      </c>
      <c r="D53" s="298">
        <v>11.7</v>
      </c>
      <c r="E53" s="298">
        <f>D48*85%</f>
        <v>15.299999999999999</v>
      </c>
      <c r="F53" s="298">
        <v>15.3</v>
      </c>
      <c r="G53" s="298">
        <v>15.3</v>
      </c>
      <c r="H53" s="298">
        <f t="shared" si="2"/>
        <v>100.00000000000003</v>
      </c>
      <c r="I53" s="298"/>
      <c r="J53" s="155"/>
      <c r="K53" s="155"/>
      <c r="L53" s="155"/>
      <c r="M53" s="216"/>
      <c r="N53" s="155"/>
      <c r="O53" s="138"/>
      <c r="P53" s="138"/>
      <c r="Q53" s="138"/>
      <c r="R53" s="138"/>
      <c r="S53" s="138"/>
      <c r="T53" s="138"/>
      <c r="U53" s="138"/>
      <c r="V53" s="138"/>
      <c r="W53" s="138"/>
    </row>
    <row r="54" spans="1:23" ht="31.9" customHeight="1" x14ac:dyDescent="0.25">
      <c r="A54" s="343"/>
      <c r="B54" s="355" t="s">
        <v>199</v>
      </c>
      <c r="C54" s="343" t="s">
        <v>6</v>
      </c>
      <c r="D54" s="298">
        <v>2</v>
      </c>
      <c r="E54" s="298"/>
      <c r="F54" s="298"/>
      <c r="G54" s="298"/>
      <c r="H54" s="298"/>
      <c r="I54" s="298"/>
      <c r="J54" s="155"/>
      <c r="K54" s="155"/>
      <c r="L54" s="155"/>
      <c r="M54" s="155"/>
      <c r="N54" s="155"/>
      <c r="O54" s="138"/>
      <c r="P54" s="138"/>
      <c r="Q54" s="138"/>
      <c r="R54" s="138"/>
      <c r="S54" s="138"/>
      <c r="T54" s="138"/>
      <c r="U54" s="138"/>
      <c r="V54" s="138"/>
      <c r="W54" s="138"/>
    </row>
    <row r="55" spans="1:23" ht="31.9" customHeight="1" x14ac:dyDescent="0.25">
      <c r="A55" s="332" t="s">
        <v>40</v>
      </c>
      <c r="B55" s="333" t="s">
        <v>36</v>
      </c>
      <c r="C55" s="332" t="s">
        <v>6</v>
      </c>
      <c r="D55" s="294">
        <f>D56+D57</f>
        <v>4.5</v>
      </c>
      <c r="E55" s="294">
        <f t="shared" ref="E55:G55" si="24">E56+E57</f>
        <v>5.5</v>
      </c>
      <c r="F55" s="294">
        <f t="shared" si="24"/>
        <v>4.8</v>
      </c>
      <c r="G55" s="294">
        <f t="shared" si="24"/>
        <v>4.8</v>
      </c>
      <c r="H55" s="294">
        <f t="shared" si="2"/>
        <v>87.272727272727266</v>
      </c>
      <c r="I55" s="294"/>
      <c r="J55" s="155"/>
      <c r="K55" s="155"/>
      <c r="L55" s="155"/>
      <c r="M55" s="155"/>
      <c r="N55" s="155"/>
      <c r="O55" s="138"/>
      <c r="P55" s="138"/>
      <c r="Q55" s="138"/>
      <c r="R55" s="138"/>
      <c r="S55" s="138"/>
      <c r="T55" s="138"/>
      <c r="U55" s="138"/>
      <c r="V55" s="138"/>
      <c r="W55" s="138"/>
    </row>
    <row r="56" spans="1:23" ht="31.9" customHeight="1" x14ac:dyDescent="0.25">
      <c r="A56" s="343" t="s">
        <v>24</v>
      </c>
      <c r="B56" s="352" t="s">
        <v>197</v>
      </c>
      <c r="C56" s="343" t="s">
        <v>6</v>
      </c>
      <c r="D56" s="298">
        <v>4.5</v>
      </c>
      <c r="E56" s="298">
        <f>D56+E58</f>
        <v>4.8</v>
      </c>
      <c r="F56" s="298">
        <f>4.8</f>
        <v>4.8</v>
      </c>
      <c r="G56" s="298">
        <v>4.8</v>
      </c>
      <c r="H56" s="298">
        <f t="shared" si="2"/>
        <v>100</v>
      </c>
      <c r="I56" s="298"/>
      <c r="J56" s="155"/>
      <c r="K56" s="155"/>
      <c r="L56" s="155"/>
      <c r="M56" s="155"/>
      <c r="N56" s="155"/>
      <c r="O56" s="138"/>
      <c r="P56" s="138"/>
      <c r="Q56" s="138"/>
      <c r="R56" s="138"/>
      <c r="S56" s="138"/>
      <c r="T56" s="138"/>
      <c r="U56" s="138"/>
      <c r="V56" s="138"/>
      <c r="W56" s="138"/>
    </row>
    <row r="57" spans="1:23" ht="31.9" customHeight="1" x14ac:dyDescent="0.25">
      <c r="A57" s="343" t="s">
        <v>24</v>
      </c>
      <c r="B57" s="336" t="s">
        <v>200</v>
      </c>
      <c r="C57" s="343" t="s">
        <v>6</v>
      </c>
      <c r="D57" s="298">
        <f>D58+D61</f>
        <v>0</v>
      </c>
      <c r="E57" s="298">
        <f t="shared" ref="E57:G57" si="25">E58+E61</f>
        <v>0.70000000000000007</v>
      </c>
      <c r="F57" s="298">
        <f t="shared" si="25"/>
        <v>0</v>
      </c>
      <c r="G57" s="298">
        <f t="shared" si="25"/>
        <v>0</v>
      </c>
      <c r="H57" s="294">
        <f t="shared" si="2"/>
        <v>0</v>
      </c>
      <c r="I57" s="298"/>
      <c r="J57" s="155"/>
      <c r="K57" s="155"/>
      <c r="L57" s="155"/>
      <c r="M57" s="155"/>
      <c r="N57" s="155"/>
      <c r="O57" s="138"/>
      <c r="P57" s="138"/>
      <c r="Q57" s="138"/>
      <c r="R57" s="138"/>
      <c r="S57" s="138"/>
      <c r="T57" s="138"/>
      <c r="U57" s="138"/>
      <c r="V57" s="138"/>
      <c r="W57" s="138"/>
    </row>
    <row r="58" spans="1:23" s="149" customFormat="1" ht="31.9" customHeight="1" x14ac:dyDescent="0.25">
      <c r="A58" s="344" t="s">
        <v>20</v>
      </c>
      <c r="B58" s="359" t="s">
        <v>185</v>
      </c>
      <c r="C58" s="343" t="s">
        <v>6</v>
      </c>
      <c r="D58" s="301">
        <f>D59+D60</f>
        <v>0</v>
      </c>
      <c r="E58" s="301">
        <f t="shared" ref="E58:G58" si="26">E59+E60</f>
        <v>0.30000000000000004</v>
      </c>
      <c r="F58" s="301">
        <f t="shared" si="26"/>
        <v>0</v>
      </c>
      <c r="G58" s="301">
        <f t="shared" si="26"/>
        <v>0</v>
      </c>
      <c r="H58" s="294">
        <f t="shared" si="2"/>
        <v>0</v>
      </c>
      <c r="I58" s="301"/>
      <c r="J58" s="218"/>
      <c r="K58" s="142"/>
      <c r="L58" s="142"/>
      <c r="M58" s="142"/>
      <c r="N58" s="142"/>
      <c r="O58" s="142"/>
      <c r="P58" s="156"/>
      <c r="Q58" s="156"/>
      <c r="R58" s="156"/>
      <c r="S58" s="156"/>
      <c r="T58" s="156"/>
      <c r="U58" s="156"/>
      <c r="V58" s="156"/>
      <c r="W58" s="156"/>
    </row>
    <row r="59" spans="1:23" ht="31.9" customHeight="1" x14ac:dyDescent="0.25">
      <c r="A59" s="343" t="s">
        <v>18</v>
      </c>
      <c r="B59" s="352" t="s">
        <v>202</v>
      </c>
      <c r="C59" s="343" t="s">
        <v>6</v>
      </c>
      <c r="D59" s="298"/>
      <c r="E59" s="298">
        <v>0.2</v>
      </c>
      <c r="F59" s="298">
        <v>0</v>
      </c>
      <c r="G59" s="298">
        <v>0</v>
      </c>
      <c r="H59" s="294">
        <f t="shared" si="2"/>
        <v>0</v>
      </c>
      <c r="I59" s="298"/>
      <c r="J59" s="134"/>
      <c r="K59" s="114"/>
      <c r="L59" s="114"/>
      <c r="M59" s="114"/>
      <c r="N59" s="114"/>
      <c r="O59" s="114"/>
      <c r="P59" s="138"/>
      <c r="Q59" s="138"/>
      <c r="R59" s="138"/>
      <c r="S59" s="138"/>
      <c r="T59" s="138"/>
      <c r="U59" s="138"/>
      <c r="V59" s="138"/>
      <c r="W59" s="138"/>
    </row>
    <row r="60" spans="1:23" ht="31.9" customHeight="1" x14ac:dyDescent="0.25">
      <c r="A60" s="343" t="s">
        <v>18</v>
      </c>
      <c r="B60" s="352" t="s">
        <v>201</v>
      </c>
      <c r="C60" s="343" t="s">
        <v>6</v>
      </c>
      <c r="D60" s="298"/>
      <c r="E60" s="298">
        <v>0.1</v>
      </c>
      <c r="F60" s="298">
        <v>0</v>
      </c>
      <c r="G60" s="298">
        <v>0</v>
      </c>
      <c r="H60" s="294">
        <f t="shared" si="2"/>
        <v>0</v>
      </c>
      <c r="I60" s="298"/>
      <c r="J60" s="134"/>
      <c r="K60" s="114"/>
      <c r="L60" s="114"/>
      <c r="M60" s="114"/>
      <c r="N60" s="114"/>
      <c r="O60" s="114"/>
      <c r="P60" s="138"/>
      <c r="Q60" s="138"/>
      <c r="R60" s="138"/>
      <c r="S60" s="138"/>
      <c r="T60" s="138"/>
      <c r="U60" s="138"/>
      <c r="V60" s="138"/>
      <c r="W60" s="138"/>
    </row>
    <row r="61" spans="1:23" s="149" customFormat="1" ht="31.9" customHeight="1" x14ac:dyDescent="0.25">
      <c r="A61" s="344" t="s">
        <v>22</v>
      </c>
      <c r="B61" s="361" t="s">
        <v>187</v>
      </c>
      <c r="C61" s="343" t="s">
        <v>6</v>
      </c>
      <c r="D61" s="301">
        <f>D62+D63</f>
        <v>0</v>
      </c>
      <c r="E61" s="301">
        <f t="shared" ref="E61:G61" si="27">E62+E63</f>
        <v>0.4</v>
      </c>
      <c r="F61" s="301">
        <f t="shared" si="27"/>
        <v>0</v>
      </c>
      <c r="G61" s="301">
        <f t="shared" si="27"/>
        <v>0</v>
      </c>
      <c r="H61" s="294">
        <f t="shared" si="2"/>
        <v>0</v>
      </c>
      <c r="I61" s="301"/>
      <c r="J61" s="134"/>
      <c r="K61" s="142"/>
      <c r="L61" s="142"/>
      <c r="M61" s="218"/>
      <c r="N61" s="218"/>
      <c r="O61" s="156"/>
      <c r="P61" s="156"/>
      <c r="Q61" s="156"/>
      <c r="R61" s="156"/>
      <c r="S61" s="156"/>
      <c r="T61" s="156"/>
      <c r="U61" s="156"/>
      <c r="V61" s="156"/>
      <c r="W61" s="156"/>
    </row>
    <row r="62" spans="1:23" ht="31.9" customHeight="1" x14ac:dyDescent="0.25">
      <c r="A62" s="343" t="s">
        <v>18</v>
      </c>
      <c r="B62" s="352" t="s">
        <v>203</v>
      </c>
      <c r="C62" s="343" t="s">
        <v>6</v>
      </c>
      <c r="D62" s="298"/>
      <c r="E62" s="298">
        <v>0.3</v>
      </c>
      <c r="F62" s="298">
        <v>0</v>
      </c>
      <c r="G62" s="298">
        <v>0</v>
      </c>
      <c r="H62" s="298">
        <f t="shared" si="2"/>
        <v>0</v>
      </c>
      <c r="I62" s="298"/>
      <c r="J62" s="134"/>
      <c r="K62" s="114"/>
      <c r="L62" s="114"/>
      <c r="M62" s="114"/>
      <c r="N62" s="114"/>
      <c r="O62" s="114"/>
      <c r="P62" s="138"/>
      <c r="Q62" s="138"/>
      <c r="R62" s="138"/>
      <c r="S62" s="138"/>
      <c r="T62" s="138"/>
      <c r="U62" s="138"/>
      <c r="V62" s="138"/>
      <c r="W62" s="138"/>
    </row>
    <row r="63" spans="1:23" ht="31.9" customHeight="1" x14ac:dyDescent="0.25">
      <c r="A63" s="343" t="s">
        <v>18</v>
      </c>
      <c r="B63" s="352" t="s">
        <v>204</v>
      </c>
      <c r="C63" s="343" t="s">
        <v>6</v>
      </c>
      <c r="D63" s="298"/>
      <c r="E63" s="298">
        <v>0.1</v>
      </c>
      <c r="F63" s="298">
        <v>0</v>
      </c>
      <c r="G63" s="298">
        <v>0</v>
      </c>
      <c r="H63" s="298">
        <f t="shared" si="2"/>
        <v>0</v>
      </c>
      <c r="I63" s="298"/>
      <c r="J63" s="134"/>
      <c r="K63" s="114"/>
      <c r="L63" s="114"/>
      <c r="M63" s="114"/>
      <c r="N63" s="114"/>
      <c r="O63" s="114"/>
      <c r="P63" s="138"/>
      <c r="Q63" s="138"/>
      <c r="R63" s="138"/>
      <c r="S63" s="138"/>
      <c r="T63" s="138"/>
      <c r="U63" s="138"/>
      <c r="V63" s="138"/>
      <c r="W63" s="138"/>
    </row>
    <row r="64" spans="1:23" ht="31.9" customHeight="1" x14ac:dyDescent="0.25">
      <c r="A64" s="332" t="s">
        <v>244</v>
      </c>
      <c r="B64" s="333" t="s">
        <v>37</v>
      </c>
      <c r="C64" s="332" t="s">
        <v>6</v>
      </c>
      <c r="D64" s="294">
        <f>D65+D66</f>
        <v>0</v>
      </c>
      <c r="E64" s="294">
        <f t="shared" ref="E64:G64" si="28">E65+E66</f>
        <v>0</v>
      </c>
      <c r="F64" s="294">
        <f t="shared" si="28"/>
        <v>0</v>
      </c>
      <c r="G64" s="294">
        <f t="shared" si="28"/>
        <v>0</v>
      </c>
      <c r="H64" s="294"/>
      <c r="I64" s="294"/>
      <c r="J64" s="132"/>
      <c r="K64" s="132"/>
      <c r="L64" s="132"/>
      <c r="M64" s="155"/>
      <c r="N64" s="155"/>
      <c r="O64" s="138"/>
      <c r="P64" s="138"/>
      <c r="Q64" s="138"/>
      <c r="R64" s="138"/>
      <c r="S64" s="138"/>
      <c r="T64" s="138"/>
      <c r="U64" s="138"/>
      <c r="V64" s="138"/>
      <c r="W64" s="138"/>
    </row>
    <row r="65" spans="1:23" ht="31.9" customHeight="1" x14ac:dyDescent="0.25">
      <c r="A65" s="343" t="s">
        <v>18</v>
      </c>
      <c r="B65" s="352" t="s">
        <v>196</v>
      </c>
      <c r="C65" s="343" t="s">
        <v>6</v>
      </c>
      <c r="D65" s="298"/>
      <c r="E65" s="298"/>
      <c r="F65" s="298"/>
      <c r="G65" s="298"/>
      <c r="H65" s="298"/>
      <c r="I65" s="298"/>
      <c r="J65" s="132"/>
      <c r="K65" s="132"/>
      <c r="L65" s="132"/>
      <c r="M65" s="155"/>
      <c r="N65" s="155"/>
      <c r="O65" s="138"/>
      <c r="P65" s="138"/>
      <c r="Q65" s="138"/>
      <c r="R65" s="138"/>
      <c r="S65" s="138"/>
      <c r="T65" s="138"/>
      <c r="U65" s="138"/>
      <c r="V65" s="138"/>
      <c r="W65" s="138"/>
    </row>
    <row r="66" spans="1:23" ht="31.9" customHeight="1" x14ac:dyDescent="0.25">
      <c r="A66" s="343" t="s">
        <v>18</v>
      </c>
      <c r="B66" s="336" t="s">
        <v>31</v>
      </c>
      <c r="C66" s="343" t="s">
        <v>6</v>
      </c>
      <c r="D66" s="298"/>
      <c r="E66" s="298"/>
      <c r="F66" s="298"/>
      <c r="G66" s="298"/>
      <c r="H66" s="298"/>
      <c r="I66" s="298"/>
      <c r="J66" s="132"/>
      <c r="K66" s="132"/>
      <c r="L66" s="132"/>
      <c r="M66" s="155"/>
      <c r="N66" s="155"/>
      <c r="O66" s="138"/>
      <c r="P66" s="138"/>
      <c r="Q66" s="138"/>
      <c r="R66" s="138"/>
      <c r="S66" s="138"/>
      <c r="T66" s="138"/>
      <c r="U66" s="138"/>
      <c r="V66" s="138"/>
      <c r="W66" s="138"/>
    </row>
    <row r="67" spans="1:23" ht="31.9" customHeight="1" x14ac:dyDescent="0.25">
      <c r="A67" s="332">
        <v>6</v>
      </c>
      <c r="B67" s="333" t="s">
        <v>38</v>
      </c>
      <c r="C67" s="332" t="s">
        <v>6</v>
      </c>
      <c r="D67" s="294">
        <f>D68+D71</f>
        <v>14.57</v>
      </c>
      <c r="E67" s="294">
        <f t="shared" ref="E67:G67" si="29">E68+E71</f>
        <v>11.129999999999999</v>
      </c>
      <c r="F67" s="294">
        <f t="shared" si="29"/>
        <v>11.02</v>
      </c>
      <c r="G67" s="294">
        <f t="shared" si="29"/>
        <v>11.02</v>
      </c>
      <c r="H67" s="294">
        <f t="shared" si="2"/>
        <v>99.011680143755626</v>
      </c>
      <c r="I67" s="294"/>
      <c r="J67" s="155"/>
      <c r="K67" s="155"/>
      <c r="L67" s="155"/>
      <c r="M67" s="155"/>
      <c r="N67" s="155"/>
      <c r="O67" s="138"/>
      <c r="P67" s="138"/>
      <c r="Q67" s="138"/>
      <c r="R67" s="138"/>
      <c r="S67" s="138"/>
      <c r="T67" s="138"/>
      <c r="U67" s="138"/>
      <c r="V67" s="138"/>
      <c r="W67" s="138"/>
    </row>
    <row r="68" spans="1:23" ht="31.9" customHeight="1" x14ac:dyDescent="0.25">
      <c r="A68" s="332" t="s">
        <v>245</v>
      </c>
      <c r="B68" s="333" t="s">
        <v>39</v>
      </c>
      <c r="C68" s="332" t="s">
        <v>6</v>
      </c>
      <c r="D68" s="294">
        <f>D69+D70</f>
        <v>0</v>
      </c>
      <c r="E68" s="294">
        <f t="shared" ref="E68:G68" si="30">E69+E70</f>
        <v>0</v>
      </c>
      <c r="F68" s="294">
        <f t="shared" si="30"/>
        <v>0</v>
      </c>
      <c r="G68" s="294">
        <f t="shared" si="30"/>
        <v>0</v>
      </c>
      <c r="H68" s="294"/>
      <c r="I68" s="294"/>
      <c r="J68" s="155"/>
      <c r="K68" s="155"/>
      <c r="L68" s="155"/>
      <c r="M68" s="155"/>
      <c r="N68" s="155"/>
      <c r="O68" s="138"/>
      <c r="P68" s="138"/>
      <c r="Q68" s="138"/>
      <c r="R68" s="138"/>
      <c r="S68" s="138"/>
      <c r="T68" s="138"/>
      <c r="U68" s="138"/>
      <c r="V68" s="138"/>
      <c r="W68" s="138"/>
    </row>
    <row r="69" spans="1:23" ht="31.9" customHeight="1" x14ac:dyDescent="0.25">
      <c r="A69" s="343" t="s">
        <v>18</v>
      </c>
      <c r="B69" s="352" t="s">
        <v>205</v>
      </c>
      <c r="C69" s="343" t="s">
        <v>6</v>
      </c>
      <c r="D69" s="298"/>
      <c r="E69" s="298"/>
      <c r="F69" s="298"/>
      <c r="G69" s="298"/>
      <c r="H69" s="298"/>
      <c r="I69" s="298"/>
      <c r="J69" s="155"/>
      <c r="K69" s="155"/>
      <c r="L69" s="155"/>
      <c r="M69" s="155"/>
      <c r="N69" s="155"/>
      <c r="O69" s="138"/>
      <c r="P69" s="138"/>
      <c r="Q69" s="138"/>
      <c r="R69" s="138"/>
      <c r="S69" s="138"/>
      <c r="T69" s="138"/>
      <c r="U69" s="138"/>
      <c r="V69" s="138"/>
      <c r="W69" s="138"/>
    </row>
    <row r="70" spans="1:23" ht="31.9" customHeight="1" x14ac:dyDescent="0.25">
      <c r="A70" s="343" t="s">
        <v>18</v>
      </c>
      <c r="B70" s="352" t="s">
        <v>206</v>
      </c>
      <c r="C70" s="343" t="s">
        <v>6</v>
      </c>
      <c r="D70" s="298"/>
      <c r="E70" s="298"/>
      <c r="F70" s="298"/>
      <c r="G70" s="298"/>
      <c r="H70" s="298"/>
      <c r="I70" s="298"/>
      <c r="J70" s="155"/>
      <c r="K70" s="155"/>
      <c r="L70" s="155"/>
      <c r="M70" s="155"/>
      <c r="N70" s="155"/>
      <c r="O70" s="138"/>
      <c r="P70" s="138"/>
      <c r="Q70" s="138"/>
      <c r="R70" s="138"/>
      <c r="S70" s="138"/>
      <c r="T70" s="138"/>
      <c r="U70" s="138"/>
      <c r="V70" s="138"/>
      <c r="W70" s="138"/>
    </row>
    <row r="71" spans="1:23" ht="31.9" customHeight="1" x14ac:dyDescent="0.25">
      <c r="A71" s="332" t="s">
        <v>246</v>
      </c>
      <c r="B71" s="356" t="s">
        <v>41</v>
      </c>
      <c r="C71" s="332" t="s">
        <v>6</v>
      </c>
      <c r="D71" s="294">
        <f>D72+D73</f>
        <v>14.57</v>
      </c>
      <c r="E71" s="294">
        <f t="shared" ref="E71:G71" si="31">E72+E73</f>
        <v>11.129999999999999</v>
      </c>
      <c r="F71" s="294">
        <f t="shared" si="31"/>
        <v>11.02</v>
      </c>
      <c r="G71" s="294">
        <f t="shared" si="31"/>
        <v>11.02</v>
      </c>
      <c r="H71" s="294">
        <f t="shared" si="2"/>
        <v>99.011680143755626</v>
      </c>
      <c r="I71" s="294"/>
      <c r="J71" s="155"/>
      <c r="K71" s="155"/>
      <c r="L71" s="155"/>
      <c r="M71" s="155"/>
      <c r="N71" s="155"/>
      <c r="O71" s="138"/>
      <c r="P71" s="138"/>
      <c r="Q71" s="138"/>
      <c r="R71" s="138"/>
      <c r="S71" s="138"/>
      <c r="T71" s="138"/>
      <c r="U71" s="138"/>
      <c r="V71" s="138"/>
      <c r="W71" s="138"/>
    </row>
    <row r="72" spans="1:23" ht="31.9" customHeight="1" x14ac:dyDescent="0.25">
      <c r="A72" s="350" t="s">
        <v>24</v>
      </c>
      <c r="B72" s="356" t="s">
        <v>207</v>
      </c>
      <c r="C72" s="332" t="s">
        <v>6</v>
      </c>
      <c r="D72" s="303">
        <f>D75+D82</f>
        <v>13.07</v>
      </c>
      <c r="E72" s="303">
        <f>E75+E82</f>
        <v>11.02</v>
      </c>
      <c r="F72" s="303">
        <f t="shared" ref="F72:G72" si="32">F75+F82</f>
        <v>11.02</v>
      </c>
      <c r="G72" s="303">
        <f t="shared" si="32"/>
        <v>11.02</v>
      </c>
      <c r="H72" s="294">
        <f t="shared" si="2"/>
        <v>100</v>
      </c>
      <c r="I72" s="303"/>
      <c r="J72" s="155"/>
      <c r="K72" s="155"/>
      <c r="L72" s="155"/>
      <c r="M72" s="155"/>
      <c r="N72" s="155"/>
      <c r="O72" s="138"/>
      <c r="P72" s="138"/>
      <c r="Q72" s="138"/>
      <c r="R72" s="138"/>
      <c r="S72" s="138"/>
      <c r="T72" s="138"/>
      <c r="U72" s="138"/>
      <c r="V72" s="138"/>
      <c r="W72" s="138"/>
    </row>
    <row r="73" spans="1:23" ht="31.9" customHeight="1" x14ac:dyDescent="0.25">
      <c r="A73" s="350" t="s">
        <v>24</v>
      </c>
      <c r="B73" s="356" t="s">
        <v>42</v>
      </c>
      <c r="C73" s="332" t="s">
        <v>6</v>
      </c>
      <c r="D73" s="294">
        <f>D76+D83</f>
        <v>1.5</v>
      </c>
      <c r="E73" s="294">
        <f t="shared" ref="E73:G73" si="33">E76+E83</f>
        <v>0.11</v>
      </c>
      <c r="F73" s="294">
        <f t="shared" si="33"/>
        <v>0</v>
      </c>
      <c r="G73" s="294">
        <f t="shared" si="33"/>
        <v>0</v>
      </c>
      <c r="H73" s="294">
        <f t="shared" si="2"/>
        <v>0</v>
      </c>
      <c r="I73" s="294"/>
      <c r="J73" s="228"/>
      <c r="K73" s="228"/>
      <c r="L73" s="228"/>
      <c r="M73" s="228"/>
      <c r="N73" s="228"/>
      <c r="O73" s="138"/>
      <c r="P73" s="138"/>
      <c r="Q73" s="138"/>
      <c r="R73" s="138"/>
      <c r="S73" s="138"/>
      <c r="T73" s="138"/>
      <c r="U73" s="138"/>
      <c r="V73" s="138"/>
      <c r="W73" s="138"/>
    </row>
    <row r="74" spans="1:23" ht="31.9" customHeight="1" x14ac:dyDescent="0.25">
      <c r="A74" s="363" t="s">
        <v>20</v>
      </c>
      <c r="B74" s="342" t="s">
        <v>209</v>
      </c>
      <c r="C74" s="340" t="s">
        <v>6</v>
      </c>
      <c r="D74" s="305">
        <f>D75+D76</f>
        <v>11.16</v>
      </c>
      <c r="E74" s="305">
        <f t="shared" ref="E74:G74" si="34">E75+E76</f>
        <v>10.02</v>
      </c>
      <c r="F74" s="305">
        <f t="shared" si="34"/>
        <v>10.02</v>
      </c>
      <c r="G74" s="305">
        <f t="shared" si="34"/>
        <v>10.02</v>
      </c>
      <c r="H74" s="294">
        <f t="shared" ref="H74:H97" si="35">F74/E74*100</f>
        <v>100</v>
      </c>
      <c r="I74" s="305"/>
      <c r="J74" s="229"/>
      <c r="K74" s="229"/>
      <c r="L74" s="150"/>
      <c r="M74" s="150"/>
      <c r="N74" s="150"/>
      <c r="O74" s="150"/>
      <c r="P74" s="150"/>
      <c r="Q74" s="150"/>
      <c r="R74" s="138"/>
      <c r="S74" s="138"/>
      <c r="T74" s="138"/>
      <c r="U74" s="138"/>
      <c r="V74" s="138"/>
      <c r="W74" s="138"/>
    </row>
    <row r="75" spans="1:23" ht="31.9" customHeight="1" x14ac:dyDescent="0.25">
      <c r="A75" s="351" t="s">
        <v>24</v>
      </c>
      <c r="B75" s="364" t="s">
        <v>196</v>
      </c>
      <c r="C75" s="343" t="s">
        <v>6</v>
      </c>
      <c r="D75" s="309">
        <v>10.66</v>
      </c>
      <c r="E75" s="309">
        <f>11.16-1.14</f>
        <v>10.02</v>
      </c>
      <c r="F75" s="298">
        <v>10.02</v>
      </c>
      <c r="G75" s="298">
        <v>10.02</v>
      </c>
      <c r="H75" s="298">
        <f t="shared" si="35"/>
        <v>100</v>
      </c>
      <c r="I75" s="298"/>
      <c r="J75" s="155"/>
      <c r="K75" s="155"/>
      <c r="L75" s="132"/>
      <c r="M75" s="235"/>
      <c r="N75" s="132"/>
      <c r="O75" s="147"/>
      <c r="P75" s="147"/>
      <c r="Q75" s="147"/>
      <c r="R75" s="138"/>
      <c r="S75" s="138"/>
      <c r="T75" s="138"/>
      <c r="U75" s="138"/>
      <c r="V75" s="138"/>
      <c r="W75" s="138"/>
    </row>
    <row r="76" spans="1:23" ht="31.9" customHeight="1" x14ac:dyDescent="0.25">
      <c r="A76" s="367" t="s">
        <v>15</v>
      </c>
      <c r="B76" s="361" t="s">
        <v>210</v>
      </c>
      <c r="C76" s="344" t="s">
        <v>6</v>
      </c>
      <c r="D76" s="308">
        <f>SUM(D77:D80)</f>
        <v>0.5</v>
      </c>
      <c r="E76" s="308">
        <f t="shared" ref="E76:G76" si="36">SUM(E77:E80)</f>
        <v>0</v>
      </c>
      <c r="F76" s="308">
        <f t="shared" si="36"/>
        <v>0</v>
      </c>
      <c r="G76" s="308">
        <f t="shared" si="36"/>
        <v>0</v>
      </c>
      <c r="H76" s="298"/>
      <c r="I76" s="308"/>
      <c r="J76" s="218"/>
      <c r="K76" s="218"/>
      <c r="L76" s="142"/>
      <c r="M76" s="142"/>
      <c r="N76" s="142"/>
      <c r="O76" s="147"/>
      <c r="P76" s="147"/>
      <c r="Q76" s="147"/>
      <c r="R76" s="138"/>
      <c r="S76" s="138"/>
      <c r="T76" s="138"/>
      <c r="U76" s="138"/>
      <c r="V76" s="138"/>
      <c r="W76" s="138"/>
    </row>
    <row r="77" spans="1:23" ht="31.9" customHeight="1" x14ac:dyDescent="0.25">
      <c r="A77" s="344" t="s">
        <v>18</v>
      </c>
      <c r="B77" s="365" t="s">
        <v>212</v>
      </c>
      <c r="C77" s="344" t="s">
        <v>6</v>
      </c>
      <c r="D77" s="298"/>
      <c r="E77" s="298"/>
      <c r="F77" s="298"/>
      <c r="G77" s="298"/>
      <c r="H77" s="298"/>
      <c r="I77" s="298"/>
      <c r="J77" s="218"/>
      <c r="K77" s="218"/>
      <c r="L77" s="142"/>
      <c r="M77" s="230"/>
      <c r="N77" s="230"/>
      <c r="O77" s="147"/>
      <c r="P77" s="157"/>
      <c r="Q77" s="157"/>
      <c r="R77" s="138"/>
      <c r="S77" s="138"/>
      <c r="T77" s="138"/>
      <c r="U77" s="138"/>
      <c r="V77" s="138"/>
      <c r="W77" s="138"/>
    </row>
    <row r="78" spans="1:23" ht="31.9" customHeight="1" x14ac:dyDescent="0.25">
      <c r="A78" s="344" t="s">
        <v>18</v>
      </c>
      <c r="B78" s="365" t="s">
        <v>189</v>
      </c>
      <c r="C78" s="344" t="s">
        <v>6</v>
      </c>
      <c r="D78" s="298">
        <v>0.5</v>
      </c>
      <c r="E78" s="298">
        <v>0</v>
      </c>
      <c r="F78" s="298"/>
      <c r="G78" s="298"/>
      <c r="H78" s="298"/>
      <c r="I78" s="298"/>
      <c r="J78" s="218"/>
      <c r="K78" s="218"/>
      <c r="L78" s="142"/>
      <c r="M78" s="142"/>
      <c r="N78" s="142"/>
      <c r="O78" s="147"/>
      <c r="P78" s="147"/>
      <c r="Q78" s="147"/>
      <c r="R78" s="138"/>
      <c r="S78" s="138"/>
      <c r="T78" s="138"/>
      <c r="U78" s="138"/>
      <c r="V78" s="138"/>
      <c r="W78" s="138"/>
    </row>
    <row r="79" spans="1:23" ht="31.9" customHeight="1" x14ac:dyDescent="0.25">
      <c r="A79" s="344" t="s">
        <v>18</v>
      </c>
      <c r="B79" s="365" t="s">
        <v>190</v>
      </c>
      <c r="C79" s="344" t="s">
        <v>6</v>
      </c>
      <c r="D79" s="298"/>
      <c r="E79" s="298"/>
      <c r="F79" s="298"/>
      <c r="G79" s="298"/>
      <c r="H79" s="298"/>
      <c r="I79" s="298"/>
      <c r="J79" s="218"/>
      <c r="K79" s="218"/>
      <c r="L79" s="142"/>
      <c r="M79" s="142"/>
      <c r="N79" s="142"/>
      <c r="O79" s="147"/>
      <c r="P79" s="147"/>
      <c r="Q79" s="147"/>
      <c r="R79" s="138"/>
      <c r="S79" s="138"/>
      <c r="T79" s="138"/>
      <c r="U79" s="138"/>
      <c r="V79" s="138"/>
      <c r="W79" s="138"/>
    </row>
    <row r="80" spans="1:23" ht="31.9" customHeight="1" x14ac:dyDescent="0.25">
      <c r="A80" s="344" t="s">
        <v>18</v>
      </c>
      <c r="B80" s="365" t="s">
        <v>208</v>
      </c>
      <c r="C80" s="344" t="s">
        <v>6</v>
      </c>
      <c r="D80" s="298"/>
      <c r="E80" s="298"/>
      <c r="F80" s="298"/>
      <c r="G80" s="298"/>
      <c r="H80" s="298"/>
      <c r="I80" s="298"/>
      <c r="J80" s="218"/>
      <c r="K80" s="218"/>
      <c r="L80" s="142"/>
      <c r="M80" s="142"/>
      <c r="N80" s="142"/>
      <c r="O80" s="147"/>
      <c r="P80" s="147"/>
      <c r="Q80" s="147"/>
      <c r="R80" s="138"/>
      <c r="S80" s="138"/>
      <c r="T80" s="138"/>
      <c r="U80" s="138"/>
      <c r="V80" s="138"/>
      <c r="W80" s="138"/>
    </row>
    <row r="81" spans="1:23" s="152" customFormat="1" ht="31.9" customHeight="1" x14ac:dyDescent="0.3">
      <c r="A81" s="363" t="s">
        <v>22</v>
      </c>
      <c r="B81" s="342" t="s">
        <v>43</v>
      </c>
      <c r="C81" s="340" t="s">
        <v>6</v>
      </c>
      <c r="D81" s="305">
        <f>D82+D83</f>
        <v>3.41</v>
      </c>
      <c r="E81" s="305">
        <f t="shared" ref="E81:G81" si="37">E82+E83</f>
        <v>1.1100000000000001</v>
      </c>
      <c r="F81" s="305">
        <f t="shared" si="37"/>
        <v>1</v>
      </c>
      <c r="G81" s="305">
        <f t="shared" si="37"/>
        <v>1</v>
      </c>
      <c r="H81" s="314">
        <f t="shared" si="35"/>
        <v>90.090090090090087</v>
      </c>
      <c r="I81" s="305"/>
      <c r="J81" s="229"/>
      <c r="K81" s="229"/>
      <c r="L81" s="150"/>
      <c r="M81" s="150"/>
      <c r="N81" s="150"/>
      <c r="O81" s="150"/>
      <c r="P81" s="150"/>
      <c r="Q81" s="150"/>
      <c r="R81" s="158"/>
      <c r="S81" s="158"/>
      <c r="T81" s="158"/>
      <c r="U81" s="158"/>
      <c r="V81" s="158"/>
      <c r="W81" s="158"/>
    </row>
    <row r="82" spans="1:23" s="149" customFormat="1" ht="31.9" customHeight="1" x14ac:dyDescent="0.25">
      <c r="A82" s="367" t="s">
        <v>18</v>
      </c>
      <c r="B82" s="365" t="s">
        <v>188</v>
      </c>
      <c r="C82" s="344" t="s">
        <v>6</v>
      </c>
      <c r="D82" s="301">
        <v>2.41</v>
      </c>
      <c r="E82" s="301">
        <v>1</v>
      </c>
      <c r="F82" s="301">
        <v>1</v>
      </c>
      <c r="G82" s="301">
        <v>1</v>
      </c>
      <c r="H82" s="298">
        <f t="shared" si="35"/>
        <v>100</v>
      </c>
      <c r="I82" s="301"/>
      <c r="J82" s="218"/>
      <c r="K82" s="247"/>
      <c r="L82" s="253"/>
      <c r="M82" s="218"/>
      <c r="N82" s="218"/>
      <c r="O82" s="156"/>
      <c r="P82" s="156"/>
      <c r="Q82" s="156"/>
      <c r="R82" s="156"/>
      <c r="S82" s="156"/>
      <c r="T82" s="156"/>
      <c r="U82" s="156"/>
      <c r="V82" s="156"/>
      <c r="W82" s="156"/>
    </row>
    <row r="83" spans="1:23" ht="31.9" customHeight="1" x14ac:dyDescent="0.25">
      <c r="A83" s="367" t="s">
        <v>15</v>
      </c>
      <c r="B83" s="361" t="s">
        <v>210</v>
      </c>
      <c r="C83" s="343" t="s">
        <v>6</v>
      </c>
      <c r="D83" s="309">
        <f>SUM(D84:D87)</f>
        <v>1</v>
      </c>
      <c r="E83" s="309">
        <f t="shared" ref="E83:G83" si="38">SUM(E84:E87)</f>
        <v>0.11</v>
      </c>
      <c r="F83" s="309">
        <f t="shared" si="38"/>
        <v>0</v>
      </c>
      <c r="G83" s="309">
        <f t="shared" si="38"/>
        <v>0</v>
      </c>
      <c r="H83" s="294">
        <f t="shared" si="35"/>
        <v>0</v>
      </c>
      <c r="I83" s="309"/>
      <c r="J83" s="218"/>
      <c r="K83" s="218"/>
      <c r="L83" s="218"/>
      <c r="M83" s="218"/>
      <c r="N83" s="218"/>
      <c r="O83" s="138"/>
      <c r="P83" s="138"/>
      <c r="Q83" s="138"/>
      <c r="R83" s="138"/>
      <c r="S83" s="138"/>
      <c r="T83" s="138"/>
      <c r="U83" s="138"/>
      <c r="V83" s="138"/>
      <c r="W83" s="138"/>
    </row>
    <row r="84" spans="1:23" ht="31.9" customHeight="1" x14ac:dyDescent="0.25">
      <c r="A84" s="367" t="s">
        <v>18</v>
      </c>
      <c r="B84" s="361" t="s">
        <v>191</v>
      </c>
      <c r="C84" s="344" t="s">
        <v>6</v>
      </c>
      <c r="D84" s="298"/>
      <c r="E84" s="298"/>
      <c r="F84" s="298"/>
      <c r="G84" s="298"/>
      <c r="H84" s="294"/>
      <c r="I84" s="298"/>
      <c r="J84" s="142"/>
      <c r="K84" s="142"/>
      <c r="L84" s="142"/>
      <c r="M84" s="142"/>
      <c r="N84" s="142"/>
      <c r="O84" s="138"/>
      <c r="P84" s="138"/>
      <c r="Q84" s="138"/>
      <c r="R84" s="138"/>
      <c r="S84" s="138"/>
      <c r="T84" s="138"/>
      <c r="U84" s="138"/>
      <c r="V84" s="138"/>
      <c r="W84" s="138"/>
    </row>
    <row r="85" spans="1:23" ht="31.9" customHeight="1" x14ac:dyDescent="0.25">
      <c r="A85" s="367" t="s">
        <v>18</v>
      </c>
      <c r="B85" s="361" t="s">
        <v>192</v>
      </c>
      <c r="C85" s="344" t="s">
        <v>6</v>
      </c>
      <c r="D85" s="298"/>
      <c r="E85" s="298"/>
      <c r="F85" s="298"/>
      <c r="G85" s="298"/>
      <c r="H85" s="294"/>
      <c r="I85" s="298"/>
      <c r="J85" s="142"/>
      <c r="K85" s="142"/>
      <c r="L85" s="142"/>
      <c r="M85" s="142"/>
      <c r="N85" s="142"/>
      <c r="O85" s="138"/>
      <c r="P85" s="138"/>
      <c r="Q85" s="138"/>
      <c r="R85" s="138"/>
      <c r="S85" s="138"/>
      <c r="T85" s="138"/>
      <c r="U85" s="138"/>
      <c r="V85" s="138"/>
      <c r="W85" s="138"/>
    </row>
    <row r="86" spans="1:23" ht="31.9" customHeight="1" x14ac:dyDescent="0.25">
      <c r="A86" s="367" t="s">
        <v>18</v>
      </c>
      <c r="B86" s="361" t="s">
        <v>211</v>
      </c>
      <c r="C86" s="344"/>
      <c r="D86" s="298"/>
      <c r="E86" s="298"/>
      <c r="F86" s="298"/>
      <c r="G86" s="298"/>
      <c r="H86" s="294"/>
      <c r="I86" s="298"/>
      <c r="J86" s="142"/>
      <c r="K86" s="142"/>
      <c r="L86" s="142"/>
      <c r="M86" s="142"/>
      <c r="N86" s="147"/>
      <c r="O86" s="147"/>
      <c r="P86" s="147"/>
      <c r="Q86" s="147"/>
      <c r="R86" s="138"/>
      <c r="S86" s="138"/>
      <c r="T86" s="138"/>
      <c r="U86" s="138"/>
      <c r="V86" s="138"/>
      <c r="W86" s="138"/>
    </row>
    <row r="87" spans="1:23" ht="31.9" customHeight="1" x14ac:dyDescent="0.25">
      <c r="A87" s="367" t="s">
        <v>18</v>
      </c>
      <c r="B87" s="365" t="s">
        <v>193</v>
      </c>
      <c r="C87" s="344" t="s">
        <v>6</v>
      </c>
      <c r="D87" s="298">
        <v>1</v>
      </c>
      <c r="E87" s="298">
        <v>0.11</v>
      </c>
      <c r="F87" s="298">
        <v>0</v>
      </c>
      <c r="G87" s="298">
        <v>0</v>
      </c>
      <c r="H87" s="294">
        <f t="shared" si="35"/>
        <v>0</v>
      </c>
      <c r="I87" s="298"/>
      <c r="J87" s="275"/>
      <c r="K87" s="142"/>
      <c r="L87" s="142"/>
      <c r="M87" s="230"/>
      <c r="N87" s="230"/>
      <c r="O87" s="157"/>
      <c r="P87" s="157"/>
      <c r="Q87" s="157"/>
      <c r="R87" s="141"/>
      <c r="S87" s="138"/>
      <c r="T87" s="138"/>
      <c r="U87" s="138"/>
      <c r="V87" s="138"/>
      <c r="W87" s="138"/>
    </row>
    <row r="88" spans="1:23" ht="31.9" customHeight="1" x14ac:dyDescent="0.25">
      <c r="A88" s="332" t="s">
        <v>44</v>
      </c>
      <c r="B88" s="356" t="s">
        <v>45</v>
      </c>
      <c r="C88" s="332"/>
      <c r="D88" s="294">
        <f>SUM(D89:D93)</f>
        <v>286</v>
      </c>
      <c r="E88" s="294">
        <f t="shared" ref="E88:G88" si="39">SUM(E89:E93)</f>
        <v>257</v>
      </c>
      <c r="F88" s="294">
        <f t="shared" si="39"/>
        <v>233</v>
      </c>
      <c r="G88" s="294">
        <f t="shared" si="39"/>
        <v>233</v>
      </c>
      <c r="H88" s="294">
        <f t="shared" si="35"/>
        <v>90.661478599221795</v>
      </c>
      <c r="I88" s="294"/>
      <c r="J88" s="132"/>
      <c r="K88" s="132"/>
      <c r="L88" s="189"/>
      <c r="M88" s="189"/>
      <c r="N88" s="150"/>
      <c r="O88" s="150"/>
      <c r="P88" s="150"/>
      <c r="Q88" s="150"/>
      <c r="R88" s="138"/>
      <c r="S88" s="138"/>
      <c r="T88" s="138"/>
      <c r="U88" s="138"/>
      <c r="V88" s="138"/>
      <c r="W88" s="138"/>
    </row>
    <row r="89" spans="1:23" s="194" customFormat="1" ht="31.9" customHeight="1" x14ac:dyDescent="0.25">
      <c r="A89" s="343">
        <v>1</v>
      </c>
      <c r="B89" s="336" t="s">
        <v>46</v>
      </c>
      <c r="C89" s="343" t="s">
        <v>8</v>
      </c>
      <c r="D89" s="298">
        <f>25+5</f>
        <v>30</v>
      </c>
      <c r="E89" s="298">
        <f>30+16</f>
        <v>46</v>
      </c>
      <c r="F89" s="298">
        <v>44</v>
      </c>
      <c r="G89" s="298">
        <f>F89</f>
        <v>44</v>
      </c>
      <c r="H89" s="298">
        <f t="shared" si="35"/>
        <v>95.652173913043484</v>
      </c>
      <c r="I89" s="298"/>
      <c r="J89" s="231"/>
      <c r="K89" s="215"/>
      <c r="L89" s="277"/>
      <c r="M89" s="263"/>
      <c r="N89" s="231"/>
      <c r="O89" s="202"/>
      <c r="P89" s="202"/>
      <c r="Q89" s="202"/>
      <c r="R89" s="202"/>
      <c r="S89" s="202"/>
      <c r="T89" s="202"/>
      <c r="U89" s="202"/>
      <c r="V89" s="202"/>
      <c r="W89" s="202"/>
    </row>
    <row r="90" spans="1:23" s="194" customFormat="1" ht="31.9" customHeight="1" x14ac:dyDescent="0.25">
      <c r="A90" s="343">
        <v>2</v>
      </c>
      <c r="B90" s="336" t="s">
        <v>47</v>
      </c>
      <c r="C90" s="343" t="s">
        <v>8</v>
      </c>
      <c r="D90" s="298">
        <v>37</v>
      </c>
      <c r="E90" s="298">
        <f>21+3</f>
        <v>24</v>
      </c>
      <c r="F90" s="298">
        <v>22</v>
      </c>
      <c r="G90" s="298">
        <f>F90</f>
        <v>22</v>
      </c>
      <c r="H90" s="298">
        <f t="shared" si="35"/>
        <v>91.666666666666657</v>
      </c>
      <c r="I90" s="298"/>
      <c r="J90" s="231"/>
      <c r="K90" s="215"/>
      <c r="L90" s="277"/>
      <c r="M90" s="263"/>
      <c r="N90" s="231"/>
      <c r="O90" s="202"/>
      <c r="P90" s="202"/>
      <c r="Q90" s="202"/>
      <c r="R90" s="202"/>
      <c r="S90" s="202"/>
      <c r="T90" s="202"/>
      <c r="U90" s="202"/>
      <c r="V90" s="202"/>
      <c r="W90" s="202"/>
    </row>
    <row r="91" spans="1:23" s="194" customFormat="1" ht="31.9" customHeight="1" x14ac:dyDescent="0.25">
      <c r="A91" s="343">
        <v>3</v>
      </c>
      <c r="B91" s="336" t="s">
        <v>48</v>
      </c>
      <c r="C91" s="343" t="s">
        <v>8</v>
      </c>
      <c r="D91" s="298">
        <f>29-5</f>
        <v>24</v>
      </c>
      <c r="E91" s="298">
        <f>24+7</f>
        <v>31</v>
      </c>
      <c r="F91" s="298">
        <v>27</v>
      </c>
      <c r="G91" s="298">
        <f>F91</f>
        <v>27</v>
      </c>
      <c r="H91" s="298">
        <f t="shared" si="35"/>
        <v>87.096774193548384</v>
      </c>
      <c r="I91" s="298"/>
      <c r="J91" s="231"/>
      <c r="K91" s="215"/>
      <c r="L91" s="277"/>
      <c r="M91" s="263"/>
      <c r="N91" s="231"/>
      <c r="O91" s="202"/>
      <c r="P91" s="202"/>
      <c r="Q91" s="202"/>
      <c r="R91" s="202"/>
      <c r="S91" s="202"/>
      <c r="T91" s="202"/>
      <c r="U91" s="202"/>
      <c r="V91" s="202"/>
      <c r="W91" s="202"/>
    </row>
    <row r="92" spans="1:23" ht="31.9" customHeight="1" x14ac:dyDescent="0.25">
      <c r="A92" s="343">
        <v>4</v>
      </c>
      <c r="B92" s="336" t="s">
        <v>49</v>
      </c>
      <c r="C92" s="343" t="s">
        <v>8</v>
      </c>
      <c r="D92" s="298">
        <v>2</v>
      </c>
      <c r="E92" s="298"/>
      <c r="F92" s="298"/>
      <c r="G92" s="298"/>
      <c r="H92" s="294"/>
      <c r="I92" s="298"/>
      <c r="J92" s="132"/>
      <c r="K92" s="132"/>
      <c r="L92" s="270"/>
      <c r="M92" s="263"/>
      <c r="N92" s="132"/>
      <c r="O92" s="138"/>
      <c r="P92" s="138"/>
      <c r="Q92" s="138"/>
      <c r="R92" s="138"/>
      <c r="S92" s="138"/>
      <c r="T92" s="138"/>
      <c r="U92" s="138"/>
      <c r="V92" s="138"/>
      <c r="W92" s="138"/>
    </row>
    <row r="93" spans="1:23" s="194" customFormat="1" ht="31.9" customHeight="1" x14ac:dyDescent="0.25">
      <c r="A93" s="343">
        <v>5</v>
      </c>
      <c r="B93" s="336" t="s">
        <v>50</v>
      </c>
      <c r="C93" s="343" t="s">
        <v>8</v>
      </c>
      <c r="D93" s="298">
        <f>183+10</f>
        <v>193</v>
      </c>
      <c r="E93" s="298">
        <f>173-17</f>
        <v>156</v>
      </c>
      <c r="F93" s="298">
        <v>140</v>
      </c>
      <c r="G93" s="298">
        <f>F93</f>
        <v>140</v>
      </c>
      <c r="H93" s="298">
        <f t="shared" si="35"/>
        <v>89.743589743589752</v>
      </c>
      <c r="I93" s="298"/>
      <c r="J93" s="215"/>
      <c r="K93" s="215"/>
      <c r="L93" s="270"/>
      <c r="M93" s="263"/>
      <c r="N93" s="231"/>
      <c r="O93" s="202"/>
      <c r="P93" s="202"/>
      <c r="Q93" s="202"/>
      <c r="R93" s="202"/>
      <c r="S93" s="202"/>
      <c r="T93" s="202"/>
      <c r="U93" s="202"/>
      <c r="V93" s="202"/>
      <c r="W93" s="202"/>
    </row>
    <row r="94" spans="1:23" s="131" customFormat="1" ht="31.9" customHeight="1" x14ac:dyDescent="0.25">
      <c r="A94" s="332" t="s">
        <v>51</v>
      </c>
      <c r="B94" s="333" t="s">
        <v>52</v>
      </c>
      <c r="C94" s="332" t="s">
        <v>6</v>
      </c>
      <c r="D94" s="294">
        <f>D95</f>
        <v>0</v>
      </c>
      <c r="E94" s="294">
        <f t="shared" ref="E94:G94" si="40">E95</f>
        <v>0</v>
      </c>
      <c r="F94" s="294">
        <f t="shared" si="40"/>
        <v>0</v>
      </c>
      <c r="G94" s="294">
        <f t="shared" si="40"/>
        <v>0</v>
      </c>
      <c r="H94" s="294"/>
      <c r="I94" s="294"/>
      <c r="J94" s="129"/>
      <c r="K94" s="129"/>
      <c r="L94" s="129"/>
      <c r="M94" s="129"/>
      <c r="N94" s="129"/>
      <c r="O94" s="143"/>
      <c r="P94" s="143"/>
      <c r="Q94" s="143"/>
      <c r="R94" s="143"/>
      <c r="S94" s="143"/>
      <c r="T94" s="143"/>
      <c r="U94" s="143"/>
      <c r="V94" s="143"/>
      <c r="W94" s="143"/>
    </row>
    <row r="95" spans="1:23" ht="31.9" customHeight="1" x14ac:dyDescent="0.25">
      <c r="A95" s="344" t="s">
        <v>18</v>
      </c>
      <c r="B95" s="361" t="s">
        <v>53</v>
      </c>
      <c r="C95" s="344" t="s">
        <v>6</v>
      </c>
      <c r="D95" s="298"/>
      <c r="E95" s="298"/>
      <c r="F95" s="298"/>
      <c r="G95" s="298"/>
      <c r="H95" s="294"/>
      <c r="I95" s="298"/>
      <c r="J95" s="132"/>
      <c r="K95" s="132"/>
      <c r="L95" s="132"/>
      <c r="M95" s="132"/>
      <c r="N95" s="132"/>
      <c r="O95" s="138"/>
      <c r="P95" s="138"/>
      <c r="Q95" s="138"/>
      <c r="R95" s="138"/>
      <c r="S95" s="138"/>
      <c r="T95" s="138"/>
      <c r="U95" s="138"/>
      <c r="V95" s="138"/>
      <c r="W95" s="138"/>
    </row>
    <row r="96" spans="1:23" ht="31.9" customHeight="1" x14ac:dyDescent="0.25">
      <c r="A96" s="332" t="s">
        <v>54</v>
      </c>
      <c r="B96" s="333" t="s">
        <v>55</v>
      </c>
      <c r="C96" s="332" t="s">
        <v>6</v>
      </c>
      <c r="D96" s="294">
        <f>D97+D98</f>
        <v>0</v>
      </c>
      <c r="E96" s="294">
        <f t="shared" ref="E96:G96" si="41">E97+E98</f>
        <v>0.2</v>
      </c>
      <c r="F96" s="294">
        <f t="shared" si="41"/>
        <v>0</v>
      </c>
      <c r="G96" s="294">
        <f t="shared" si="41"/>
        <v>0</v>
      </c>
      <c r="H96" s="294">
        <f t="shared" si="35"/>
        <v>0</v>
      </c>
      <c r="I96" s="294"/>
      <c r="J96" s="132"/>
      <c r="K96" s="132"/>
      <c r="L96" s="132"/>
      <c r="M96" s="132"/>
      <c r="N96" s="132"/>
      <c r="O96" s="138"/>
      <c r="P96" s="138"/>
      <c r="Q96" s="138"/>
      <c r="R96" s="138"/>
      <c r="S96" s="138"/>
      <c r="T96" s="138"/>
      <c r="U96" s="138"/>
      <c r="V96" s="138"/>
      <c r="W96" s="138"/>
    </row>
    <row r="97" spans="1:23" ht="31.9" customHeight="1" x14ac:dyDescent="0.25">
      <c r="A97" s="343" t="s">
        <v>18</v>
      </c>
      <c r="B97" s="364" t="s">
        <v>213</v>
      </c>
      <c r="C97" s="344" t="s">
        <v>6</v>
      </c>
      <c r="D97" s="298"/>
      <c r="E97" s="298">
        <v>0.2</v>
      </c>
      <c r="F97" s="298"/>
      <c r="G97" s="298"/>
      <c r="H97" s="294">
        <f t="shared" si="35"/>
        <v>0</v>
      </c>
      <c r="I97" s="298"/>
      <c r="J97" s="132"/>
      <c r="K97" s="132"/>
      <c r="L97" s="132"/>
      <c r="M97" s="132"/>
      <c r="N97" s="132"/>
      <c r="O97" s="138"/>
      <c r="P97" s="138"/>
      <c r="Q97" s="138"/>
      <c r="R97" s="138"/>
      <c r="S97" s="138"/>
      <c r="T97" s="138"/>
      <c r="U97" s="138"/>
      <c r="V97" s="138"/>
      <c r="W97" s="138"/>
    </row>
    <row r="98" spans="1:23" ht="31.9" customHeight="1" x14ac:dyDescent="0.25">
      <c r="A98" s="369" t="s">
        <v>18</v>
      </c>
      <c r="B98" s="364" t="s">
        <v>56</v>
      </c>
      <c r="C98" s="344" t="s">
        <v>6</v>
      </c>
      <c r="D98" s="298"/>
      <c r="E98" s="298"/>
      <c r="F98" s="298"/>
      <c r="G98" s="298"/>
      <c r="H98" s="294"/>
      <c r="I98" s="298"/>
      <c r="J98" s="132"/>
      <c r="K98" s="132"/>
      <c r="L98" s="132"/>
      <c r="M98" s="132"/>
      <c r="N98" s="132"/>
      <c r="O98" s="138"/>
      <c r="P98" s="138"/>
      <c r="Q98" s="138"/>
      <c r="R98" s="138"/>
      <c r="S98" s="138"/>
      <c r="T98" s="138"/>
      <c r="U98" s="138"/>
      <c r="V98" s="138"/>
      <c r="W98" s="138"/>
    </row>
    <row r="99" spans="1:23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27"/>
      <c r="L99" s="127"/>
      <c r="M99" s="127"/>
      <c r="N99" s="127"/>
    </row>
    <row r="100" spans="1:23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27"/>
      <c r="L100" s="127"/>
      <c r="M100" s="127"/>
      <c r="N100" s="127"/>
    </row>
    <row r="101" spans="1:23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27"/>
      <c r="L101" s="127"/>
      <c r="M101" s="127"/>
      <c r="N101" s="127"/>
    </row>
    <row r="102" spans="1:23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27"/>
      <c r="L102" s="127"/>
      <c r="M102" s="127"/>
      <c r="N102" s="127"/>
    </row>
    <row r="103" spans="1:23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27"/>
      <c r="L103" s="127"/>
      <c r="M103" s="127"/>
      <c r="N103" s="127"/>
    </row>
    <row r="104" spans="1:23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27"/>
      <c r="L104" s="127"/>
      <c r="M104" s="127"/>
      <c r="N104" s="127"/>
    </row>
    <row r="105" spans="1:23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27"/>
      <c r="L105" s="127"/>
      <c r="M105" s="127"/>
      <c r="N105" s="127"/>
    </row>
    <row r="106" spans="1:23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27"/>
      <c r="L106" s="127"/>
      <c r="M106" s="127"/>
      <c r="N106" s="127"/>
    </row>
    <row r="107" spans="1:23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27"/>
      <c r="L107" s="127"/>
      <c r="M107" s="127"/>
      <c r="N107" s="127"/>
    </row>
    <row r="108" spans="1:23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27"/>
      <c r="L108" s="127"/>
      <c r="M108" s="127"/>
      <c r="N108" s="127"/>
    </row>
    <row r="109" spans="1:23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  <c r="N109" s="127"/>
    </row>
    <row r="110" spans="1:23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  <c r="N110" s="127"/>
    </row>
    <row r="111" spans="1:23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  <c r="N111" s="127"/>
    </row>
    <row r="112" spans="1:23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  <c r="N112" s="127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I7:I8"/>
    <mergeCell ref="E7:H7"/>
    <mergeCell ref="A5:I5"/>
  </mergeCells>
  <pageMargins left="0.47244094488188981" right="0.35433070866141736" top="0.47244094488188981" bottom="0.59055118110236227" header="0" footer="0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84"/>
  <sheetViews>
    <sheetView zoomScaleNormal="100" workbookViewId="0">
      <pane ySplit="8" topLeftCell="A47" activePane="bottomLeft" state="frozen"/>
      <selection pane="bottomLeft" activeCell="E50" sqref="E50"/>
    </sheetView>
  </sheetViews>
  <sheetFormatPr defaultColWidth="11.21875" defaultRowHeight="15" customHeight="1" x14ac:dyDescent="0.25"/>
  <cols>
    <col min="1" max="1" width="6.88671875" style="330" customWidth="1"/>
    <col min="2" max="2" width="29.6640625" style="330" customWidth="1"/>
    <col min="3" max="3" width="10.109375" style="330" customWidth="1"/>
    <col min="4" max="4" width="16.33203125" style="330" customWidth="1"/>
    <col min="5" max="5" width="16.6640625" style="330" customWidth="1"/>
    <col min="6" max="9" width="12.6640625" style="330" customWidth="1"/>
    <col min="10" max="10" width="8.88671875" style="125" customWidth="1"/>
    <col min="11" max="11" width="19" style="125" customWidth="1"/>
    <col min="12" max="14" width="8.88671875" style="125" customWidth="1"/>
    <col min="15" max="16384" width="11.21875" style="125"/>
  </cols>
  <sheetData>
    <row r="1" spans="1:24" ht="15" customHeight="1" x14ac:dyDescent="0.25">
      <c r="H1" s="409"/>
      <c r="I1" s="409"/>
    </row>
    <row r="2" spans="1:24" ht="16.5" x14ac:dyDescent="0.25">
      <c r="A2" s="410"/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  <c r="N2" s="127"/>
    </row>
    <row r="3" spans="1:24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24" ht="16.5" x14ac:dyDescent="0.25">
      <c r="A4" s="405" t="s">
        <v>225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24" ht="16.5" x14ac:dyDescent="0.25">
      <c r="A5" s="417" t="str">
        <f>'LONG LEO(2)'!A5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24" ht="16.5" x14ac:dyDescent="0.25">
      <c r="A6" s="376"/>
      <c r="B6" s="376"/>
      <c r="C6" s="376"/>
      <c r="D6" s="377"/>
      <c r="E6" s="377"/>
      <c r="F6" s="377"/>
      <c r="G6" s="377"/>
      <c r="H6" s="377"/>
      <c r="I6" s="377"/>
      <c r="J6" s="127"/>
      <c r="K6" s="127"/>
      <c r="L6" s="127"/>
      <c r="M6" s="127"/>
      <c r="N6" s="127"/>
    </row>
    <row r="7" spans="1:24" ht="33.6" customHeight="1" x14ac:dyDescent="0.25">
      <c r="A7" s="412" t="s">
        <v>10</v>
      </c>
      <c r="B7" s="412" t="s">
        <v>1</v>
      </c>
      <c r="C7" s="412" t="s">
        <v>11</v>
      </c>
      <c r="D7" s="414" t="s">
        <v>222</v>
      </c>
      <c r="E7" s="416" t="s">
        <v>256</v>
      </c>
      <c r="F7" s="418"/>
      <c r="G7" s="418"/>
      <c r="H7" s="419"/>
      <c r="I7" s="407" t="s">
        <v>259</v>
      </c>
      <c r="J7" s="127"/>
      <c r="K7" s="153" t="s">
        <v>215</v>
      </c>
      <c r="L7" s="174">
        <v>48</v>
      </c>
      <c r="M7" s="127"/>
      <c r="N7" s="127"/>
    </row>
    <row r="8" spans="1:24" ht="33.6" customHeight="1" x14ac:dyDescent="0.25">
      <c r="A8" s="413"/>
      <c r="B8" s="413"/>
      <c r="C8" s="413"/>
      <c r="D8" s="415"/>
      <c r="E8" s="331" t="s">
        <v>257</v>
      </c>
      <c r="F8" s="331" t="s">
        <v>261</v>
      </c>
      <c r="G8" s="331" t="s">
        <v>263</v>
      </c>
      <c r="H8" s="331" t="s">
        <v>258</v>
      </c>
      <c r="I8" s="408"/>
      <c r="J8" s="127"/>
      <c r="K8" s="153" t="s">
        <v>216</v>
      </c>
      <c r="L8" s="174">
        <v>189</v>
      </c>
      <c r="M8" s="127"/>
      <c r="N8" s="127"/>
    </row>
    <row r="9" spans="1:24" s="131" customFormat="1" ht="31.9" customHeight="1" x14ac:dyDescent="0.25">
      <c r="A9" s="3" t="s">
        <v>12</v>
      </c>
      <c r="B9" s="335" t="s">
        <v>13</v>
      </c>
      <c r="C9" s="3" t="s">
        <v>6</v>
      </c>
      <c r="D9" s="291">
        <f>D13+D28+D37+D43+D46+D67</f>
        <v>102.27000000000001</v>
      </c>
      <c r="E9" s="291">
        <f t="shared" ref="E9:G9" si="0">E13+E28+E37+E43+E46+E67</f>
        <v>159.80000000000001</v>
      </c>
      <c r="F9" s="291">
        <f t="shared" si="0"/>
        <v>99.39</v>
      </c>
      <c r="G9" s="291">
        <f t="shared" si="0"/>
        <v>99.39</v>
      </c>
      <c r="H9" s="295">
        <f>F9/E9*100</f>
        <v>62.196495619524406</v>
      </c>
      <c r="I9" s="294"/>
      <c r="J9" s="228"/>
      <c r="K9" s="228"/>
      <c r="L9" s="228"/>
      <c r="M9" s="228"/>
      <c r="N9" s="228"/>
      <c r="O9" s="143"/>
      <c r="P9" s="143"/>
      <c r="Q9" s="143"/>
      <c r="R9" s="143"/>
      <c r="S9" s="143"/>
      <c r="T9" s="143"/>
      <c r="U9" s="143"/>
      <c r="V9" s="143"/>
      <c r="W9" s="143"/>
      <c r="X9" s="143"/>
    </row>
    <row r="10" spans="1:24" s="131" customFormat="1" ht="31.9" customHeight="1" x14ac:dyDescent="0.25">
      <c r="A10" s="3">
        <v>1</v>
      </c>
      <c r="B10" s="335" t="s">
        <v>14</v>
      </c>
      <c r="C10" s="3" t="s">
        <v>6</v>
      </c>
      <c r="D10" s="291">
        <f>D13+D28</f>
        <v>1</v>
      </c>
      <c r="E10" s="291">
        <f t="shared" ref="E10:G10" si="1">E13+E28</f>
        <v>16.05</v>
      </c>
      <c r="F10" s="291">
        <f t="shared" si="1"/>
        <v>1.04</v>
      </c>
      <c r="G10" s="291">
        <f t="shared" si="1"/>
        <v>1.04</v>
      </c>
      <c r="H10" s="295">
        <f t="shared" ref="H10:H73" si="2">F10/E10*100</f>
        <v>6.4797507788162001</v>
      </c>
      <c r="I10" s="294"/>
      <c r="J10" s="228"/>
      <c r="K10" s="228"/>
      <c r="L10" s="228"/>
      <c r="M10" s="228"/>
      <c r="N10" s="228"/>
      <c r="O10" s="143"/>
      <c r="P10" s="143"/>
      <c r="Q10" s="143"/>
      <c r="R10" s="143"/>
      <c r="S10" s="143"/>
      <c r="T10" s="143"/>
      <c r="U10" s="143"/>
      <c r="V10" s="143"/>
      <c r="W10" s="143"/>
      <c r="X10" s="143"/>
    </row>
    <row r="11" spans="1:24" s="131" customFormat="1" ht="31.9" customHeight="1" x14ac:dyDescent="0.25">
      <c r="A11" s="3"/>
      <c r="B11" s="334" t="s">
        <v>16</v>
      </c>
      <c r="C11" s="3" t="s">
        <v>17</v>
      </c>
      <c r="D11" s="291">
        <f>D12+D30</f>
        <v>3.6850000000000001</v>
      </c>
      <c r="E11" s="291">
        <f t="shared" ref="E11:G11" si="3">E12+E30</f>
        <v>56.260339999999999</v>
      </c>
      <c r="F11" s="291">
        <f t="shared" si="3"/>
        <v>0</v>
      </c>
      <c r="G11" s="291">
        <f t="shared" si="3"/>
        <v>0</v>
      </c>
      <c r="H11" s="295">
        <f t="shared" si="2"/>
        <v>0</v>
      </c>
      <c r="I11" s="291"/>
      <c r="J11" s="228"/>
      <c r="K11" s="228"/>
      <c r="L11" s="228"/>
      <c r="M11" s="228"/>
      <c r="N11" s="228"/>
      <c r="O11" s="143"/>
      <c r="P11" s="143"/>
      <c r="Q11" s="143"/>
      <c r="R11" s="143"/>
      <c r="S11" s="143"/>
      <c r="T11" s="143"/>
      <c r="U11" s="143"/>
      <c r="V11" s="143"/>
      <c r="W11" s="143"/>
      <c r="X11" s="143"/>
    </row>
    <row r="12" spans="1:24" s="131" customFormat="1" ht="31.9" customHeight="1" x14ac:dyDescent="0.25">
      <c r="A12" s="3"/>
      <c r="B12" s="335" t="s">
        <v>221</v>
      </c>
      <c r="C12" s="3" t="s">
        <v>17</v>
      </c>
      <c r="D12" s="291">
        <f>D15</f>
        <v>0</v>
      </c>
      <c r="E12" s="291">
        <f t="shared" ref="E12:G12" si="4">E15</f>
        <v>52.570340000000002</v>
      </c>
      <c r="F12" s="291">
        <f t="shared" si="4"/>
        <v>0</v>
      </c>
      <c r="G12" s="291">
        <f t="shared" si="4"/>
        <v>0</v>
      </c>
      <c r="H12" s="295">
        <f t="shared" si="2"/>
        <v>0</v>
      </c>
      <c r="I12" s="291"/>
      <c r="J12" s="228"/>
      <c r="K12" s="228"/>
      <c r="L12" s="228"/>
      <c r="M12" s="228"/>
      <c r="N12" s="228"/>
      <c r="O12" s="143"/>
      <c r="P12" s="143"/>
      <c r="Q12" s="143"/>
      <c r="R12" s="143"/>
      <c r="S12" s="143"/>
      <c r="T12" s="143"/>
      <c r="U12" s="143"/>
      <c r="V12" s="143"/>
      <c r="W12" s="143"/>
      <c r="X12" s="143"/>
    </row>
    <row r="13" spans="1:24" ht="31.9" customHeight="1" x14ac:dyDescent="0.25">
      <c r="A13" s="3" t="s">
        <v>5</v>
      </c>
      <c r="B13" s="335" t="s">
        <v>19</v>
      </c>
      <c r="C13" s="3" t="s">
        <v>6</v>
      </c>
      <c r="D13" s="291">
        <f>D16+D19</f>
        <v>0</v>
      </c>
      <c r="E13" s="291">
        <f t="shared" ref="E13:G13" si="5">E16+E19</f>
        <v>15.05</v>
      </c>
      <c r="F13" s="291">
        <f t="shared" si="5"/>
        <v>1.04</v>
      </c>
      <c r="G13" s="291">
        <f t="shared" si="5"/>
        <v>1.04</v>
      </c>
      <c r="H13" s="295">
        <f t="shared" si="2"/>
        <v>6.9102990033222591</v>
      </c>
      <c r="I13" s="294"/>
      <c r="J13" s="155"/>
      <c r="K13" s="155"/>
      <c r="L13" s="155"/>
      <c r="M13" s="155"/>
      <c r="N13" s="155"/>
      <c r="O13" s="138"/>
      <c r="P13" s="138"/>
      <c r="Q13" s="138"/>
      <c r="R13" s="138"/>
      <c r="S13" s="138"/>
      <c r="T13" s="138"/>
      <c r="U13" s="138"/>
      <c r="V13" s="138"/>
      <c r="W13" s="138"/>
      <c r="X13" s="138"/>
    </row>
    <row r="14" spans="1:24" ht="31.9" customHeight="1" x14ac:dyDescent="0.25">
      <c r="A14" s="3"/>
      <c r="B14" s="337" t="s">
        <v>218</v>
      </c>
      <c r="C14" s="5" t="s">
        <v>219</v>
      </c>
      <c r="D14" s="296"/>
      <c r="E14" s="296">
        <f t="shared" ref="E14:G14" si="6">E15/E13*10</f>
        <v>34.930458471760794</v>
      </c>
      <c r="F14" s="296">
        <f t="shared" si="6"/>
        <v>0</v>
      </c>
      <c r="G14" s="296">
        <f t="shared" si="6"/>
        <v>0</v>
      </c>
      <c r="H14" s="297">
        <f t="shared" si="2"/>
        <v>0</v>
      </c>
      <c r="I14" s="296"/>
      <c r="J14" s="155"/>
      <c r="K14" s="155"/>
      <c r="L14" s="155"/>
      <c r="M14" s="155"/>
      <c r="N14" s="155"/>
      <c r="O14" s="138"/>
      <c r="P14" s="138"/>
      <c r="Q14" s="138"/>
      <c r="R14" s="138"/>
      <c r="S14" s="138"/>
      <c r="T14" s="138"/>
      <c r="U14" s="138"/>
      <c r="V14" s="138"/>
      <c r="W14" s="138"/>
      <c r="X14" s="138"/>
    </row>
    <row r="15" spans="1:24" ht="31.9" customHeight="1" x14ac:dyDescent="0.25">
      <c r="A15" s="3"/>
      <c r="B15" s="337" t="s">
        <v>220</v>
      </c>
      <c r="C15" s="5" t="s">
        <v>17</v>
      </c>
      <c r="D15" s="296">
        <f>D18+D21</f>
        <v>0</v>
      </c>
      <c r="E15" s="296">
        <f t="shared" ref="E15:G15" si="7">E18+E21</f>
        <v>52.570340000000002</v>
      </c>
      <c r="F15" s="296">
        <f t="shared" si="7"/>
        <v>0</v>
      </c>
      <c r="G15" s="296">
        <f t="shared" si="7"/>
        <v>0</v>
      </c>
      <c r="H15" s="297">
        <f t="shared" si="2"/>
        <v>0</v>
      </c>
      <c r="I15" s="296"/>
      <c r="J15" s="155"/>
      <c r="K15" s="155"/>
      <c r="L15" s="155"/>
      <c r="M15" s="155"/>
      <c r="N15" s="155"/>
      <c r="O15" s="138"/>
      <c r="P15" s="138"/>
      <c r="Q15" s="138"/>
      <c r="R15" s="138"/>
      <c r="S15" s="138"/>
      <c r="T15" s="138"/>
      <c r="U15" s="138"/>
      <c r="V15" s="138"/>
      <c r="W15" s="138"/>
      <c r="X15" s="138"/>
    </row>
    <row r="16" spans="1:24" ht="31.9" customHeight="1" x14ac:dyDescent="0.25">
      <c r="A16" s="3" t="s">
        <v>20</v>
      </c>
      <c r="B16" s="335" t="s">
        <v>21</v>
      </c>
      <c r="C16" s="3" t="s">
        <v>6</v>
      </c>
      <c r="D16" s="291"/>
      <c r="E16" s="291">
        <v>1.04</v>
      </c>
      <c r="F16" s="291">
        <v>1.04</v>
      </c>
      <c r="G16" s="291">
        <v>1.04</v>
      </c>
      <c r="H16" s="295">
        <f t="shared" si="2"/>
        <v>100</v>
      </c>
      <c r="I16" s="294"/>
      <c r="J16" s="134"/>
      <c r="K16" s="134"/>
      <c r="L16" s="134"/>
      <c r="M16" s="134"/>
      <c r="N16" s="134"/>
      <c r="O16" s="161"/>
      <c r="P16" s="161"/>
      <c r="Q16" s="161"/>
      <c r="R16" s="161"/>
      <c r="S16" s="138"/>
      <c r="T16" s="138"/>
      <c r="U16" s="138"/>
      <c r="V16" s="138"/>
      <c r="W16" s="138"/>
      <c r="X16" s="138"/>
    </row>
    <row r="17" spans="1:24" ht="31.9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/>
      <c r="G17" s="296">
        <v>0</v>
      </c>
      <c r="H17" s="297">
        <f t="shared" si="2"/>
        <v>0</v>
      </c>
      <c r="I17" s="296"/>
      <c r="J17" s="134"/>
      <c r="K17" s="134"/>
      <c r="L17" s="134"/>
      <c r="M17" s="134"/>
      <c r="N17" s="134"/>
      <c r="O17" s="161"/>
      <c r="P17" s="161"/>
      <c r="Q17" s="161"/>
      <c r="R17" s="161"/>
      <c r="S17" s="138"/>
      <c r="T17" s="138"/>
      <c r="U17" s="138"/>
      <c r="V17" s="138"/>
      <c r="W17" s="138"/>
      <c r="X17" s="138"/>
    </row>
    <row r="18" spans="1:24" ht="31.9" customHeight="1" x14ac:dyDescent="0.25">
      <c r="A18" s="3"/>
      <c r="B18" s="337" t="s">
        <v>220</v>
      </c>
      <c r="C18" s="5" t="s">
        <v>17</v>
      </c>
      <c r="D18" s="296">
        <f>D16*D17/10</f>
        <v>0</v>
      </c>
      <c r="E18" s="296">
        <f t="shared" ref="E18:G18" si="8">E16*E17/10</f>
        <v>3.4840000000000004</v>
      </c>
      <c r="F18" s="296">
        <f t="shared" si="8"/>
        <v>0</v>
      </c>
      <c r="G18" s="296">
        <f t="shared" si="8"/>
        <v>0</v>
      </c>
      <c r="H18" s="297">
        <f t="shared" si="2"/>
        <v>0</v>
      </c>
      <c r="I18" s="296"/>
      <c r="J18" s="134"/>
      <c r="K18" s="134"/>
      <c r="L18" s="134"/>
      <c r="M18" s="134"/>
      <c r="N18" s="134"/>
      <c r="O18" s="161"/>
      <c r="P18" s="161"/>
      <c r="Q18" s="161"/>
      <c r="R18" s="161"/>
      <c r="S18" s="138"/>
      <c r="T18" s="138"/>
      <c r="U18" s="138"/>
      <c r="V18" s="138"/>
      <c r="W18" s="138"/>
      <c r="X18" s="138"/>
    </row>
    <row r="19" spans="1:24" ht="31.9" customHeight="1" x14ac:dyDescent="0.25">
      <c r="A19" s="379" t="s">
        <v>22</v>
      </c>
      <c r="B19" s="380" t="s">
        <v>23</v>
      </c>
      <c r="C19" s="379" t="s">
        <v>6</v>
      </c>
      <c r="D19" s="291">
        <f t="shared" ref="D19:G19" si="9">D22+D25</f>
        <v>0</v>
      </c>
      <c r="E19" s="291">
        <f t="shared" si="9"/>
        <v>14.01</v>
      </c>
      <c r="F19" s="291">
        <f t="shared" si="9"/>
        <v>0</v>
      </c>
      <c r="G19" s="291">
        <f t="shared" si="9"/>
        <v>0</v>
      </c>
      <c r="H19" s="297">
        <f t="shared" si="2"/>
        <v>0</v>
      </c>
      <c r="I19" s="294"/>
      <c r="J19" s="132"/>
      <c r="K19" s="132"/>
      <c r="L19" s="132"/>
      <c r="M19" s="132"/>
      <c r="N19" s="132"/>
      <c r="O19" s="147"/>
      <c r="P19" s="162"/>
      <c r="Q19" s="162"/>
      <c r="R19" s="162"/>
      <c r="S19" s="162"/>
      <c r="T19" s="162"/>
      <c r="U19" s="162"/>
      <c r="V19" s="138"/>
      <c r="W19" s="138"/>
      <c r="X19" s="138"/>
    </row>
    <row r="20" spans="1:24" ht="31.9" customHeight="1" x14ac:dyDescent="0.25">
      <c r="A20" s="379"/>
      <c r="B20" s="337" t="s">
        <v>218</v>
      </c>
      <c r="C20" s="5" t="s">
        <v>219</v>
      </c>
      <c r="D20" s="296"/>
      <c r="E20" s="296">
        <f>E21/E19*10</f>
        <v>35.036645253390432</v>
      </c>
      <c r="F20" s="296"/>
      <c r="G20" s="296"/>
      <c r="H20" s="297">
        <f t="shared" si="2"/>
        <v>0</v>
      </c>
      <c r="I20" s="296"/>
      <c r="J20" s="132"/>
      <c r="K20" s="132"/>
      <c r="L20" s="132"/>
      <c r="M20" s="132"/>
      <c r="N20" s="132"/>
      <c r="O20" s="147"/>
      <c r="P20" s="162"/>
      <c r="Q20" s="162"/>
      <c r="R20" s="162"/>
      <c r="S20" s="162"/>
      <c r="T20" s="162"/>
      <c r="U20" s="162"/>
      <c r="V20" s="138"/>
      <c r="W20" s="138"/>
      <c r="X20" s="138"/>
    </row>
    <row r="21" spans="1:24" ht="31.9" customHeight="1" x14ac:dyDescent="0.25">
      <c r="A21" s="379"/>
      <c r="B21" s="337" t="s">
        <v>220</v>
      </c>
      <c r="C21" s="5" t="s">
        <v>17</v>
      </c>
      <c r="D21" s="296">
        <f>D24+D27</f>
        <v>0</v>
      </c>
      <c r="E21" s="296">
        <f t="shared" ref="E21:G21" si="10">E24+E27</f>
        <v>49.08634</v>
      </c>
      <c r="F21" s="296">
        <f t="shared" si="10"/>
        <v>0</v>
      </c>
      <c r="G21" s="296">
        <f t="shared" si="10"/>
        <v>0</v>
      </c>
      <c r="H21" s="297">
        <f t="shared" si="2"/>
        <v>0</v>
      </c>
      <c r="I21" s="296"/>
      <c r="J21" s="132"/>
      <c r="K21" s="132"/>
      <c r="L21" s="132"/>
      <c r="M21" s="132"/>
      <c r="N21" s="132"/>
      <c r="O21" s="147"/>
      <c r="P21" s="162"/>
      <c r="Q21" s="162"/>
      <c r="R21" s="162"/>
      <c r="S21" s="162"/>
      <c r="T21" s="162"/>
      <c r="U21" s="162"/>
      <c r="V21" s="138"/>
      <c r="W21" s="138"/>
      <c r="X21" s="138"/>
    </row>
    <row r="22" spans="1:24" ht="31.9" customHeight="1" x14ac:dyDescent="0.25">
      <c r="A22" s="379" t="s">
        <v>24</v>
      </c>
      <c r="B22" s="380" t="s">
        <v>25</v>
      </c>
      <c r="C22" s="379" t="s">
        <v>6</v>
      </c>
      <c r="D22" s="291"/>
      <c r="E22" s="291">
        <v>12.01</v>
      </c>
      <c r="F22" s="296"/>
      <c r="G22" s="291">
        <v>0</v>
      </c>
      <c r="H22" s="297">
        <f t="shared" si="2"/>
        <v>0</v>
      </c>
      <c r="I22" s="298"/>
      <c r="J22" s="116"/>
      <c r="K22" s="116"/>
      <c r="L22" s="116"/>
      <c r="M22" s="116"/>
      <c r="N22" s="116"/>
      <c r="O22" s="119"/>
      <c r="P22" s="118"/>
      <c r="Q22" s="118"/>
      <c r="R22" s="118"/>
      <c r="S22" s="163"/>
      <c r="T22" s="163"/>
      <c r="U22" s="162"/>
      <c r="V22" s="138"/>
      <c r="W22" s="138"/>
      <c r="X22" s="138"/>
    </row>
    <row r="23" spans="1:24" ht="31.9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/>
      <c r="G23" s="296"/>
      <c r="H23" s="297">
        <f t="shared" si="2"/>
        <v>0</v>
      </c>
      <c r="I23" s="296"/>
      <c r="J23" s="116"/>
      <c r="K23" s="116"/>
      <c r="L23" s="116"/>
      <c r="M23" s="116"/>
      <c r="N23" s="116"/>
      <c r="O23" s="119"/>
      <c r="P23" s="118"/>
      <c r="Q23" s="118"/>
      <c r="R23" s="118"/>
      <c r="S23" s="163"/>
      <c r="T23" s="163"/>
      <c r="U23" s="162"/>
      <c r="V23" s="138"/>
      <c r="W23" s="138"/>
      <c r="X23" s="138"/>
    </row>
    <row r="24" spans="1:24" ht="31.9" customHeight="1" x14ac:dyDescent="0.25">
      <c r="A24" s="379"/>
      <c r="B24" s="337" t="s">
        <v>220</v>
      </c>
      <c r="C24" s="5" t="s">
        <v>17</v>
      </c>
      <c r="D24" s="296">
        <f>D22*D23/10</f>
        <v>0</v>
      </c>
      <c r="E24" s="296">
        <f>E22*E23/10</f>
        <v>46.046340000000001</v>
      </c>
      <c r="F24" s="296">
        <f t="shared" ref="F24:G24" si="11">F22*F23/10</f>
        <v>0</v>
      </c>
      <c r="G24" s="296">
        <f t="shared" si="11"/>
        <v>0</v>
      </c>
      <c r="H24" s="297">
        <f t="shared" si="2"/>
        <v>0</v>
      </c>
      <c r="I24" s="296"/>
      <c r="J24" s="116"/>
      <c r="K24" s="116"/>
      <c r="L24" s="116"/>
      <c r="M24" s="116"/>
      <c r="N24" s="116"/>
      <c r="O24" s="119"/>
      <c r="P24" s="118"/>
      <c r="Q24" s="118"/>
      <c r="R24" s="118"/>
      <c r="S24" s="163"/>
      <c r="T24" s="163"/>
      <c r="U24" s="162"/>
      <c r="V24" s="138"/>
      <c r="W24" s="138"/>
      <c r="X24" s="138"/>
    </row>
    <row r="25" spans="1:24" ht="31.9" customHeight="1" x14ac:dyDescent="0.25">
      <c r="A25" s="379" t="s">
        <v>24</v>
      </c>
      <c r="B25" s="380" t="s">
        <v>26</v>
      </c>
      <c r="C25" s="379" t="s">
        <v>6</v>
      </c>
      <c r="D25" s="291"/>
      <c r="E25" s="291">
        <v>2</v>
      </c>
      <c r="F25" s="296">
        <v>0</v>
      </c>
      <c r="G25" s="291">
        <v>0</v>
      </c>
      <c r="H25" s="297">
        <f t="shared" si="2"/>
        <v>0</v>
      </c>
      <c r="I25" s="298"/>
      <c r="J25" s="116"/>
      <c r="K25" s="116"/>
      <c r="L25" s="116"/>
      <c r="M25" s="116"/>
      <c r="N25" s="116"/>
      <c r="O25" s="119"/>
      <c r="P25" s="119"/>
      <c r="Q25" s="115"/>
      <c r="R25" s="115"/>
      <c r="S25" s="138"/>
      <c r="T25" s="138"/>
      <c r="U25" s="138"/>
      <c r="V25" s="138"/>
      <c r="W25" s="138"/>
      <c r="X25" s="138"/>
    </row>
    <row r="26" spans="1:24" ht="31.9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15.2</v>
      </c>
      <c r="F26" s="296"/>
      <c r="G26" s="296"/>
      <c r="H26" s="297">
        <f t="shared" si="2"/>
        <v>0</v>
      </c>
      <c r="I26" s="296"/>
      <c r="J26" s="116"/>
      <c r="K26" s="116"/>
      <c r="L26" s="116"/>
      <c r="M26" s="116"/>
      <c r="N26" s="116"/>
      <c r="O26" s="119"/>
      <c r="P26" s="119"/>
      <c r="Q26" s="115"/>
      <c r="R26" s="115"/>
      <c r="S26" s="138"/>
      <c r="T26" s="138"/>
      <c r="U26" s="138"/>
      <c r="V26" s="138"/>
      <c r="W26" s="138"/>
      <c r="X26" s="138"/>
    </row>
    <row r="27" spans="1:24" ht="31.9" customHeight="1" x14ac:dyDescent="0.25">
      <c r="A27" s="379"/>
      <c r="B27" s="337" t="s">
        <v>220</v>
      </c>
      <c r="C27" s="5" t="s">
        <v>17</v>
      </c>
      <c r="D27" s="296">
        <f>D25*D26/10</f>
        <v>0</v>
      </c>
      <c r="E27" s="296">
        <f>E25*E26/10</f>
        <v>3.04</v>
      </c>
      <c r="F27" s="296">
        <f t="shared" ref="F27:G27" si="12">F25*F26/10</f>
        <v>0</v>
      </c>
      <c r="G27" s="296">
        <f t="shared" si="12"/>
        <v>0</v>
      </c>
      <c r="H27" s="297">
        <f t="shared" si="2"/>
        <v>0</v>
      </c>
      <c r="I27" s="296"/>
      <c r="J27" s="116"/>
      <c r="K27" s="116"/>
      <c r="L27" s="116"/>
      <c r="M27" s="116"/>
      <c r="N27" s="116"/>
      <c r="O27" s="119"/>
      <c r="P27" s="119"/>
      <c r="Q27" s="115"/>
      <c r="R27" s="115"/>
      <c r="S27" s="138"/>
      <c r="T27" s="138"/>
      <c r="U27" s="138"/>
      <c r="V27" s="138"/>
      <c r="W27" s="138"/>
      <c r="X27" s="138"/>
    </row>
    <row r="28" spans="1:24" ht="31.9" customHeight="1" x14ac:dyDescent="0.25">
      <c r="A28" s="3" t="s">
        <v>7</v>
      </c>
      <c r="B28" s="335" t="s">
        <v>27</v>
      </c>
      <c r="C28" s="3" t="s">
        <v>6</v>
      </c>
      <c r="D28" s="291">
        <f t="shared" ref="D28:G28" si="13">D31+D34</f>
        <v>1</v>
      </c>
      <c r="E28" s="291">
        <f t="shared" si="13"/>
        <v>1</v>
      </c>
      <c r="F28" s="291">
        <f t="shared" si="13"/>
        <v>0</v>
      </c>
      <c r="G28" s="291">
        <f t="shared" si="13"/>
        <v>0</v>
      </c>
      <c r="H28" s="297">
        <f t="shared" si="2"/>
        <v>0</v>
      </c>
      <c r="I28" s="294"/>
      <c r="J28" s="120"/>
      <c r="K28" s="120"/>
      <c r="L28" s="120"/>
      <c r="M28" s="120"/>
      <c r="N28" s="120"/>
      <c r="O28" s="115"/>
      <c r="P28" s="115"/>
      <c r="Q28" s="115"/>
      <c r="R28" s="115"/>
      <c r="S28" s="138"/>
      <c r="T28" s="138"/>
      <c r="U28" s="138"/>
      <c r="V28" s="138"/>
      <c r="W28" s="138"/>
      <c r="X28" s="138"/>
    </row>
    <row r="29" spans="1:24" ht="31.9" customHeight="1" x14ac:dyDescent="0.25">
      <c r="A29" s="3"/>
      <c r="B29" s="337" t="s">
        <v>218</v>
      </c>
      <c r="C29" s="5" t="s">
        <v>219</v>
      </c>
      <c r="D29" s="296">
        <f>D30/D28*10</f>
        <v>36.85</v>
      </c>
      <c r="E29" s="296">
        <f t="shared" ref="E29" si="14">E30/E28*10</f>
        <v>36.9</v>
      </c>
      <c r="F29" s="296"/>
      <c r="G29" s="296"/>
      <c r="H29" s="297">
        <f t="shared" si="2"/>
        <v>0</v>
      </c>
      <c r="I29" s="296"/>
      <c r="J29" s="120"/>
      <c r="K29" s="120"/>
      <c r="L29" s="120"/>
      <c r="M29" s="120"/>
      <c r="N29" s="120"/>
      <c r="O29" s="115"/>
      <c r="P29" s="115"/>
      <c r="Q29" s="115"/>
      <c r="R29" s="115"/>
      <c r="S29" s="138"/>
      <c r="T29" s="138"/>
      <c r="U29" s="138"/>
      <c r="V29" s="138"/>
      <c r="W29" s="138"/>
      <c r="X29" s="138"/>
    </row>
    <row r="30" spans="1:24" ht="31.9" customHeight="1" x14ac:dyDescent="0.25">
      <c r="A30" s="3"/>
      <c r="B30" s="337" t="s">
        <v>220</v>
      </c>
      <c r="C30" s="5" t="s">
        <v>17</v>
      </c>
      <c r="D30" s="296">
        <f>D33+D36</f>
        <v>3.6850000000000001</v>
      </c>
      <c r="E30" s="296">
        <f t="shared" ref="E30:G30" si="15">E33+E36</f>
        <v>3.69</v>
      </c>
      <c r="F30" s="296">
        <f t="shared" si="15"/>
        <v>0</v>
      </c>
      <c r="G30" s="296">
        <f t="shared" si="15"/>
        <v>0</v>
      </c>
      <c r="H30" s="297">
        <f t="shared" si="2"/>
        <v>0</v>
      </c>
      <c r="I30" s="296"/>
      <c r="J30" s="120"/>
      <c r="K30" s="120"/>
      <c r="L30" s="120"/>
      <c r="M30" s="120"/>
      <c r="N30" s="120"/>
      <c r="O30" s="115"/>
      <c r="P30" s="115"/>
      <c r="Q30" s="115"/>
      <c r="R30" s="115"/>
      <c r="S30" s="138"/>
      <c r="T30" s="138"/>
      <c r="U30" s="138"/>
      <c r="V30" s="138"/>
      <c r="W30" s="138"/>
      <c r="X30" s="138"/>
    </row>
    <row r="31" spans="1:24" ht="31.9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/>
      <c r="G31" s="296"/>
      <c r="H31" s="297"/>
      <c r="I31" s="294"/>
      <c r="J31" s="120"/>
      <c r="K31" s="120"/>
      <c r="L31" s="120"/>
      <c r="M31" s="120"/>
      <c r="N31" s="120"/>
      <c r="O31" s="115"/>
      <c r="P31" s="115"/>
      <c r="Q31" s="115"/>
      <c r="R31" s="115"/>
      <c r="S31" s="138"/>
      <c r="T31" s="138"/>
      <c r="U31" s="138"/>
      <c r="V31" s="138"/>
      <c r="W31" s="138"/>
      <c r="X31" s="138"/>
    </row>
    <row r="32" spans="1:24" ht="31.9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6"/>
      <c r="H32" s="297"/>
      <c r="I32" s="294"/>
      <c r="J32" s="120"/>
      <c r="K32" s="120"/>
      <c r="L32" s="120"/>
      <c r="M32" s="120"/>
      <c r="N32" s="120"/>
      <c r="O32" s="115"/>
      <c r="P32" s="115"/>
      <c r="Q32" s="115"/>
      <c r="R32" s="115"/>
      <c r="S32" s="138"/>
      <c r="T32" s="138"/>
      <c r="U32" s="138"/>
      <c r="V32" s="138"/>
      <c r="W32" s="138"/>
      <c r="X32" s="138"/>
    </row>
    <row r="33" spans="1:24" ht="31.9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6"/>
      <c r="H33" s="297"/>
      <c r="I33" s="294"/>
      <c r="J33" s="120"/>
      <c r="K33" s="120"/>
      <c r="L33" s="120"/>
      <c r="M33" s="120"/>
      <c r="N33" s="120"/>
      <c r="O33" s="115"/>
      <c r="P33" s="115"/>
      <c r="Q33" s="115"/>
      <c r="R33" s="115"/>
      <c r="S33" s="138"/>
      <c r="T33" s="138"/>
      <c r="U33" s="138"/>
      <c r="V33" s="138"/>
      <c r="W33" s="138"/>
      <c r="X33" s="138"/>
    </row>
    <row r="34" spans="1:24" ht="31.9" customHeight="1" x14ac:dyDescent="0.25">
      <c r="A34" s="379" t="s">
        <v>22</v>
      </c>
      <c r="B34" s="380" t="s">
        <v>29</v>
      </c>
      <c r="C34" s="379" t="s">
        <v>6</v>
      </c>
      <c r="D34" s="313">
        <v>1</v>
      </c>
      <c r="E34" s="313">
        <v>1</v>
      </c>
      <c r="F34" s="299">
        <v>0</v>
      </c>
      <c r="G34" s="313">
        <v>0</v>
      </c>
      <c r="H34" s="297">
        <f t="shared" si="2"/>
        <v>0</v>
      </c>
      <c r="I34" s="298"/>
      <c r="J34" s="155"/>
      <c r="K34" s="155"/>
      <c r="L34" s="155"/>
      <c r="M34" s="155"/>
      <c r="N34" s="155"/>
      <c r="O34" s="138"/>
      <c r="P34" s="138"/>
      <c r="Q34" s="138"/>
      <c r="R34" s="138"/>
      <c r="S34" s="138"/>
      <c r="T34" s="138"/>
      <c r="U34" s="138"/>
      <c r="V34" s="138"/>
      <c r="W34" s="138"/>
      <c r="X34" s="138"/>
    </row>
    <row r="35" spans="1:24" ht="31.9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/>
      <c r="G35" s="296"/>
      <c r="H35" s="297">
        <f t="shared" si="2"/>
        <v>0</v>
      </c>
      <c r="I35" s="296"/>
      <c r="J35" s="155"/>
      <c r="K35" s="169"/>
      <c r="L35" s="169"/>
      <c r="M35" s="169"/>
      <c r="N35" s="169"/>
      <c r="O35" s="169"/>
      <c r="P35" s="138"/>
      <c r="Q35" s="138"/>
      <c r="R35" s="138"/>
      <c r="S35" s="138"/>
      <c r="T35" s="138"/>
      <c r="U35" s="138"/>
      <c r="V35" s="138"/>
      <c r="W35" s="138"/>
      <c r="X35" s="138"/>
    </row>
    <row r="36" spans="1:24" ht="31.9" customHeight="1" x14ac:dyDescent="0.25">
      <c r="A36" s="379"/>
      <c r="B36" s="337" t="s">
        <v>220</v>
      </c>
      <c r="C36" s="5" t="s">
        <v>17</v>
      </c>
      <c r="D36" s="296">
        <f>D34*D35/10</f>
        <v>3.6850000000000001</v>
      </c>
      <c r="E36" s="296">
        <f t="shared" ref="E36:G36" si="16">E34*E35/10</f>
        <v>3.69</v>
      </c>
      <c r="F36" s="296">
        <f t="shared" si="16"/>
        <v>0</v>
      </c>
      <c r="G36" s="296">
        <f t="shared" si="16"/>
        <v>0</v>
      </c>
      <c r="H36" s="297">
        <f t="shared" si="2"/>
        <v>0</v>
      </c>
      <c r="I36" s="296"/>
      <c r="J36" s="155"/>
      <c r="K36" s="137"/>
      <c r="L36" s="137"/>
      <c r="M36" s="137"/>
      <c r="N36" s="137"/>
      <c r="O36" s="137"/>
      <c r="P36" s="138"/>
      <c r="Q36" s="138"/>
      <c r="R36" s="138"/>
      <c r="S36" s="138"/>
      <c r="T36" s="138"/>
      <c r="U36" s="138"/>
      <c r="V36" s="138"/>
      <c r="W36" s="138"/>
      <c r="X36" s="138"/>
    </row>
    <row r="37" spans="1:24" ht="31.9" customHeight="1" x14ac:dyDescent="0.25">
      <c r="A37" s="3">
        <v>2</v>
      </c>
      <c r="B37" s="335" t="s">
        <v>30</v>
      </c>
      <c r="C37" s="3" t="s">
        <v>6</v>
      </c>
      <c r="D37" s="296"/>
      <c r="E37" s="291">
        <v>19.03</v>
      </c>
      <c r="F37" s="291">
        <v>0</v>
      </c>
      <c r="G37" s="291">
        <v>0</v>
      </c>
      <c r="H37" s="297">
        <f t="shared" si="2"/>
        <v>0</v>
      </c>
      <c r="I37" s="298"/>
      <c r="J37" s="116"/>
      <c r="K37" s="116"/>
      <c r="L37" s="116"/>
      <c r="M37" s="116"/>
      <c r="N37" s="116"/>
      <c r="O37" s="116"/>
      <c r="P37" s="119"/>
      <c r="Q37" s="119"/>
      <c r="R37" s="119"/>
      <c r="S37" s="119"/>
      <c r="T37" s="119"/>
      <c r="U37" s="119"/>
      <c r="V37" s="119"/>
      <c r="W37" s="138"/>
      <c r="X37" s="138"/>
    </row>
    <row r="38" spans="1:24" ht="31.9" customHeight="1" x14ac:dyDescent="0.25">
      <c r="A38" s="3"/>
      <c r="B38" s="337" t="s">
        <v>218</v>
      </c>
      <c r="C38" s="5" t="s">
        <v>219</v>
      </c>
      <c r="D38" s="294"/>
      <c r="E38" s="298">
        <v>140</v>
      </c>
      <c r="F38" s="296"/>
      <c r="G38" s="296"/>
      <c r="H38" s="297">
        <f t="shared" si="2"/>
        <v>0</v>
      </c>
      <c r="I38" s="298"/>
      <c r="J38" s="116"/>
      <c r="K38" s="116"/>
      <c r="L38" s="116"/>
      <c r="M38" s="116"/>
      <c r="N38" s="116"/>
      <c r="O38" s="116"/>
      <c r="P38" s="119"/>
      <c r="Q38" s="119"/>
      <c r="R38" s="119"/>
      <c r="S38" s="119"/>
      <c r="T38" s="119"/>
      <c r="U38" s="119"/>
      <c r="V38" s="119"/>
      <c r="W38" s="138"/>
      <c r="X38" s="138"/>
    </row>
    <row r="39" spans="1:24" ht="31.9" customHeight="1" x14ac:dyDescent="0.25">
      <c r="A39" s="399"/>
      <c r="B39" s="346" t="s">
        <v>220</v>
      </c>
      <c r="C39" s="347" t="s">
        <v>17</v>
      </c>
      <c r="D39" s="310"/>
      <c r="E39" s="311">
        <f>E37*E38/10</f>
        <v>266.42</v>
      </c>
      <c r="F39" s="311">
        <f t="shared" ref="F39:G39" si="17">F37*F38/10</f>
        <v>0</v>
      </c>
      <c r="G39" s="311">
        <f t="shared" si="17"/>
        <v>0</v>
      </c>
      <c r="H39" s="297">
        <f t="shared" si="2"/>
        <v>0</v>
      </c>
      <c r="I39" s="298"/>
      <c r="J39" s="116"/>
      <c r="K39" s="116"/>
      <c r="L39" s="116"/>
      <c r="M39" s="116"/>
      <c r="N39" s="116"/>
      <c r="O39" s="116"/>
      <c r="P39" s="119"/>
      <c r="Q39" s="119"/>
      <c r="R39" s="119"/>
      <c r="S39" s="119"/>
      <c r="T39" s="119"/>
      <c r="U39" s="119"/>
      <c r="V39" s="119"/>
      <c r="W39" s="138"/>
      <c r="X39" s="138"/>
    </row>
    <row r="40" spans="1:24" ht="31.9" customHeight="1" x14ac:dyDescent="0.25">
      <c r="A40" s="332">
        <v>3</v>
      </c>
      <c r="B40" s="333" t="s">
        <v>241</v>
      </c>
      <c r="C40" s="332" t="s">
        <v>6</v>
      </c>
      <c r="D40" s="294"/>
      <c r="E40" s="294">
        <v>0</v>
      </c>
      <c r="F40" s="315"/>
      <c r="G40" s="291"/>
      <c r="H40" s="297"/>
      <c r="I40" s="294"/>
      <c r="J40" s="116"/>
      <c r="K40" s="116"/>
      <c r="L40" s="116"/>
      <c r="M40" s="116"/>
      <c r="N40" s="116"/>
      <c r="O40" s="116"/>
      <c r="P40" s="119"/>
      <c r="Q40" s="119"/>
      <c r="R40" s="119"/>
      <c r="S40" s="119"/>
      <c r="T40" s="119"/>
      <c r="U40" s="119"/>
      <c r="V40" s="119"/>
      <c r="W40" s="138"/>
      <c r="X40" s="138"/>
    </row>
    <row r="41" spans="1:24" ht="31.9" customHeight="1" x14ac:dyDescent="0.25">
      <c r="A41" s="332"/>
      <c r="B41" s="336" t="s">
        <v>218</v>
      </c>
      <c r="C41" s="343" t="s">
        <v>219</v>
      </c>
      <c r="D41" s="298"/>
      <c r="E41" s="298">
        <v>24.1</v>
      </c>
      <c r="F41" s="312"/>
      <c r="G41" s="296"/>
      <c r="H41" s="297">
        <f t="shared" si="2"/>
        <v>0</v>
      </c>
      <c r="I41" s="298"/>
      <c r="J41" s="116"/>
      <c r="K41" s="116"/>
      <c r="L41" s="116"/>
      <c r="M41" s="116"/>
      <c r="N41" s="116"/>
      <c r="O41" s="116"/>
      <c r="P41" s="119"/>
      <c r="Q41" s="119"/>
      <c r="R41" s="119"/>
      <c r="S41" s="119"/>
      <c r="T41" s="119"/>
      <c r="U41" s="119"/>
      <c r="V41" s="119"/>
      <c r="W41" s="138"/>
      <c r="X41" s="138"/>
    </row>
    <row r="42" spans="1:24" ht="31.9" customHeight="1" x14ac:dyDescent="0.25">
      <c r="A42" s="332"/>
      <c r="B42" s="336" t="s">
        <v>220</v>
      </c>
      <c r="C42" s="343" t="s">
        <v>17</v>
      </c>
      <c r="D42" s="298"/>
      <c r="E42" s="298">
        <f>E40*E41/10</f>
        <v>0</v>
      </c>
      <c r="F42" s="298">
        <f t="shared" ref="F42:G42" si="18">F40*F41/10</f>
        <v>0</v>
      </c>
      <c r="G42" s="298">
        <f t="shared" si="18"/>
        <v>0</v>
      </c>
      <c r="H42" s="297"/>
      <c r="I42" s="298"/>
      <c r="J42" s="116"/>
      <c r="K42" s="116"/>
      <c r="L42" s="116"/>
      <c r="M42" s="116"/>
      <c r="N42" s="116"/>
      <c r="O42" s="116"/>
      <c r="P42" s="119"/>
      <c r="Q42" s="119"/>
      <c r="R42" s="119"/>
      <c r="S42" s="119"/>
      <c r="T42" s="119"/>
      <c r="U42" s="119"/>
      <c r="V42" s="119"/>
      <c r="W42" s="138"/>
      <c r="X42" s="138"/>
    </row>
    <row r="43" spans="1:24" ht="31.9" customHeight="1" x14ac:dyDescent="0.25">
      <c r="A43" s="400">
        <v>4</v>
      </c>
      <c r="B43" s="335" t="s">
        <v>242</v>
      </c>
      <c r="C43" s="3" t="s">
        <v>6</v>
      </c>
      <c r="D43" s="292">
        <v>0.5</v>
      </c>
      <c r="E43" s="292">
        <v>0.5</v>
      </c>
      <c r="F43" s="291">
        <v>0.27</v>
      </c>
      <c r="G43" s="291">
        <f>F43</f>
        <v>0.27</v>
      </c>
      <c r="H43" s="295">
        <f t="shared" si="2"/>
        <v>54</v>
      </c>
      <c r="I43" s="294"/>
      <c r="J43" s="155"/>
      <c r="K43" s="215"/>
      <c r="L43" s="215"/>
      <c r="M43" s="215"/>
      <c r="N43" s="215"/>
      <c r="O43" s="215"/>
      <c r="P43" s="138"/>
      <c r="Q43" s="138"/>
      <c r="R43" s="138"/>
      <c r="S43" s="138"/>
      <c r="T43" s="138"/>
      <c r="U43" s="138"/>
      <c r="V43" s="138"/>
      <c r="W43" s="138"/>
      <c r="X43" s="138"/>
    </row>
    <row r="44" spans="1:24" ht="31.9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7">
        <f t="shared" si="2"/>
        <v>0</v>
      </c>
      <c r="I44" s="298"/>
      <c r="J44" s="155"/>
      <c r="K44" s="249"/>
      <c r="L44" s="155"/>
      <c r="M44" s="155"/>
      <c r="N44" s="155"/>
      <c r="O44" s="138"/>
      <c r="P44" s="138"/>
      <c r="Q44" s="138"/>
      <c r="R44" s="138"/>
      <c r="S44" s="138"/>
      <c r="T44" s="138"/>
      <c r="U44" s="138"/>
      <c r="V44" s="138"/>
      <c r="W44" s="138"/>
      <c r="X44" s="138"/>
    </row>
    <row r="45" spans="1:24" ht="31.9" customHeight="1" x14ac:dyDescent="0.25">
      <c r="A45" s="5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19">F43*F44/10</f>
        <v>0</v>
      </c>
      <c r="G45" s="296">
        <f t="shared" si="19"/>
        <v>0</v>
      </c>
      <c r="H45" s="297">
        <f t="shared" si="2"/>
        <v>0</v>
      </c>
      <c r="I45" s="298"/>
      <c r="J45" s="155"/>
      <c r="K45" s="155"/>
      <c r="L45" s="155"/>
      <c r="M45" s="155"/>
      <c r="N45" s="155"/>
      <c r="O45" s="138"/>
      <c r="P45" s="138"/>
      <c r="Q45" s="138"/>
      <c r="R45" s="138"/>
      <c r="S45" s="138"/>
      <c r="T45" s="138"/>
      <c r="U45" s="138"/>
      <c r="V45" s="138"/>
      <c r="W45" s="138"/>
      <c r="X45" s="138"/>
    </row>
    <row r="46" spans="1:24" ht="31.9" customHeight="1" x14ac:dyDescent="0.25">
      <c r="A46" s="3">
        <v>5</v>
      </c>
      <c r="B46" s="335" t="s">
        <v>32</v>
      </c>
      <c r="C46" s="3" t="s">
        <v>6</v>
      </c>
      <c r="D46" s="291">
        <f>D47+D55+D64</f>
        <v>78.830000000000013</v>
      </c>
      <c r="E46" s="291">
        <f t="shared" ref="E46:G46" si="20">E47+E55+E64</f>
        <v>89.63</v>
      </c>
      <c r="F46" s="291">
        <f t="shared" si="20"/>
        <v>79.13</v>
      </c>
      <c r="G46" s="291">
        <f t="shared" si="20"/>
        <v>79.13</v>
      </c>
      <c r="H46" s="295">
        <f t="shared" si="2"/>
        <v>88.285172375320769</v>
      </c>
      <c r="I46" s="294"/>
      <c r="J46" s="155"/>
      <c r="K46" s="155"/>
      <c r="L46" s="155"/>
      <c r="M46" s="155"/>
      <c r="N46" s="155"/>
      <c r="O46" s="138"/>
      <c r="P46" s="138"/>
      <c r="Q46" s="138"/>
      <c r="R46" s="138"/>
      <c r="S46" s="138"/>
      <c r="T46" s="138"/>
      <c r="U46" s="138"/>
      <c r="V46" s="138"/>
      <c r="W46" s="138"/>
      <c r="X46" s="138"/>
    </row>
    <row r="47" spans="1:24" ht="31.9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59.650000000000006</v>
      </c>
      <c r="E47" s="291">
        <f t="shared" ref="E47:G47" si="21">E48+E49</f>
        <v>69.650000000000006</v>
      </c>
      <c r="F47" s="291">
        <f t="shared" si="21"/>
        <v>59.65</v>
      </c>
      <c r="G47" s="291">
        <f t="shared" si="21"/>
        <v>59.65</v>
      </c>
      <c r="H47" s="295">
        <f t="shared" si="2"/>
        <v>85.642498205312265</v>
      </c>
      <c r="I47" s="294"/>
      <c r="J47" s="155"/>
      <c r="K47" s="155"/>
      <c r="L47" s="155"/>
      <c r="M47" s="155"/>
      <c r="N47" s="155"/>
      <c r="O47" s="138"/>
      <c r="P47" s="138"/>
      <c r="Q47" s="138"/>
      <c r="R47" s="138"/>
      <c r="S47" s="138"/>
      <c r="T47" s="138"/>
      <c r="U47" s="138"/>
      <c r="V47" s="138"/>
      <c r="W47" s="138"/>
      <c r="X47" s="138"/>
    </row>
    <row r="48" spans="1:24" ht="31.9" customHeight="1" x14ac:dyDescent="0.25">
      <c r="A48" s="7" t="s">
        <v>24</v>
      </c>
      <c r="B48" s="383" t="s">
        <v>196</v>
      </c>
      <c r="C48" s="384" t="s">
        <v>6</v>
      </c>
      <c r="D48" s="296">
        <v>38.49</v>
      </c>
      <c r="E48" s="296">
        <f>D48+D49</f>
        <v>59.650000000000006</v>
      </c>
      <c r="F48" s="296">
        <v>59.65</v>
      </c>
      <c r="G48" s="296">
        <v>59.65</v>
      </c>
      <c r="H48" s="297">
        <f t="shared" si="2"/>
        <v>99.999999999999986</v>
      </c>
      <c r="I48" s="298"/>
      <c r="J48" s="116"/>
      <c r="K48" s="116"/>
      <c r="L48" s="116"/>
      <c r="M48" s="116"/>
      <c r="N48" s="116"/>
      <c r="O48" s="119"/>
      <c r="P48" s="119"/>
      <c r="Q48" s="119"/>
      <c r="R48" s="138"/>
      <c r="S48" s="138"/>
      <c r="T48" s="138"/>
      <c r="U48" s="138"/>
      <c r="V48" s="138"/>
      <c r="W48" s="138"/>
      <c r="X48" s="138"/>
    </row>
    <row r="49" spans="1:24" s="131" customFormat="1" ht="31.9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21.16</v>
      </c>
      <c r="E49" s="291">
        <f t="shared" ref="E49:G49" si="22">E50+E51</f>
        <v>10</v>
      </c>
      <c r="F49" s="291">
        <f t="shared" si="22"/>
        <v>0</v>
      </c>
      <c r="G49" s="291">
        <f t="shared" si="22"/>
        <v>0</v>
      </c>
      <c r="H49" s="295">
        <f t="shared" si="2"/>
        <v>0</v>
      </c>
      <c r="I49" s="294"/>
      <c r="J49" s="228"/>
      <c r="K49" s="129"/>
      <c r="L49" s="200"/>
      <c r="M49" s="228"/>
      <c r="N49" s="228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1:24" ht="31.9" customHeight="1" x14ac:dyDescent="0.25">
      <c r="A50" s="384" t="s">
        <v>18</v>
      </c>
      <c r="B50" s="386" t="s">
        <v>194</v>
      </c>
      <c r="C50" s="384" t="s">
        <v>6</v>
      </c>
      <c r="D50" s="296">
        <v>21.16</v>
      </c>
      <c r="E50" s="296">
        <v>10</v>
      </c>
      <c r="F50" s="296">
        <v>0</v>
      </c>
      <c r="G50" s="296">
        <v>0</v>
      </c>
      <c r="H50" s="295">
        <f t="shared" si="2"/>
        <v>0</v>
      </c>
      <c r="I50" s="298"/>
      <c r="J50" s="134"/>
      <c r="K50" s="235"/>
      <c r="L50" s="134"/>
      <c r="M50" s="155"/>
      <c r="N50" s="155"/>
      <c r="O50" s="138"/>
      <c r="P50" s="138"/>
      <c r="Q50" s="138"/>
      <c r="R50" s="138"/>
      <c r="S50" s="138"/>
      <c r="T50" s="138"/>
      <c r="U50" s="138"/>
      <c r="V50" s="138"/>
      <c r="W50" s="138"/>
      <c r="X50" s="138"/>
    </row>
    <row r="51" spans="1:24" ht="31.9" customHeight="1" x14ac:dyDescent="0.25">
      <c r="A51" s="384" t="s">
        <v>18</v>
      </c>
      <c r="B51" s="386" t="s">
        <v>35</v>
      </c>
      <c r="C51" s="5" t="s">
        <v>6</v>
      </c>
      <c r="D51" s="296"/>
      <c r="E51" s="296"/>
      <c r="F51" s="296"/>
      <c r="G51" s="296"/>
      <c r="H51" s="295"/>
      <c r="I51" s="298"/>
      <c r="J51" s="155"/>
      <c r="K51" s="155"/>
      <c r="L51" s="155"/>
      <c r="M51" s="155"/>
      <c r="N51" s="155"/>
      <c r="O51" s="138"/>
      <c r="P51" s="138"/>
      <c r="Q51" s="138"/>
      <c r="R51" s="138"/>
      <c r="S51" s="138"/>
      <c r="T51" s="138"/>
      <c r="U51" s="138"/>
      <c r="V51" s="138"/>
      <c r="W51" s="138"/>
      <c r="X51" s="138"/>
    </row>
    <row r="52" spans="1:24" s="131" customFormat="1" ht="31.9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22.02</v>
      </c>
      <c r="E52" s="291">
        <f t="shared" ref="E52:G52" si="23">E53+E54</f>
        <v>30</v>
      </c>
      <c r="F52" s="291">
        <f t="shared" si="23"/>
        <v>30</v>
      </c>
      <c r="G52" s="291">
        <f t="shared" si="23"/>
        <v>30</v>
      </c>
      <c r="H52" s="295">
        <f t="shared" si="2"/>
        <v>100</v>
      </c>
      <c r="I52" s="294"/>
      <c r="J52" s="228"/>
      <c r="K52" s="228"/>
      <c r="L52" s="228"/>
      <c r="M52" s="228"/>
      <c r="N52" s="228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1:24" ht="31.9" customHeight="1" x14ac:dyDescent="0.25">
      <c r="A53" s="387" t="s">
        <v>18</v>
      </c>
      <c r="B53" s="386" t="s">
        <v>198</v>
      </c>
      <c r="C53" s="5" t="s">
        <v>6</v>
      </c>
      <c r="D53" s="296">
        <f>25.02-8</f>
        <v>17.02</v>
      </c>
      <c r="E53" s="296">
        <v>30</v>
      </c>
      <c r="F53" s="296">
        <v>30</v>
      </c>
      <c r="G53" s="296">
        <v>30</v>
      </c>
      <c r="H53" s="297">
        <f t="shared" si="2"/>
        <v>100</v>
      </c>
      <c r="I53" s="298"/>
      <c r="J53" s="155"/>
      <c r="K53" s="155"/>
      <c r="L53" s="155"/>
      <c r="M53" s="216"/>
      <c r="N53" s="155"/>
      <c r="O53" s="138"/>
      <c r="P53" s="138"/>
      <c r="Q53" s="138"/>
      <c r="R53" s="138"/>
      <c r="S53" s="138"/>
      <c r="T53" s="138"/>
      <c r="U53" s="138"/>
      <c r="V53" s="138"/>
      <c r="W53" s="138"/>
      <c r="X53" s="138"/>
    </row>
    <row r="54" spans="1:24" ht="31.9" customHeight="1" x14ac:dyDescent="0.25">
      <c r="A54" s="5"/>
      <c r="B54" s="386" t="s">
        <v>199</v>
      </c>
      <c r="C54" s="5" t="s">
        <v>6</v>
      </c>
      <c r="D54" s="296">
        <v>5</v>
      </c>
      <c r="E54" s="296"/>
      <c r="F54" s="296"/>
      <c r="G54" s="296"/>
      <c r="H54" s="295"/>
      <c r="I54" s="298"/>
      <c r="J54" s="155"/>
      <c r="K54" s="155"/>
      <c r="L54" s="155"/>
      <c r="M54" s="155"/>
      <c r="N54" s="155"/>
      <c r="O54" s="138"/>
      <c r="P54" s="138"/>
      <c r="Q54" s="138"/>
      <c r="R54" s="138"/>
      <c r="S54" s="138"/>
      <c r="T54" s="138"/>
      <c r="U54" s="138"/>
      <c r="V54" s="138"/>
      <c r="W54" s="138"/>
      <c r="X54" s="138"/>
    </row>
    <row r="55" spans="1:24" ht="31.9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4.5</v>
      </c>
      <c r="E55" s="291">
        <f t="shared" ref="E55:G55" si="24">E56+E57</f>
        <v>5.3</v>
      </c>
      <c r="F55" s="291">
        <f t="shared" si="24"/>
        <v>4.8</v>
      </c>
      <c r="G55" s="291">
        <f t="shared" si="24"/>
        <v>4.8</v>
      </c>
      <c r="H55" s="295">
        <f t="shared" si="2"/>
        <v>90.566037735849065</v>
      </c>
      <c r="I55" s="294"/>
      <c r="J55" s="155"/>
      <c r="K55" s="155"/>
      <c r="L55" s="155"/>
      <c r="M55" s="155"/>
      <c r="N55" s="155"/>
      <c r="O55" s="138"/>
      <c r="P55" s="138"/>
      <c r="Q55" s="138"/>
      <c r="R55" s="138"/>
      <c r="S55" s="138"/>
      <c r="T55" s="138"/>
      <c r="U55" s="138"/>
      <c r="V55" s="138"/>
      <c r="W55" s="138"/>
      <c r="X55" s="138"/>
    </row>
    <row r="56" spans="1:24" ht="31.9" customHeight="1" x14ac:dyDescent="0.25">
      <c r="A56" s="5" t="s">
        <v>24</v>
      </c>
      <c r="B56" s="383" t="s">
        <v>197</v>
      </c>
      <c r="C56" s="5" t="s">
        <v>6</v>
      </c>
      <c r="D56" s="296">
        <v>4.5</v>
      </c>
      <c r="E56" s="296">
        <f>D56+E58</f>
        <v>4.8</v>
      </c>
      <c r="F56" s="296">
        <f t="shared" ref="F56:G56" si="25">E56+F58</f>
        <v>4.8</v>
      </c>
      <c r="G56" s="296">
        <f t="shared" si="25"/>
        <v>4.8</v>
      </c>
      <c r="H56" s="297">
        <f t="shared" si="2"/>
        <v>100</v>
      </c>
      <c r="I56" s="298"/>
      <c r="J56" s="155"/>
      <c r="K56" s="155"/>
      <c r="L56" s="155"/>
      <c r="M56" s="155"/>
      <c r="N56" s="155"/>
      <c r="O56" s="138"/>
      <c r="P56" s="138"/>
      <c r="Q56" s="138"/>
      <c r="R56" s="138"/>
      <c r="S56" s="138"/>
      <c r="T56" s="138"/>
      <c r="U56" s="138"/>
      <c r="V56" s="138"/>
      <c r="W56" s="138"/>
      <c r="X56" s="138"/>
    </row>
    <row r="57" spans="1:24" ht="31.9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0</v>
      </c>
      <c r="E57" s="296">
        <f t="shared" ref="E57:G57" si="26">E58+E61</f>
        <v>0.5</v>
      </c>
      <c r="F57" s="296">
        <f t="shared" si="26"/>
        <v>0</v>
      </c>
      <c r="G57" s="296">
        <f t="shared" si="26"/>
        <v>0</v>
      </c>
      <c r="H57" s="295">
        <f t="shared" si="2"/>
        <v>0</v>
      </c>
      <c r="I57" s="298"/>
      <c r="J57" s="155"/>
      <c r="K57" s="155"/>
      <c r="L57" s="155"/>
      <c r="M57" s="155"/>
      <c r="N57" s="155"/>
      <c r="O57" s="138"/>
      <c r="P57" s="138"/>
      <c r="Q57" s="138"/>
      <c r="R57" s="138"/>
      <c r="S57" s="138"/>
      <c r="T57" s="138"/>
      <c r="U57" s="138"/>
      <c r="V57" s="138"/>
      <c r="W57" s="138"/>
      <c r="X57" s="138"/>
    </row>
    <row r="58" spans="1:24" s="149" customFormat="1" ht="31.9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</v>
      </c>
      <c r="E58" s="299">
        <f t="shared" ref="E58:G58" si="27">E59+E60</f>
        <v>0.30000000000000004</v>
      </c>
      <c r="F58" s="299">
        <f t="shared" si="27"/>
        <v>0</v>
      </c>
      <c r="G58" s="299">
        <f t="shared" si="27"/>
        <v>0</v>
      </c>
      <c r="H58" s="295">
        <f t="shared" si="2"/>
        <v>0</v>
      </c>
      <c r="I58" s="301"/>
      <c r="J58" s="218"/>
      <c r="K58" s="142"/>
      <c r="L58" s="142"/>
      <c r="M58" s="142"/>
      <c r="N58" s="142"/>
      <c r="O58" s="142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1:24" ht="31.9" customHeight="1" x14ac:dyDescent="0.25">
      <c r="A59" s="5" t="s">
        <v>18</v>
      </c>
      <c r="B59" s="383" t="s">
        <v>202</v>
      </c>
      <c r="C59" s="5" t="s">
        <v>6</v>
      </c>
      <c r="D59" s="296"/>
      <c r="E59" s="296">
        <v>0.2</v>
      </c>
      <c r="F59" s="296">
        <v>0</v>
      </c>
      <c r="G59" s="296">
        <v>0</v>
      </c>
      <c r="H59" s="295">
        <f t="shared" si="2"/>
        <v>0</v>
      </c>
      <c r="I59" s="298"/>
      <c r="J59" s="134"/>
      <c r="K59" s="114"/>
      <c r="L59" s="114"/>
      <c r="M59" s="114"/>
      <c r="N59" s="114"/>
      <c r="O59" s="114"/>
      <c r="P59" s="138"/>
      <c r="Q59" s="138"/>
      <c r="R59" s="138"/>
      <c r="S59" s="138"/>
      <c r="T59" s="138"/>
      <c r="U59" s="138"/>
      <c r="V59" s="138"/>
      <c r="W59" s="138"/>
      <c r="X59" s="138"/>
    </row>
    <row r="60" spans="1:24" ht="31.9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0.1</v>
      </c>
      <c r="F60" s="296">
        <v>0</v>
      </c>
      <c r="G60" s="296">
        <v>0</v>
      </c>
      <c r="H60" s="295">
        <f t="shared" si="2"/>
        <v>0</v>
      </c>
      <c r="I60" s="298"/>
      <c r="J60" s="134"/>
      <c r="K60" s="114"/>
      <c r="L60" s="114"/>
      <c r="M60" s="114"/>
      <c r="N60" s="114"/>
      <c r="O60" s="114"/>
      <c r="P60" s="138"/>
      <c r="Q60" s="138"/>
      <c r="R60" s="138"/>
      <c r="S60" s="138"/>
      <c r="T60" s="138"/>
      <c r="U60" s="138"/>
      <c r="V60" s="138"/>
      <c r="W60" s="138"/>
      <c r="X60" s="138"/>
    </row>
    <row r="61" spans="1:24" s="149" customFormat="1" ht="31.9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0</v>
      </c>
      <c r="E61" s="299">
        <f t="shared" ref="E61:G61" si="28">E62+E63</f>
        <v>0.2</v>
      </c>
      <c r="F61" s="299">
        <f t="shared" si="28"/>
        <v>0</v>
      </c>
      <c r="G61" s="299">
        <f t="shared" si="28"/>
        <v>0</v>
      </c>
      <c r="H61" s="295">
        <f t="shared" si="2"/>
        <v>0</v>
      </c>
      <c r="I61" s="301"/>
      <c r="J61" s="216"/>
      <c r="K61" s="142"/>
      <c r="L61" s="218"/>
      <c r="M61" s="218"/>
      <c r="N61" s="218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1:24" ht="31.9" customHeight="1" x14ac:dyDescent="0.25">
      <c r="A62" s="5" t="s">
        <v>18</v>
      </c>
      <c r="B62" s="383" t="s">
        <v>203</v>
      </c>
      <c r="C62" s="5" t="s">
        <v>6</v>
      </c>
      <c r="D62" s="296"/>
      <c r="E62" s="296">
        <v>0.1</v>
      </c>
      <c r="F62" s="296">
        <v>0</v>
      </c>
      <c r="G62" s="296">
        <v>0</v>
      </c>
      <c r="H62" s="295">
        <f t="shared" si="2"/>
        <v>0</v>
      </c>
      <c r="I62" s="298"/>
      <c r="J62" s="216"/>
      <c r="K62" s="114"/>
      <c r="L62" s="114"/>
      <c r="M62" s="114"/>
      <c r="N62" s="114"/>
      <c r="O62" s="114"/>
      <c r="P62" s="138"/>
      <c r="Q62" s="138"/>
      <c r="R62" s="138"/>
      <c r="S62" s="138"/>
      <c r="T62" s="138"/>
      <c r="U62" s="138"/>
      <c r="V62" s="138"/>
      <c r="W62" s="138"/>
      <c r="X62" s="138"/>
    </row>
    <row r="63" spans="1:24" ht="31.9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0.1</v>
      </c>
      <c r="F63" s="296">
        <v>0</v>
      </c>
      <c r="G63" s="296">
        <v>0</v>
      </c>
      <c r="H63" s="295">
        <f t="shared" si="2"/>
        <v>0</v>
      </c>
      <c r="I63" s="298"/>
      <c r="J63" s="216"/>
      <c r="K63" s="114"/>
      <c r="L63" s="114"/>
      <c r="M63" s="114"/>
      <c r="N63" s="114"/>
      <c r="O63" s="114"/>
      <c r="P63" s="138"/>
      <c r="Q63" s="138"/>
      <c r="R63" s="138"/>
      <c r="S63" s="138"/>
      <c r="T63" s="138"/>
      <c r="U63" s="138"/>
      <c r="V63" s="138"/>
      <c r="W63" s="138"/>
      <c r="X63" s="138"/>
    </row>
    <row r="64" spans="1:24" ht="31.9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14.68</v>
      </c>
      <c r="E64" s="291">
        <f t="shared" ref="E64:G64" si="29">E65+E66</f>
        <v>14.68</v>
      </c>
      <c r="F64" s="291">
        <f t="shared" si="29"/>
        <v>14.68</v>
      </c>
      <c r="G64" s="291">
        <f t="shared" si="29"/>
        <v>14.68</v>
      </c>
      <c r="H64" s="295">
        <f t="shared" si="2"/>
        <v>100</v>
      </c>
      <c r="I64" s="294"/>
      <c r="J64" s="155"/>
      <c r="K64" s="155"/>
      <c r="L64" s="155"/>
      <c r="M64" s="155"/>
      <c r="N64" s="155"/>
      <c r="O64" s="138"/>
      <c r="P64" s="138"/>
      <c r="Q64" s="138"/>
      <c r="R64" s="138"/>
      <c r="S64" s="138"/>
      <c r="T64" s="138"/>
      <c r="U64" s="138"/>
      <c r="V64" s="138"/>
      <c r="W64" s="138"/>
      <c r="X64" s="138"/>
    </row>
    <row r="65" spans="1:24" ht="31.9" customHeight="1" x14ac:dyDescent="0.25">
      <c r="A65" s="5" t="s">
        <v>18</v>
      </c>
      <c r="B65" s="383" t="s">
        <v>196</v>
      </c>
      <c r="C65" s="5" t="s">
        <v>6</v>
      </c>
      <c r="D65" s="296">
        <v>14.68</v>
      </c>
      <c r="E65" s="296">
        <v>14.68</v>
      </c>
      <c r="F65" s="296">
        <v>14.68</v>
      </c>
      <c r="G65" s="296">
        <v>14.68</v>
      </c>
      <c r="H65" s="295">
        <f t="shared" si="2"/>
        <v>100</v>
      </c>
      <c r="I65" s="298"/>
      <c r="J65" s="155"/>
      <c r="K65" s="155"/>
      <c r="L65" s="155"/>
      <c r="M65" s="155"/>
      <c r="N65" s="155"/>
      <c r="O65" s="138"/>
      <c r="P65" s="138"/>
      <c r="Q65" s="138"/>
      <c r="R65" s="138"/>
      <c r="S65" s="138"/>
      <c r="T65" s="138"/>
      <c r="U65" s="138"/>
      <c r="V65" s="138"/>
      <c r="W65" s="138"/>
      <c r="X65" s="138"/>
    </row>
    <row r="66" spans="1:24" ht="31.9" customHeight="1" x14ac:dyDescent="0.25">
      <c r="A66" s="5" t="s">
        <v>18</v>
      </c>
      <c r="B66" s="337" t="s">
        <v>31</v>
      </c>
      <c r="C66" s="5" t="s">
        <v>6</v>
      </c>
      <c r="D66" s="296">
        <v>0</v>
      </c>
      <c r="E66" s="296">
        <v>0</v>
      </c>
      <c r="F66" s="296"/>
      <c r="G66" s="296"/>
      <c r="H66" s="295"/>
      <c r="I66" s="298"/>
      <c r="J66" s="155"/>
      <c r="K66" s="155"/>
      <c r="L66" s="155"/>
      <c r="M66" s="155"/>
      <c r="N66" s="155"/>
      <c r="O66" s="138"/>
      <c r="P66" s="138"/>
      <c r="Q66" s="138"/>
      <c r="R66" s="138"/>
      <c r="S66" s="138"/>
      <c r="T66" s="138"/>
      <c r="U66" s="138"/>
      <c r="V66" s="138"/>
      <c r="W66" s="138"/>
      <c r="X66" s="138"/>
    </row>
    <row r="67" spans="1:24" ht="31.9" customHeight="1" x14ac:dyDescent="0.25">
      <c r="A67" s="3">
        <v>6</v>
      </c>
      <c r="B67" s="335" t="s">
        <v>38</v>
      </c>
      <c r="C67" s="3" t="s">
        <v>6</v>
      </c>
      <c r="D67" s="291">
        <f>D68+D71</f>
        <v>21.94</v>
      </c>
      <c r="E67" s="291">
        <f t="shared" ref="E67:G67" si="30">E68+E71</f>
        <v>34.590000000000003</v>
      </c>
      <c r="F67" s="291">
        <f t="shared" si="30"/>
        <v>18.95</v>
      </c>
      <c r="G67" s="291">
        <f t="shared" si="30"/>
        <v>18.95</v>
      </c>
      <c r="H67" s="295">
        <f t="shared" si="2"/>
        <v>54.784619832321468</v>
      </c>
      <c r="I67" s="294"/>
      <c r="J67" s="155"/>
      <c r="K67" s="155"/>
      <c r="L67" s="155"/>
      <c r="M67" s="155"/>
      <c r="N67" s="155"/>
      <c r="O67" s="138"/>
      <c r="P67" s="138"/>
      <c r="Q67" s="138"/>
      <c r="R67" s="138"/>
      <c r="S67" s="138"/>
      <c r="T67" s="138"/>
      <c r="U67" s="138"/>
      <c r="V67" s="138"/>
      <c r="W67" s="138"/>
      <c r="X67" s="138"/>
    </row>
    <row r="68" spans="1:24" ht="31.9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1.37</v>
      </c>
      <c r="E68" s="291">
        <f t="shared" ref="E68:G68" si="31">E69+E70</f>
        <v>16.37</v>
      </c>
      <c r="F68" s="291">
        <f t="shared" si="31"/>
        <v>1.37</v>
      </c>
      <c r="G68" s="291">
        <f t="shared" si="31"/>
        <v>1.37</v>
      </c>
      <c r="H68" s="295">
        <f t="shared" si="2"/>
        <v>8.3689676237018933</v>
      </c>
      <c r="I68" s="294"/>
      <c r="J68" s="155"/>
      <c r="K68" s="155"/>
      <c r="L68" s="155"/>
      <c r="M68" s="155"/>
      <c r="N68" s="155"/>
      <c r="O68" s="138"/>
      <c r="P68" s="138"/>
      <c r="Q68" s="138"/>
      <c r="R68" s="138"/>
      <c r="S68" s="138"/>
      <c r="T68" s="138"/>
      <c r="U68" s="138"/>
      <c r="V68" s="138"/>
      <c r="W68" s="138"/>
      <c r="X68" s="138"/>
    </row>
    <row r="69" spans="1:24" ht="31.9" customHeight="1" x14ac:dyDescent="0.25">
      <c r="A69" s="5" t="s">
        <v>18</v>
      </c>
      <c r="B69" s="383" t="s">
        <v>205</v>
      </c>
      <c r="C69" s="5" t="s">
        <v>6</v>
      </c>
      <c r="D69" s="296">
        <f>0.7+0.27</f>
        <v>0.97</v>
      </c>
      <c r="E69" s="296">
        <f>D69+D70</f>
        <v>1.37</v>
      </c>
      <c r="F69" s="296">
        <v>1.37</v>
      </c>
      <c r="G69" s="296">
        <v>1.37</v>
      </c>
      <c r="H69" s="297">
        <f t="shared" si="2"/>
        <v>100</v>
      </c>
      <c r="I69" s="298"/>
      <c r="J69" s="155"/>
      <c r="K69" s="155"/>
      <c r="L69" s="155"/>
      <c r="M69" s="155"/>
      <c r="N69" s="155"/>
      <c r="O69" s="138"/>
      <c r="P69" s="138"/>
      <c r="Q69" s="138"/>
      <c r="R69" s="138"/>
      <c r="S69" s="138"/>
      <c r="T69" s="138"/>
      <c r="U69" s="138"/>
      <c r="V69" s="138"/>
      <c r="W69" s="138"/>
      <c r="X69" s="138"/>
    </row>
    <row r="70" spans="1:24" ht="31.9" customHeight="1" x14ac:dyDescent="0.25">
      <c r="A70" s="5" t="s">
        <v>18</v>
      </c>
      <c r="B70" s="383" t="s">
        <v>206</v>
      </c>
      <c r="C70" s="5" t="s">
        <v>6</v>
      </c>
      <c r="D70" s="296">
        <v>0.4</v>
      </c>
      <c r="E70" s="296">
        <v>15</v>
      </c>
      <c r="F70" s="296"/>
      <c r="G70" s="296"/>
      <c r="H70" s="295">
        <f t="shared" si="2"/>
        <v>0</v>
      </c>
      <c r="I70" s="298"/>
      <c r="J70" s="155"/>
      <c r="K70" s="132"/>
      <c r="L70" s="134"/>
      <c r="M70" s="155"/>
      <c r="N70" s="155"/>
      <c r="O70" s="138"/>
      <c r="P70" s="138"/>
      <c r="Q70" s="138"/>
      <c r="R70" s="138"/>
      <c r="S70" s="138"/>
      <c r="T70" s="138"/>
      <c r="U70" s="138"/>
      <c r="V70" s="138"/>
      <c r="W70" s="138"/>
      <c r="X70" s="138"/>
    </row>
    <row r="71" spans="1:24" ht="31.9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20.57</v>
      </c>
      <c r="E71" s="291">
        <f t="shared" ref="E71:G71" si="32">E72+E73</f>
        <v>18.22</v>
      </c>
      <c r="F71" s="291">
        <f t="shared" si="32"/>
        <v>17.579999999999998</v>
      </c>
      <c r="G71" s="291">
        <f t="shared" si="32"/>
        <v>17.579999999999998</v>
      </c>
      <c r="H71" s="295">
        <f t="shared" si="2"/>
        <v>96.487376509330403</v>
      </c>
      <c r="I71" s="294"/>
      <c r="J71" s="155"/>
      <c r="K71" s="155"/>
      <c r="L71" s="155"/>
      <c r="M71" s="155"/>
      <c r="N71" s="155"/>
      <c r="O71" s="138"/>
      <c r="P71" s="138"/>
      <c r="Q71" s="138"/>
      <c r="R71" s="138"/>
      <c r="S71" s="138"/>
      <c r="T71" s="138"/>
      <c r="U71" s="138"/>
      <c r="V71" s="138"/>
      <c r="W71" s="138"/>
      <c r="X71" s="138"/>
    </row>
    <row r="72" spans="1:24" ht="31.9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16.27</v>
      </c>
      <c r="E72" s="302">
        <f t="shared" ref="E72:G73" si="33">E75+E82</f>
        <v>17.579999999999998</v>
      </c>
      <c r="F72" s="302">
        <f t="shared" si="33"/>
        <v>17.579999999999998</v>
      </c>
      <c r="G72" s="302">
        <f t="shared" si="33"/>
        <v>17.579999999999998</v>
      </c>
      <c r="H72" s="295">
        <f t="shared" si="2"/>
        <v>100</v>
      </c>
      <c r="I72" s="303"/>
      <c r="J72" s="155"/>
      <c r="K72" s="155"/>
      <c r="L72" s="155"/>
      <c r="M72" s="155"/>
      <c r="N72" s="155"/>
      <c r="O72" s="138"/>
      <c r="P72" s="138"/>
      <c r="Q72" s="138"/>
      <c r="R72" s="138"/>
      <c r="S72" s="138"/>
      <c r="T72" s="138"/>
      <c r="U72" s="138"/>
      <c r="V72" s="138"/>
      <c r="W72" s="138"/>
      <c r="X72" s="138"/>
    </row>
    <row r="73" spans="1:24" ht="31.9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4.3</v>
      </c>
      <c r="E73" s="291">
        <f t="shared" si="33"/>
        <v>0.64</v>
      </c>
      <c r="F73" s="291">
        <f t="shared" si="33"/>
        <v>0</v>
      </c>
      <c r="G73" s="291">
        <f t="shared" si="33"/>
        <v>0</v>
      </c>
      <c r="H73" s="295">
        <f t="shared" si="2"/>
        <v>0</v>
      </c>
      <c r="I73" s="294"/>
      <c r="J73" s="228"/>
      <c r="K73" s="228"/>
      <c r="L73" s="228"/>
      <c r="M73" s="228"/>
      <c r="N73" s="228"/>
      <c r="O73" s="138"/>
      <c r="P73" s="138"/>
      <c r="Q73" s="138"/>
      <c r="R73" s="138"/>
      <c r="S73" s="138"/>
      <c r="T73" s="138"/>
      <c r="U73" s="138"/>
      <c r="V73" s="138"/>
      <c r="W73" s="138"/>
      <c r="X73" s="138"/>
    </row>
    <row r="74" spans="1:24" ht="31.9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16.579999999999998</v>
      </c>
      <c r="E74" s="304">
        <f t="shared" ref="E74:G74" si="34">E75+E76</f>
        <v>17.079999999999998</v>
      </c>
      <c r="F74" s="304">
        <f t="shared" si="34"/>
        <v>16.579999999999998</v>
      </c>
      <c r="G74" s="304">
        <f t="shared" si="34"/>
        <v>16.579999999999998</v>
      </c>
      <c r="H74" s="327">
        <f t="shared" ref="H74:H97" si="35">F74/E74*100</f>
        <v>97.072599531615921</v>
      </c>
      <c r="I74" s="305"/>
      <c r="J74" s="229"/>
      <c r="K74" s="229"/>
      <c r="L74" s="150"/>
      <c r="M74" s="150"/>
      <c r="N74" s="150"/>
      <c r="O74" s="150"/>
      <c r="P74" s="150"/>
      <c r="Q74" s="150"/>
      <c r="R74" s="138"/>
      <c r="S74" s="138"/>
      <c r="T74" s="138"/>
      <c r="U74" s="138"/>
      <c r="V74" s="138"/>
      <c r="W74" s="138"/>
      <c r="X74" s="138"/>
    </row>
    <row r="75" spans="1:24" ht="31.9" customHeight="1" x14ac:dyDescent="0.25">
      <c r="A75" s="7" t="s">
        <v>24</v>
      </c>
      <c r="B75" s="391" t="s">
        <v>196</v>
      </c>
      <c r="C75" s="5" t="s">
        <v>6</v>
      </c>
      <c r="D75" s="306">
        <f>8.28+5</f>
        <v>13.28</v>
      </c>
      <c r="E75" s="306">
        <f>D75+D76</f>
        <v>16.579999999999998</v>
      </c>
      <c r="F75" s="306">
        <v>16.579999999999998</v>
      </c>
      <c r="G75" s="306">
        <v>16.579999999999998</v>
      </c>
      <c r="H75" s="297">
        <f t="shared" si="35"/>
        <v>100</v>
      </c>
      <c r="I75" s="298"/>
      <c r="J75" s="155"/>
      <c r="K75" s="155"/>
      <c r="L75" s="132"/>
      <c r="M75" s="132"/>
      <c r="N75" s="132"/>
      <c r="O75" s="147"/>
      <c r="P75" s="147"/>
      <c r="Q75" s="147"/>
      <c r="R75" s="138"/>
      <c r="S75" s="138"/>
      <c r="T75" s="138"/>
      <c r="U75" s="138"/>
      <c r="V75" s="138"/>
      <c r="W75" s="138"/>
      <c r="X75" s="138"/>
    </row>
    <row r="76" spans="1:24" ht="31.9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3.3</v>
      </c>
      <c r="E76" s="307">
        <f>SUM(E77:E80)</f>
        <v>0.5</v>
      </c>
      <c r="F76" s="307">
        <f t="shared" ref="F76:G76" si="36">SUM(F77:F80)</f>
        <v>0</v>
      </c>
      <c r="G76" s="307">
        <f t="shared" si="36"/>
        <v>0</v>
      </c>
      <c r="H76" s="327">
        <f t="shared" si="35"/>
        <v>0</v>
      </c>
      <c r="I76" s="308"/>
      <c r="J76" s="218"/>
      <c r="K76" s="218"/>
      <c r="L76" s="142"/>
      <c r="M76" s="142"/>
      <c r="N76" s="142"/>
      <c r="O76" s="147"/>
      <c r="P76" s="147"/>
      <c r="Q76" s="147"/>
      <c r="R76" s="138"/>
      <c r="S76" s="138"/>
      <c r="T76" s="138"/>
      <c r="U76" s="138"/>
      <c r="V76" s="138"/>
      <c r="W76" s="138"/>
      <c r="X76" s="138"/>
    </row>
    <row r="77" spans="1:24" ht="31.9" customHeight="1" x14ac:dyDescent="0.25">
      <c r="A77" s="4" t="s">
        <v>18</v>
      </c>
      <c r="B77" s="393" t="s">
        <v>212</v>
      </c>
      <c r="C77" s="4" t="s">
        <v>6</v>
      </c>
      <c r="D77" s="296">
        <v>2.8</v>
      </c>
      <c r="E77" s="296">
        <v>0.5</v>
      </c>
      <c r="F77" s="296">
        <v>0</v>
      </c>
      <c r="G77" s="296">
        <v>0</v>
      </c>
      <c r="H77" s="327">
        <f t="shared" si="35"/>
        <v>0</v>
      </c>
      <c r="I77" s="298"/>
      <c r="J77" s="247"/>
      <c r="K77" s="218"/>
      <c r="L77" s="142"/>
      <c r="M77" s="230"/>
      <c r="N77" s="230"/>
      <c r="O77" s="147"/>
      <c r="P77" s="157"/>
      <c r="Q77" s="157"/>
      <c r="R77" s="138"/>
      <c r="S77" s="138"/>
      <c r="T77" s="138"/>
      <c r="U77" s="138"/>
      <c r="V77" s="138"/>
      <c r="W77" s="138"/>
      <c r="X77" s="138"/>
    </row>
    <row r="78" spans="1:24" ht="31.9" customHeight="1" x14ac:dyDescent="0.25">
      <c r="A78" s="4" t="s">
        <v>18</v>
      </c>
      <c r="B78" s="393" t="s">
        <v>189</v>
      </c>
      <c r="C78" s="4" t="s">
        <v>6</v>
      </c>
      <c r="D78" s="296">
        <v>0.5</v>
      </c>
      <c r="E78" s="296">
        <v>0</v>
      </c>
      <c r="F78" s="296"/>
      <c r="G78" s="296"/>
      <c r="H78" s="300"/>
      <c r="I78" s="298"/>
      <c r="J78" s="218"/>
      <c r="K78" s="218"/>
      <c r="L78" s="142"/>
      <c r="M78" s="142"/>
      <c r="N78" s="142"/>
      <c r="O78" s="147"/>
      <c r="P78" s="147"/>
      <c r="Q78" s="147"/>
      <c r="R78" s="138"/>
      <c r="S78" s="138"/>
      <c r="T78" s="138"/>
      <c r="U78" s="138"/>
      <c r="V78" s="138"/>
      <c r="W78" s="138"/>
      <c r="X78" s="138"/>
    </row>
    <row r="79" spans="1:24" ht="31.9" customHeight="1" x14ac:dyDescent="0.25">
      <c r="A79" s="4" t="s">
        <v>18</v>
      </c>
      <c r="B79" s="393" t="s">
        <v>190</v>
      </c>
      <c r="C79" s="4" t="s">
        <v>6</v>
      </c>
      <c r="D79" s="296"/>
      <c r="E79" s="296"/>
      <c r="F79" s="296"/>
      <c r="G79" s="296"/>
      <c r="H79" s="300"/>
      <c r="I79" s="298"/>
      <c r="J79" s="218"/>
      <c r="K79" s="218"/>
      <c r="L79" s="142"/>
      <c r="M79" s="142"/>
      <c r="N79" s="142"/>
      <c r="O79" s="147"/>
      <c r="P79" s="147"/>
      <c r="Q79" s="147"/>
      <c r="R79" s="138"/>
      <c r="S79" s="138"/>
      <c r="T79" s="138"/>
      <c r="U79" s="138"/>
      <c r="V79" s="138"/>
      <c r="W79" s="138"/>
      <c r="X79" s="138"/>
    </row>
    <row r="80" spans="1:24" ht="31.9" customHeight="1" x14ac:dyDescent="0.25">
      <c r="A80" s="4" t="s">
        <v>18</v>
      </c>
      <c r="B80" s="394" t="s">
        <v>208</v>
      </c>
      <c r="C80" s="4" t="s">
        <v>6</v>
      </c>
      <c r="D80" s="296"/>
      <c r="E80" s="296"/>
      <c r="F80" s="296"/>
      <c r="G80" s="296"/>
      <c r="H80" s="300"/>
      <c r="I80" s="298"/>
      <c r="J80" s="218"/>
      <c r="K80" s="218"/>
      <c r="L80" s="142"/>
      <c r="M80" s="142"/>
      <c r="N80" s="142"/>
      <c r="O80" s="147"/>
      <c r="P80" s="147"/>
      <c r="Q80" s="147"/>
      <c r="R80" s="138"/>
      <c r="S80" s="138"/>
      <c r="T80" s="138"/>
      <c r="U80" s="138"/>
      <c r="V80" s="138"/>
      <c r="W80" s="138"/>
      <c r="X80" s="138"/>
    </row>
    <row r="81" spans="1:24" s="152" customFormat="1" ht="31.9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3.99</v>
      </c>
      <c r="E81" s="304">
        <f t="shared" ref="E81:G81" si="37">E82+E83</f>
        <v>1.1400000000000001</v>
      </c>
      <c r="F81" s="304">
        <f t="shared" si="37"/>
        <v>1</v>
      </c>
      <c r="G81" s="304">
        <f t="shared" si="37"/>
        <v>1</v>
      </c>
      <c r="H81" s="327">
        <f t="shared" si="35"/>
        <v>87.719298245614027</v>
      </c>
      <c r="I81" s="305"/>
      <c r="J81" s="229"/>
      <c r="K81" s="229"/>
      <c r="L81" s="150"/>
      <c r="M81" s="150"/>
      <c r="N81" s="150"/>
      <c r="O81" s="150"/>
      <c r="P81" s="150"/>
      <c r="Q81" s="150"/>
      <c r="R81" s="158"/>
      <c r="S81" s="158"/>
      <c r="T81" s="158"/>
      <c r="U81" s="158"/>
      <c r="V81" s="158"/>
      <c r="W81" s="158"/>
      <c r="X81" s="158"/>
    </row>
    <row r="82" spans="1:24" s="149" customFormat="1" ht="31.9" customHeight="1" x14ac:dyDescent="0.25">
      <c r="A82" s="392" t="s">
        <v>18</v>
      </c>
      <c r="B82" s="393" t="s">
        <v>188</v>
      </c>
      <c r="C82" s="4" t="s">
        <v>6</v>
      </c>
      <c r="D82" s="299">
        <v>2.99</v>
      </c>
      <c r="E82" s="299">
        <v>1</v>
      </c>
      <c r="F82" s="299">
        <v>1</v>
      </c>
      <c r="G82" s="299">
        <v>1</v>
      </c>
      <c r="H82" s="300">
        <f t="shared" si="35"/>
        <v>100</v>
      </c>
      <c r="I82" s="301"/>
      <c r="J82" s="218"/>
      <c r="K82" s="247"/>
      <c r="L82" s="142"/>
      <c r="M82" s="142"/>
      <c r="N82" s="142"/>
      <c r="O82" s="159"/>
      <c r="P82" s="159"/>
      <c r="Q82" s="159"/>
      <c r="R82" s="156"/>
      <c r="S82" s="156"/>
      <c r="T82" s="156"/>
      <c r="U82" s="156"/>
      <c r="V82" s="156"/>
      <c r="W82" s="156"/>
      <c r="X82" s="156"/>
    </row>
    <row r="83" spans="1:24" ht="31.9" customHeight="1" x14ac:dyDescent="0.25">
      <c r="A83" s="392" t="s">
        <v>15</v>
      </c>
      <c r="B83" s="389" t="s">
        <v>210</v>
      </c>
      <c r="C83" s="5" t="s">
        <v>6</v>
      </c>
      <c r="D83" s="306">
        <f t="shared" ref="D83:G83" si="38">SUM(D84:D87)</f>
        <v>1</v>
      </c>
      <c r="E83" s="306">
        <f t="shared" si="38"/>
        <v>0.14000000000000001</v>
      </c>
      <c r="F83" s="306">
        <f t="shared" si="38"/>
        <v>0</v>
      </c>
      <c r="G83" s="306">
        <f t="shared" si="38"/>
        <v>0</v>
      </c>
      <c r="H83" s="300">
        <f t="shared" si="35"/>
        <v>0</v>
      </c>
      <c r="I83" s="309"/>
      <c r="J83" s="218"/>
      <c r="K83" s="218"/>
      <c r="L83" s="218"/>
      <c r="M83" s="218"/>
      <c r="N83" s="218"/>
      <c r="O83" s="138"/>
      <c r="P83" s="138"/>
      <c r="Q83" s="138"/>
      <c r="R83" s="138"/>
      <c r="S83" s="138"/>
      <c r="T83" s="138"/>
      <c r="U83" s="138"/>
      <c r="V83" s="138"/>
      <c r="W83" s="138"/>
      <c r="X83" s="138"/>
    </row>
    <row r="84" spans="1:24" ht="31.9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300"/>
      <c r="I84" s="298"/>
      <c r="J84" s="142"/>
      <c r="K84" s="142"/>
      <c r="L84" s="142"/>
      <c r="M84" s="142"/>
      <c r="N84" s="142"/>
      <c r="O84" s="138"/>
      <c r="P84" s="138"/>
      <c r="Q84" s="138"/>
      <c r="R84" s="138"/>
      <c r="S84" s="138"/>
      <c r="T84" s="138"/>
      <c r="U84" s="138"/>
      <c r="V84" s="138"/>
      <c r="W84" s="138"/>
      <c r="X84" s="138"/>
    </row>
    <row r="85" spans="1:24" ht="31.9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300"/>
      <c r="I85" s="298"/>
      <c r="J85" s="142"/>
      <c r="K85" s="142"/>
      <c r="L85" s="142"/>
      <c r="M85" s="142"/>
      <c r="N85" s="142"/>
      <c r="O85" s="138"/>
      <c r="P85" s="138"/>
      <c r="Q85" s="138"/>
      <c r="R85" s="138"/>
      <c r="S85" s="138"/>
      <c r="T85" s="138"/>
      <c r="U85" s="138"/>
      <c r="V85" s="138"/>
      <c r="W85" s="138"/>
      <c r="X85" s="138"/>
    </row>
    <row r="86" spans="1:24" ht="31.9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300"/>
      <c r="I86" s="298"/>
      <c r="J86" s="142"/>
      <c r="K86" s="142"/>
      <c r="L86" s="142"/>
      <c r="M86" s="142"/>
      <c r="N86" s="147"/>
      <c r="O86" s="147"/>
      <c r="P86" s="147"/>
      <c r="Q86" s="147"/>
      <c r="R86" s="138"/>
      <c r="S86" s="138"/>
      <c r="T86" s="138"/>
      <c r="U86" s="138"/>
      <c r="V86" s="138"/>
      <c r="W86" s="138"/>
      <c r="X86" s="138"/>
    </row>
    <row r="87" spans="1:24" ht="31.9" customHeight="1" x14ac:dyDescent="0.25">
      <c r="A87" s="392" t="s">
        <v>18</v>
      </c>
      <c r="B87" s="393" t="s">
        <v>193</v>
      </c>
      <c r="C87" s="4" t="s">
        <v>6</v>
      </c>
      <c r="D87" s="296">
        <v>1</v>
      </c>
      <c r="E87" s="296">
        <v>0.14000000000000001</v>
      </c>
      <c r="F87" s="296">
        <v>0</v>
      </c>
      <c r="G87" s="296">
        <v>0</v>
      </c>
      <c r="H87" s="300">
        <f t="shared" si="35"/>
        <v>0</v>
      </c>
      <c r="I87" s="298"/>
      <c r="J87" s="142"/>
      <c r="K87" s="142"/>
      <c r="L87" s="142"/>
      <c r="M87" s="230"/>
      <c r="N87" s="230"/>
      <c r="O87" s="157"/>
      <c r="P87" s="157"/>
      <c r="Q87" s="157"/>
      <c r="R87" s="141"/>
      <c r="S87" s="138"/>
      <c r="T87" s="138"/>
      <c r="U87" s="138"/>
      <c r="V87" s="138"/>
      <c r="W87" s="138"/>
      <c r="X87" s="138"/>
    </row>
    <row r="88" spans="1:24" ht="31.9" customHeight="1" x14ac:dyDescent="0.25">
      <c r="A88" s="3" t="s">
        <v>44</v>
      </c>
      <c r="B88" s="334" t="s">
        <v>45</v>
      </c>
      <c r="C88" s="3"/>
      <c r="D88" s="291">
        <f>SUM(D89:D93)</f>
        <v>331</v>
      </c>
      <c r="E88" s="291">
        <f>SUM(E89:E93)</f>
        <v>358</v>
      </c>
      <c r="F88" s="291">
        <f t="shared" ref="F88:G88" si="39">SUM(F89:F93)</f>
        <v>339</v>
      </c>
      <c r="G88" s="291">
        <f t="shared" si="39"/>
        <v>339</v>
      </c>
      <c r="H88" s="295">
        <f t="shared" si="35"/>
        <v>94.692737430167597</v>
      </c>
      <c r="I88" s="294"/>
      <c r="J88" s="132"/>
      <c r="K88" s="132"/>
      <c r="L88" s="189"/>
      <c r="M88" s="189"/>
      <c r="N88" s="132"/>
      <c r="O88" s="138"/>
      <c r="P88" s="138"/>
      <c r="Q88" s="138"/>
      <c r="R88" s="138"/>
      <c r="S88" s="138"/>
      <c r="T88" s="138"/>
      <c r="U88" s="138"/>
      <c r="V88" s="138"/>
      <c r="W88" s="138"/>
      <c r="X88" s="138"/>
    </row>
    <row r="89" spans="1:24" s="194" customFormat="1" ht="31.9" customHeight="1" x14ac:dyDescent="0.25">
      <c r="A89" s="5">
        <v>1</v>
      </c>
      <c r="B89" s="337" t="s">
        <v>46</v>
      </c>
      <c r="C89" s="5" t="s">
        <v>8</v>
      </c>
      <c r="D89" s="296">
        <v>31</v>
      </c>
      <c r="E89" s="296">
        <f>70+37</f>
        <v>107</v>
      </c>
      <c r="F89" s="296">
        <v>105</v>
      </c>
      <c r="G89" s="296">
        <f>F89</f>
        <v>105</v>
      </c>
      <c r="H89" s="297">
        <f t="shared" si="35"/>
        <v>98.130841121495322</v>
      </c>
      <c r="I89" s="298"/>
      <c r="J89" s="231"/>
      <c r="K89" s="215"/>
      <c r="L89" s="277"/>
      <c r="M89" s="263"/>
      <c r="N89" s="231"/>
      <c r="O89" s="202"/>
      <c r="P89" s="202"/>
      <c r="Q89" s="202"/>
      <c r="R89" s="202"/>
      <c r="S89" s="202"/>
      <c r="T89" s="202"/>
      <c r="U89" s="202"/>
      <c r="V89" s="202"/>
      <c r="W89" s="202"/>
      <c r="X89" s="202"/>
    </row>
    <row r="90" spans="1:24" s="194" customFormat="1" ht="31.9" customHeight="1" x14ac:dyDescent="0.25">
      <c r="A90" s="5">
        <v>2</v>
      </c>
      <c r="B90" s="337" t="s">
        <v>47</v>
      </c>
      <c r="C90" s="5" t="s">
        <v>8</v>
      </c>
      <c r="D90" s="296">
        <f>52-5</f>
        <v>47</v>
      </c>
      <c r="E90" s="296">
        <f>30+5</f>
        <v>35</v>
      </c>
      <c r="F90" s="296">
        <v>33</v>
      </c>
      <c r="G90" s="296">
        <f>F90</f>
        <v>33</v>
      </c>
      <c r="H90" s="297">
        <f t="shared" si="35"/>
        <v>94.285714285714278</v>
      </c>
      <c r="I90" s="298"/>
      <c r="J90" s="231"/>
      <c r="K90" s="215"/>
      <c r="L90" s="277"/>
      <c r="M90" s="263"/>
      <c r="N90" s="231"/>
      <c r="O90" s="202"/>
      <c r="P90" s="202"/>
      <c r="Q90" s="202"/>
      <c r="R90" s="202"/>
      <c r="S90" s="202"/>
      <c r="T90" s="202"/>
      <c r="U90" s="202"/>
      <c r="V90" s="202"/>
      <c r="W90" s="202"/>
      <c r="X90" s="202"/>
    </row>
    <row r="91" spans="1:24" s="194" customFormat="1" ht="31.9" customHeight="1" x14ac:dyDescent="0.25">
      <c r="A91" s="5">
        <v>3</v>
      </c>
      <c r="B91" s="337" t="s">
        <v>48</v>
      </c>
      <c r="C91" s="5" t="s">
        <v>8</v>
      </c>
      <c r="D91" s="296">
        <f>30-5</f>
        <v>25</v>
      </c>
      <c r="E91" s="296">
        <f>10+3</f>
        <v>13</v>
      </c>
      <c r="F91" s="296">
        <v>11</v>
      </c>
      <c r="G91" s="296">
        <f>F91</f>
        <v>11</v>
      </c>
      <c r="H91" s="297">
        <f t="shared" si="35"/>
        <v>84.615384615384613</v>
      </c>
      <c r="I91" s="298"/>
      <c r="J91" s="231"/>
      <c r="K91" s="215"/>
      <c r="L91" s="277"/>
      <c r="M91" s="263"/>
      <c r="N91" s="231"/>
      <c r="O91" s="202"/>
      <c r="P91" s="202"/>
      <c r="Q91" s="202"/>
      <c r="R91" s="202"/>
      <c r="S91" s="202"/>
      <c r="T91" s="202"/>
      <c r="U91" s="202"/>
      <c r="V91" s="202"/>
      <c r="W91" s="202"/>
      <c r="X91" s="202"/>
    </row>
    <row r="92" spans="1:24" ht="31.9" customHeight="1" x14ac:dyDescent="0.25">
      <c r="A92" s="5">
        <v>4</v>
      </c>
      <c r="B92" s="337" t="s">
        <v>49</v>
      </c>
      <c r="C92" s="5" t="s">
        <v>8</v>
      </c>
      <c r="D92" s="296"/>
      <c r="E92" s="296">
        <v>0</v>
      </c>
      <c r="F92" s="296"/>
      <c r="G92" s="296"/>
      <c r="H92" s="297"/>
      <c r="I92" s="298"/>
      <c r="J92" s="132"/>
      <c r="K92" s="132"/>
      <c r="L92" s="270"/>
      <c r="M92" s="263"/>
      <c r="N92" s="132"/>
      <c r="O92" s="138"/>
      <c r="P92" s="138"/>
      <c r="Q92" s="138"/>
      <c r="R92" s="138"/>
      <c r="S92" s="138"/>
      <c r="T92" s="138"/>
      <c r="U92" s="138"/>
      <c r="V92" s="138"/>
      <c r="W92" s="138"/>
      <c r="X92" s="138"/>
    </row>
    <row r="93" spans="1:24" s="194" customFormat="1" ht="31.9" customHeight="1" x14ac:dyDescent="0.25">
      <c r="A93" s="5">
        <v>5</v>
      </c>
      <c r="B93" s="337" t="s">
        <v>50</v>
      </c>
      <c r="C93" s="5" t="s">
        <v>8</v>
      </c>
      <c r="D93" s="296">
        <v>228</v>
      </c>
      <c r="E93" s="296">
        <f>225-22</f>
        <v>203</v>
      </c>
      <c r="F93" s="296">
        <v>190</v>
      </c>
      <c r="G93" s="296">
        <f>F93</f>
        <v>190</v>
      </c>
      <c r="H93" s="297">
        <f t="shared" si="35"/>
        <v>93.596059113300484</v>
      </c>
      <c r="I93" s="298"/>
      <c r="J93" s="215"/>
      <c r="K93" s="215"/>
      <c r="L93" s="270"/>
      <c r="M93" s="263"/>
      <c r="N93" s="231"/>
      <c r="O93" s="202"/>
      <c r="P93" s="202"/>
      <c r="Q93" s="202"/>
      <c r="R93" s="202"/>
      <c r="S93" s="202"/>
      <c r="T93" s="202"/>
      <c r="U93" s="202"/>
      <c r="V93" s="202"/>
      <c r="W93" s="202"/>
      <c r="X93" s="202"/>
    </row>
    <row r="94" spans="1:24" s="131" customFormat="1" ht="31.9" customHeight="1" x14ac:dyDescent="0.25">
      <c r="A94" s="3" t="s">
        <v>51</v>
      </c>
      <c r="B94" s="335" t="s">
        <v>52</v>
      </c>
      <c r="C94" s="3" t="s">
        <v>6</v>
      </c>
      <c r="D94" s="291">
        <f>D95</f>
        <v>0</v>
      </c>
      <c r="E94" s="291">
        <f t="shared" ref="E94:G94" si="40">E95</f>
        <v>0</v>
      </c>
      <c r="F94" s="291">
        <f t="shared" si="40"/>
        <v>0</v>
      </c>
      <c r="G94" s="291">
        <f t="shared" si="40"/>
        <v>0</v>
      </c>
      <c r="H94" s="297"/>
      <c r="I94" s="294"/>
      <c r="J94" s="129"/>
      <c r="K94" s="129"/>
      <c r="L94" s="129"/>
      <c r="M94" s="129"/>
      <c r="N94" s="129"/>
      <c r="O94" s="143"/>
      <c r="P94" s="143"/>
      <c r="Q94" s="143"/>
      <c r="R94" s="143"/>
      <c r="S94" s="143"/>
      <c r="T94" s="143"/>
      <c r="U94" s="143"/>
      <c r="V94" s="143"/>
      <c r="W94" s="143"/>
      <c r="X94" s="143"/>
    </row>
    <row r="95" spans="1:24" ht="31.9" customHeight="1" x14ac:dyDescent="0.25">
      <c r="A95" s="4" t="s">
        <v>18</v>
      </c>
      <c r="B95" s="389" t="s">
        <v>53</v>
      </c>
      <c r="C95" s="4" t="s">
        <v>6</v>
      </c>
      <c r="D95" s="296"/>
      <c r="E95" s="296"/>
      <c r="F95" s="296"/>
      <c r="G95" s="296"/>
      <c r="H95" s="297"/>
      <c r="I95" s="298"/>
      <c r="J95" s="132"/>
      <c r="K95" s="132"/>
      <c r="L95" s="132"/>
      <c r="M95" s="132"/>
      <c r="N95" s="132"/>
      <c r="O95" s="138"/>
      <c r="P95" s="138"/>
      <c r="Q95" s="138"/>
      <c r="R95" s="138"/>
      <c r="S95" s="138"/>
      <c r="T95" s="138"/>
      <c r="U95" s="138"/>
      <c r="V95" s="138"/>
      <c r="W95" s="138"/>
      <c r="X95" s="138"/>
    </row>
    <row r="96" spans="1:24" ht="31.9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0</v>
      </c>
      <c r="E96" s="291">
        <f t="shared" ref="E96:G96" si="41">E97+E98</f>
        <v>0.2</v>
      </c>
      <c r="F96" s="291">
        <f t="shared" si="41"/>
        <v>0</v>
      </c>
      <c r="G96" s="291">
        <f t="shared" si="41"/>
        <v>0</v>
      </c>
      <c r="H96" s="297">
        <f t="shared" si="35"/>
        <v>0</v>
      </c>
      <c r="I96" s="294"/>
      <c r="J96" s="132"/>
      <c r="K96" s="132"/>
      <c r="L96" s="132"/>
      <c r="M96" s="132"/>
      <c r="N96" s="132"/>
      <c r="O96" s="138"/>
      <c r="P96" s="138"/>
      <c r="Q96" s="138"/>
      <c r="R96" s="138"/>
      <c r="S96" s="138"/>
      <c r="T96" s="138"/>
      <c r="U96" s="138"/>
      <c r="V96" s="138"/>
      <c r="W96" s="138"/>
      <c r="X96" s="138"/>
    </row>
    <row r="97" spans="1:24" ht="31.9" customHeight="1" x14ac:dyDescent="0.25">
      <c r="A97" s="5" t="s">
        <v>18</v>
      </c>
      <c r="B97" s="391" t="s">
        <v>213</v>
      </c>
      <c r="C97" s="4" t="s">
        <v>6</v>
      </c>
      <c r="D97" s="296"/>
      <c r="E97" s="296">
        <v>0.2</v>
      </c>
      <c r="F97" s="296"/>
      <c r="G97" s="296"/>
      <c r="H97" s="297">
        <f t="shared" si="35"/>
        <v>0</v>
      </c>
      <c r="I97" s="298"/>
      <c r="J97" s="132"/>
      <c r="K97" s="116"/>
      <c r="L97" s="116"/>
      <c r="M97" s="116"/>
      <c r="N97" s="132"/>
      <c r="O97" s="138"/>
      <c r="P97" s="138"/>
      <c r="Q97" s="138"/>
      <c r="R97" s="138"/>
      <c r="S97" s="138"/>
      <c r="T97" s="138"/>
      <c r="U97" s="138"/>
      <c r="V97" s="138"/>
      <c r="W97" s="138"/>
      <c r="X97" s="138"/>
    </row>
    <row r="98" spans="1:24" ht="31.9" customHeight="1" x14ac:dyDescent="0.25">
      <c r="A98" s="395" t="s">
        <v>18</v>
      </c>
      <c r="B98" s="391" t="s">
        <v>56</v>
      </c>
      <c r="C98" s="4" t="s">
        <v>6</v>
      </c>
      <c r="D98" s="296"/>
      <c r="E98" s="296"/>
      <c r="F98" s="296"/>
      <c r="G98" s="296"/>
      <c r="H98" s="297"/>
      <c r="I98" s="298"/>
      <c r="J98" s="132"/>
      <c r="K98" s="132"/>
      <c r="L98" s="132"/>
      <c r="M98" s="132"/>
      <c r="N98" s="132"/>
      <c r="O98" s="138"/>
      <c r="P98" s="138"/>
      <c r="Q98" s="138"/>
      <c r="R98" s="138"/>
      <c r="S98" s="138"/>
      <c r="T98" s="138"/>
      <c r="U98" s="138"/>
      <c r="V98" s="138"/>
      <c r="W98" s="138"/>
      <c r="X98" s="138"/>
    </row>
    <row r="99" spans="1:24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27"/>
      <c r="L99" s="127"/>
      <c r="M99" s="127"/>
      <c r="N99" s="127"/>
    </row>
    <row r="100" spans="1:24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27"/>
      <c r="L100" s="127"/>
      <c r="M100" s="127"/>
      <c r="N100" s="127"/>
    </row>
    <row r="101" spans="1:24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27"/>
      <c r="L101" s="127"/>
      <c r="M101" s="127"/>
      <c r="N101" s="127"/>
    </row>
    <row r="102" spans="1:24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27"/>
      <c r="L102" s="127"/>
      <c r="M102" s="127"/>
      <c r="N102" s="127"/>
    </row>
    <row r="103" spans="1:24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27"/>
      <c r="L103" s="127"/>
      <c r="M103" s="127"/>
      <c r="N103" s="127"/>
    </row>
    <row r="104" spans="1:24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27"/>
      <c r="L104" s="127"/>
      <c r="M104" s="127"/>
      <c r="N104" s="127"/>
    </row>
    <row r="105" spans="1:24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27"/>
      <c r="L105" s="127"/>
      <c r="M105" s="127"/>
      <c r="N105" s="127"/>
    </row>
    <row r="106" spans="1:24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27"/>
      <c r="L106" s="127"/>
      <c r="M106" s="127"/>
      <c r="N106" s="127"/>
    </row>
    <row r="107" spans="1:24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27"/>
      <c r="L107" s="127"/>
      <c r="M107" s="127"/>
      <c r="N107" s="127"/>
    </row>
    <row r="108" spans="1:24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27"/>
      <c r="L108" s="127"/>
      <c r="M108" s="127"/>
      <c r="N108" s="127"/>
    </row>
    <row r="109" spans="1:24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  <c r="N109" s="127"/>
    </row>
    <row r="110" spans="1:24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  <c r="N110" s="127"/>
    </row>
    <row r="111" spans="1:24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  <c r="N111" s="127"/>
    </row>
    <row r="112" spans="1:24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  <c r="N112" s="127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47244094488188981" right="0.35433070866141736" top="0.55118110236220474" bottom="0.43307086614173229" header="0" footer="0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984"/>
  <sheetViews>
    <sheetView zoomScaleNormal="100" workbookViewId="0">
      <pane ySplit="8" topLeftCell="A48" activePane="bottomLeft" state="frozen"/>
      <selection pane="bottomLeft" activeCell="D7" sqref="D7:D8"/>
    </sheetView>
  </sheetViews>
  <sheetFormatPr defaultColWidth="11.21875" defaultRowHeight="15" customHeight="1" x14ac:dyDescent="0.25"/>
  <cols>
    <col min="1" max="1" width="7.109375" style="330" customWidth="1"/>
    <col min="2" max="2" width="29.33203125" style="330" customWidth="1"/>
    <col min="3" max="3" width="9.21875" style="330" customWidth="1"/>
    <col min="4" max="4" width="19.21875" style="330" customWidth="1"/>
    <col min="5" max="5" width="18.6640625" style="330" customWidth="1"/>
    <col min="6" max="8" width="12.6640625" style="330" customWidth="1"/>
    <col min="9" max="9" width="10.77734375" style="330" customWidth="1"/>
    <col min="10" max="10" width="8.88671875" style="125" customWidth="1"/>
    <col min="11" max="11" width="21.109375" style="125" customWidth="1"/>
    <col min="12" max="14" width="8.88671875" style="125" customWidth="1"/>
    <col min="15" max="16384" width="11.21875" style="125"/>
  </cols>
  <sheetData>
    <row r="1" spans="1:20" ht="15" customHeight="1" x14ac:dyDescent="0.25">
      <c r="H1" s="409"/>
      <c r="I1" s="409"/>
    </row>
    <row r="2" spans="1:20" ht="21.6" customHeight="1" x14ac:dyDescent="0.25">
      <c r="A2" s="405"/>
      <c r="B2" s="405"/>
      <c r="C2" s="405"/>
      <c r="D2" s="405"/>
      <c r="E2" s="405"/>
      <c r="F2" s="405"/>
      <c r="G2" s="405"/>
      <c r="H2" s="405"/>
      <c r="I2" s="405"/>
      <c r="J2" s="127"/>
      <c r="K2" s="127"/>
      <c r="L2" s="127"/>
      <c r="M2" s="127"/>
      <c r="N2" s="127"/>
    </row>
    <row r="3" spans="1:20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20" ht="16.5" x14ac:dyDescent="0.25">
      <c r="A4" s="405" t="s">
        <v>226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20" ht="20.45" customHeight="1" x14ac:dyDescent="0.25">
      <c r="A5" s="417" t="str">
        <f>'ĐĂK CHUM 1(3)'!A5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20" ht="16.5" x14ac:dyDescent="0.25">
      <c r="A6" s="376"/>
      <c r="B6" s="376"/>
      <c r="C6" s="376"/>
      <c r="D6" s="377"/>
      <c r="E6" s="377"/>
      <c r="F6" s="377"/>
      <c r="G6" s="377"/>
      <c r="H6" s="377"/>
      <c r="I6" s="377"/>
      <c r="J6" s="127"/>
      <c r="K6" s="127"/>
      <c r="L6" s="127"/>
      <c r="M6" s="127"/>
      <c r="N6" s="127"/>
    </row>
    <row r="7" spans="1:20" ht="42.6" customHeight="1" x14ac:dyDescent="0.25">
      <c r="A7" s="412" t="s">
        <v>10</v>
      </c>
      <c r="B7" s="412" t="s">
        <v>1</v>
      </c>
      <c r="C7" s="412" t="s">
        <v>11</v>
      </c>
      <c r="D7" s="414" t="s">
        <v>222</v>
      </c>
      <c r="E7" s="420" t="s">
        <v>256</v>
      </c>
      <c r="F7" s="421"/>
      <c r="G7" s="421"/>
      <c r="H7" s="422"/>
      <c r="I7" s="407" t="s">
        <v>259</v>
      </c>
      <c r="J7" s="127"/>
      <c r="K7" s="153" t="s">
        <v>215</v>
      </c>
      <c r="L7" s="174">
        <v>28</v>
      </c>
      <c r="M7" s="127"/>
      <c r="N7" s="127"/>
    </row>
    <row r="8" spans="1:20" ht="42.6" customHeight="1" x14ac:dyDescent="0.25">
      <c r="A8" s="413"/>
      <c r="B8" s="413"/>
      <c r="C8" s="413"/>
      <c r="D8" s="415"/>
      <c r="E8" s="331" t="s">
        <v>257</v>
      </c>
      <c r="F8" s="331" t="s">
        <v>261</v>
      </c>
      <c r="G8" s="331" t="s">
        <v>263</v>
      </c>
      <c r="H8" s="331" t="s">
        <v>258</v>
      </c>
      <c r="I8" s="408"/>
      <c r="J8" s="127"/>
      <c r="K8" s="153" t="s">
        <v>216</v>
      </c>
      <c r="L8" s="174">
        <v>92</v>
      </c>
      <c r="M8" s="127"/>
      <c r="N8" s="127"/>
    </row>
    <row r="9" spans="1:20" s="131" customFormat="1" ht="31.9" customHeight="1" x14ac:dyDescent="0.25">
      <c r="A9" s="3" t="s">
        <v>12</v>
      </c>
      <c r="B9" s="335" t="s">
        <v>13</v>
      </c>
      <c r="C9" s="3" t="s">
        <v>6</v>
      </c>
      <c r="D9" s="291">
        <f>D13+D28+D37+D43+D46+D67</f>
        <v>32.82</v>
      </c>
      <c r="E9" s="292">
        <f t="shared" ref="E9:G9" si="0">E13+E28+E37+E43+E46+E67</f>
        <v>58.92</v>
      </c>
      <c r="F9" s="292">
        <f t="shared" si="0"/>
        <v>28.369999999999997</v>
      </c>
      <c r="G9" s="292">
        <f t="shared" si="0"/>
        <v>28.369999999999997</v>
      </c>
      <c r="H9" s="292">
        <f>F9/E9*100</f>
        <v>48.150033944331291</v>
      </c>
      <c r="I9" s="292"/>
      <c r="J9" s="213"/>
      <c r="K9" s="228"/>
      <c r="L9" s="228"/>
      <c r="M9" s="228"/>
      <c r="N9" s="228"/>
      <c r="O9" s="143"/>
      <c r="P9" s="143"/>
      <c r="Q9" s="143"/>
      <c r="R9" s="143"/>
      <c r="S9" s="143"/>
      <c r="T9" s="143"/>
    </row>
    <row r="10" spans="1:20" s="131" customFormat="1" ht="31.9" customHeight="1" x14ac:dyDescent="0.25">
      <c r="A10" s="3">
        <v>1</v>
      </c>
      <c r="B10" s="335" t="s">
        <v>14</v>
      </c>
      <c r="C10" s="3" t="s">
        <v>6</v>
      </c>
      <c r="D10" s="291">
        <f>D13+D28</f>
        <v>1</v>
      </c>
      <c r="E10" s="291">
        <f t="shared" ref="E10:G10" si="1">E13+E28</f>
        <v>19.809999999999999</v>
      </c>
      <c r="F10" s="291">
        <f t="shared" si="1"/>
        <v>1.3</v>
      </c>
      <c r="G10" s="291">
        <f t="shared" si="1"/>
        <v>1.3</v>
      </c>
      <c r="H10" s="292">
        <f t="shared" ref="H10:H73" si="2">F10/E10*100</f>
        <v>6.5623422513881886</v>
      </c>
      <c r="I10" s="291"/>
      <c r="J10" s="213"/>
      <c r="K10" s="228"/>
      <c r="L10" s="228"/>
      <c r="M10" s="228"/>
      <c r="N10" s="228"/>
      <c r="O10" s="143"/>
      <c r="P10" s="143"/>
      <c r="Q10" s="143"/>
      <c r="R10" s="143"/>
      <c r="S10" s="143"/>
      <c r="T10" s="143"/>
    </row>
    <row r="11" spans="1:20" s="131" customFormat="1" ht="31.9" customHeight="1" x14ac:dyDescent="0.25">
      <c r="A11" s="3"/>
      <c r="B11" s="334" t="s">
        <v>16</v>
      </c>
      <c r="C11" s="3" t="s">
        <v>17</v>
      </c>
      <c r="D11" s="291">
        <f>D12+D30</f>
        <v>3.6850000000000001</v>
      </c>
      <c r="E11" s="291">
        <f t="shared" ref="E11:G11" si="3">E12+E30</f>
        <v>69.393340000000009</v>
      </c>
      <c r="F11" s="291">
        <f t="shared" si="3"/>
        <v>0</v>
      </c>
      <c r="G11" s="291">
        <f t="shared" si="3"/>
        <v>0</v>
      </c>
      <c r="H11" s="292">
        <f t="shared" si="2"/>
        <v>0</v>
      </c>
      <c r="I11" s="291"/>
      <c r="J11" s="213"/>
      <c r="K11" s="228"/>
      <c r="L11" s="228"/>
      <c r="M11" s="228"/>
      <c r="N11" s="228"/>
      <c r="O11" s="143"/>
      <c r="P11" s="143"/>
      <c r="Q11" s="143"/>
      <c r="R11" s="143"/>
      <c r="S11" s="143"/>
      <c r="T11" s="143"/>
    </row>
    <row r="12" spans="1:20" s="131" customFormat="1" ht="31.9" customHeight="1" x14ac:dyDescent="0.25">
      <c r="A12" s="3"/>
      <c r="B12" s="335" t="s">
        <v>221</v>
      </c>
      <c r="C12" s="3" t="s">
        <v>17</v>
      </c>
      <c r="D12" s="291">
        <f>D15</f>
        <v>0</v>
      </c>
      <c r="E12" s="291">
        <f t="shared" ref="E12:G12" si="4">E15</f>
        <v>65.703340000000011</v>
      </c>
      <c r="F12" s="291">
        <f t="shared" si="4"/>
        <v>0</v>
      </c>
      <c r="G12" s="291">
        <f t="shared" si="4"/>
        <v>0</v>
      </c>
      <c r="H12" s="292">
        <f t="shared" si="2"/>
        <v>0</v>
      </c>
      <c r="I12" s="291"/>
      <c r="J12" s="213"/>
      <c r="K12" s="228"/>
      <c r="L12" s="228"/>
      <c r="M12" s="228"/>
      <c r="N12" s="228"/>
      <c r="O12" s="143"/>
      <c r="P12" s="143"/>
      <c r="Q12" s="143"/>
      <c r="R12" s="143"/>
      <c r="S12" s="143"/>
      <c r="T12" s="143"/>
    </row>
    <row r="13" spans="1:20" ht="31.9" customHeight="1" x14ac:dyDescent="0.25">
      <c r="A13" s="3" t="s">
        <v>5</v>
      </c>
      <c r="B13" s="335" t="s">
        <v>19</v>
      </c>
      <c r="C13" s="3" t="s">
        <v>6</v>
      </c>
      <c r="D13" s="291">
        <f>D16+D19</f>
        <v>0</v>
      </c>
      <c r="E13" s="291">
        <f t="shared" ref="E13:G13" si="5">E16+E19</f>
        <v>18.809999999999999</v>
      </c>
      <c r="F13" s="291">
        <f t="shared" si="5"/>
        <v>1.3</v>
      </c>
      <c r="G13" s="291">
        <f t="shared" si="5"/>
        <v>1.3</v>
      </c>
      <c r="H13" s="292">
        <f t="shared" si="2"/>
        <v>6.911217437533228</v>
      </c>
      <c r="I13" s="291"/>
      <c r="J13" s="127"/>
      <c r="K13" s="155"/>
      <c r="L13" s="155"/>
      <c r="M13" s="155"/>
      <c r="N13" s="155"/>
      <c r="O13" s="138"/>
      <c r="P13" s="138"/>
      <c r="Q13" s="138"/>
      <c r="R13" s="138"/>
      <c r="S13" s="138"/>
      <c r="T13" s="138"/>
    </row>
    <row r="14" spans="1:20" ht="31.9" customHeight="1" x14ac:dyDescent="0.25">
      <c r="A14" s="3"/>
      <c r="B14" s="337" t="s">
        <v>218</v>
      </c>
      <c r="C14" s="5" t="s">
        <v>219</v>
      </c>
      <c r="D14" s="296"/>
      <c r="E14" s="296">
        <f t="shared" ref="E14:G14" si="6">E15/E13*10</f>
        <v>34.930005316321115</v>
      </c>
      <c r="F14" s="296">
        <f t="shared" si="6"/>
        <v>0</v>
      </c>
      <c r="G14" s="296">
        <f t="shared" si="6"/>
        <v>0</v>
      </c>
      <c r="H14" s="292">
        <f>F14/E14*100</f>
        <v>0</v>
      </c>
      <c r="I14" s="296"/>
      <c r="J14" s="127"/>
      <c r="K14" s="155"/>
      <c r="L14" s="155"/>
      <c r="M14" s="155"/>
      <c r="N14" s="155"/>
      <c r="O14" s="138"/>
      <c r="P14" s="138"/>
      <c r="Q14" s="138"/>
      <c r="R14" s="138"/>
      <c r="S14" s="138"/>
      <c r="T14" s="138"/>
    </row>
    <row r="15" spans="1:20" ht="31.9" customHeight="1" x14ac:dyDescent="0.25">
      <c r="A15" s="3"/>
      <c r="B15" s="337" t="s">
        <v>220</v>
      </c>
      <c r="C15" s="5" t="s">
        <v>17</v>
      </c>
      <c r="D15" s="296">
        <f>D18+D21</f>
        <v>0</v>
      </c>
      <c r="E15" s="296">
        <f t="shared" ref="E15:G15" si="7">E18+E21</f>
        <v>65.703340000000011</v>
      </c>
      <c r="F15" s="296">
        <f t="shared" si="7"/>
        <v>0</v>
      </c>
      <c r="G15" s="296">
        <f t="shared" si="7"/>
        <v>0</v>
      </c>
      <c r="H15" s="292">
        <f t="shared" si="2"/>
        <v>0</v>
      </c>
      <c r="I15" s="296"/>
      <c r="J15" s="127"/>
      <c r="K15" s="155"/>
      <c r="L15" s="155"/>
      <c r="M15" s="155"/>
      <c r="N15" s="155"/>
      <c r="O15" s="138"/>
      <c r="P15" s="138"/>
      <c r="Q15" s="138"/>
      <c r="R15" s="138"/>
      <c r="S15" s="138"/>
      <c r="T15" s="138"/>
    </row>
    <row r="16" spans="1:20" ht="31.9" customHeight="1" x14ac:dyDescent="0.25">
      <c r="A16" s="3" t="s">
        <v>20</v>
      </c>
      <c r="B16" s="335" t="s">
        <v>21</v>
      </c>
      <c r="C16" s="3" t="s">
        <v>6</v>
      </c>
      <c r="D16" s="291"/>
      <c r="E16" s="291">
        <v>1.3</v>
      </c>
      <c r="F16" s="291">
        <v>1.3</v>
      </c>
      <c r="G16" s="291">
        <v>1.3</v>
      </c>
      <c r="H16" s="292">
        <f t="shared" si="2"/>
        <v>100</v>
      </c>
      <c r="I16" s="291"/>
      <c r="J16" s="214"/>
      <c r="K16" s="134"/>
      <c r="L16" s="134"/>
      <c r="M16" s="134"/>
      <c r="N16" s="134"/>
      <c r="O16" s="161"/>
      <c r="P16" s="161"/>
      <c r="Q16" s="161"/>
      <c r="R16" s="139"/>
      <c r="S16" s="138"/>
      <c r="T16" s="138"/>
    </row>
    <row r="17" spans="1:21" ht="31.9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>
        <v>0</v>
      </c>
      <c r="G17" s="296">
        <v>0</v>
      </c>
      <c r="H17" s="292">
        <f t="shared" si="2"/>
        <v>0</v>
      </c>
      <c r="I17" s="296"/>
      <c r="J17" s="214"/>
      <c r="K17" s="134"/>
      <c r="L17" s="134"/>
      <c r="M17" s="134"/>
      <c r="N17" s="134"/>
      <c r="O17" s="161"/>
      <c r="P17" s="161"/>
      <c r="Q17" s="161"/>
      <c r="R17" s="139"/>
      <c r="S17" s="138"/>
      <c r="T17" s="138"/>
    </row>
    <row r="18" spans="1:21" ht="31.9" customHeight="1" x14ac:dyDescent="0.25">
      <c r="A18" s="3"/>
      <c r="B18" s="337" t="s">
        <v>220</v>
      </c>
      <c r="C18" s="5" t="s">
        <v>17</v>
      </c>
      <c r="D18" s="296">
        <f>D16*D17/10</f>
        <v>0</v>
      </c>
      <c r="E18" s="296">
        <f t="shared" ref="E18:G18" si="8">E16*E17/10</f>
        <v>4.3550000000000004</v>
      </c>
      <c r="F18" s="296">
        <f t="shared" si="8"/>
        <v>0</v>
      </c>
      <c r="G18" s="296">
        <f t="shared" si="8"/>
        <v>0</v>
      </c>
      <c r="H18" s="292">
        <f t="shared" si="2"/>
        <v>0</v>
      </c>
      <c r="I18" s="296"/>
      <c r="J18" s="214"/>
      <c r="K18" s="134"/>
      <c r="L18" s="134"/>
      <c r="M18" s="134"/>
      <c r="N18" s="134"/>
      <c r="O18" s="161"/>
      <c r="P18" s="161"/>
      <c r="Q18" s="161"/>
      <c r="R18" s="139"/>
      <c r="S18" s="138"/>
      <c r="T18" s="138"/>
    </row>
    <row r="19" spans="1:21" ht="31.9" customHeight="1" x14ac:dyDescent="0.25">
      <c r="A19" s="379" t="s">
        <v>22</v>
      </c>
      <c r="B19" s="380" t="s">
        <v>23</v>
      </c>
      <c r="C19" s="379" t="s">
        <v>6</v>
      </c>
      <c r="D19" s="291">
        <f t="shared" ref="D19:G19" si="9">D22+D25</f>
        <v>0</v>
      </c>
      <c r="E19" s="291">
        <f t="shared" si="9"/>
        <v>17.509999999999998</v>
      </c>
      <c r="F19" s="291">
        <f t="shared" si="9"/>
        <v>0</v>
      </c>
      <c r="G19" s="291">
        <f t="shared" si="9"/>
        <v>0</v>
      </c>
      <c r="H19" s="292">
        <f t="shared" si="2"/>
        <v>0</v>
      </c>
      <c r="I19" s="291"/>
      <c r="J19" s="128"/>
      <c r="K19" s="132"/>
      <c r="L19" s="132"/>
      <c r="M19" s="132"/>
      <c r="N19" s="137"/>
      <c r="O19" s="162"/>
      <c r="P19" s="162"/>
      <c r="Q19" s="162"/>
      <c r="R19" s="162"/>
      <c r="S19" s="162"/>
      <c r="T19" s="162"/>
      <c r="U19" s="133"/>
    </row>
    <row r="20" spans="1:21" ht="31.9" customHeight="1" x14ac:dyDescent="0.25">
      <c r="A20" s="379"/>
      <c r="B20" s="337" t="s">
        <v>218</v>
      </c>
      <c r="C20" s="5" t="s">
        <v>219</v>
      </c>
      <c r="D20" s="296"/>
      <c r="E20" s="296">
        <f t="shared" ref="E20" si="10">E21/E19*10</f>
        <v>35.036173615077104</v>
      </c>
      <c r="F20" s="296"/>
      <c r="G20" s="296"/>
      <c r="H20" s="292">
        <f t="shared" si="2"/>
        <v>0</v>
      </c>
      <c r="I20" s="296"/>
      <c r="J20" s="128"/>
      <c r="K20" s="132"/>
      <c r="L20" s="132"/>
      <c r="M20" s="132"/>
      <c r="N20" s="137"/>
      <c r="O20" s="162"/>
      <c r="P20" s="162"/>
      <c r="Q20" s="162"/>
      <c r="R20" s="162"/>
      <c r="S20" s="162"/>
      <c r="T20" s="162"/>
      <c r="U20" s="133"/>
    </row>
    <row r="21" spans="1:21" ht="31.9" customHeight="1" x14ac:dyDescent="0.25">
      <c r="A21" s="379"/>
      <c r="B21" s="337" t="s">
        <v>220</v>
      </c>
      <c r="C21" s="5" t="s">
        <v>17</v>
      </c>
      <c r="D21" s="296">
        <f>D24+D27</f>
        <v>0</v>
      </c>
      <c r="E21" s="296">
        <f t="shared" ref="E21:G21" si="11">E24+E27</f>
        <v>61.348340000000007</v>
      </c>
      <c r="F21" s="296">
        <f t="shared" si="11"/>
        <v>0</v>
      </c>
      <c r="G21" s="296">
        <f t="shared" si="11"/>
        <v>0</v>
      </c>
      <c r="H21" s="292">
        <f t="shared" si="2"/>
        <v>0</v>
      </c>
      <c r="I21" s="296"/>
      <c r="J21" s="128"/>
      <c r="K21" s="132"/>
      <c r="L21" s="132"/>
      <c r="M21" s="132"/>
      <c r="N21" s="137"/>
      <c r="O21" s="162"/>
      <c r="P21" s="162"/>
      <c r="Q21" s="162"/>
      <c r="R21" s="162"/>
      <c r="S21" s="162"/>
      <c r="T21" s="162"/>
      <c r="U21" s="133"/>
    </row>
    <row r="22" spans="1:21" ht="31.9" customHeight="1" x14ac:dyDescent="0.25">
      <c r="A22" s="379" t="s">
        <v>24</v>
      </c>
      <c r="B22" s="380" t="s">
        <v>25</v>
      </c>
      <c r="C22" s="379" t="s">
        <v>6</v>
      </c>
      <c r="D22" s="291"/>
      <c r="E22" s="291">
        <v>15.01</v>
      </c>
      <c r="F22" s="296">
        <v>0</v>
      </c>
      <c r="G22" s="291">
        <v>0</v>
      </c>
      <c r="H22" s="292">
        <f t="shared" si="2"/>
        <v>0</v>
      </c>
      <c r="I22" s="296"/>
      <c r="J22" s="121"/>
      <c r="K22" s="116"/>
      <c r="L22" s="116"/>
      <c r="M22" s="116"/>
      <c r="N22" s="117"/>
      <c r="O22" s="118"/>
      <c r="P22" s="118"/>
      <c r="Q22" s="118"/>
      <c r="R22" s="118"/>
      <c r="S22" s="118"/>
      <c r="T22" s="163"/>
      <c r="U22" s="133"/>
    </row>
    <row r="23" spans="1:21" ht="31.9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/>
      <c r="G23" s="296"/>
      <c r="H23" s="292">
        <f t="shared" si="2"/>
        <v>0</v>
      </c>
      <c r="I23" s="296"/>
      <c r="J23" s="121"/>
      <c r="K23" s="116"/>
      <c r="L23" s="116"/>
      <c r="M23" s="116"/>
      <c r="N23" s="117"/>
      <c r="O23" s="118"/>
      <c r="P23" s="118"/>
      <c r="Q23" s="118"/>
      <c r="R23" s="118"/>
      <c r="S23" s="118"/>
      <c r="T23" s="163"/>
      <c r="U23" s="133"/>
    </row>
    <row r="24" spans="1:21" ht="31.9" customHeight="1" x14ac:dyDescent="0.25">
      <c r="A24" s="379"/>
      <c r="B24" s="337" t="s">
        <v>220</v>
      </c>
      <c r="C24" s="5" t="s">
        <v>17</v>
      </c>
      <c r="D24" s="296">
        <f>D22*D23/10</f>
        <v>0</v>
      </c>
      <c r="E24" s="296">
        <f t="shared" ref="E24:G24" si="12">E22*E23/10</f>
        <v>57.54834000000001</v>
      </c>
      <c r="F24" s="296">
        <f t="shared" si="12"/>
        <v>0</v>
      </c>
      <c r="G24" s="296">
        <f t="shared" si="12"/>
        <v>0</v>
      </c>
      <c r="H24" s="292">
        <f t="shared" si="2"/>
        <v>0</v>
      </c>
      <c r="I24" s="296"/>
      <c r="J24" s="121"/>
      <c r="K24" s="116"/>
      <c r="L24" s="116"/>
      <c r="M24" s="116"/>
      <c r="N24" s="117"/>
      <c r="O24" s="118"/>
      <c r="P24" s="118"/>
      <c r="Q24" s="118"/>
      <c r="R24" s="118"/>
      <c r="S24" s="118"/>
      <c r="T24" s="163"/>
      <c r="U24" s="133"/>
    </row>
    <row r="25" spans="1:21" ht="31.9" customHeight="1" x14ac:dyDescent="0.25">
      <c r="A25" s="379" t="s">
        <v>24</v>
      </c>
      <c r="B25" s="380" t="s">
        <v>26</v>
      </c>
      <c r="C25" s="379" t="s">
        <v>6</v>
      </c>
      <c r="D25" s="291"/>
      <c r="E25" s="291">
        <v>2.5</v>
      </c>
      <c r="F25" s="296">
        <v>0</v>
      </c>
      <c r="G25" s="291">
        <v>0</v>
      </c>
      <c r="H25" s="292">
        <f t="shared" si="2"/>
        <v>0</v>
      </c>
      <c r="I25" s="296"/>
      <c r="J25" s="121"/>
      <c r="K25" s="116"/>
      <c r="L25" s="116"/>
      <c r="M25" s="116"/>
      <c r="N25" s="116"/>
      <c r="O25" s="119"/>
      <c r="P25" s="119"/>
      <c r="Q25" s="119"/>
      <c r="R25" s="115"/>
      <c r="S25" s="115"/>
      <c r="T25" s="138"/>
    </row>
    <row r="26" spans="1:21" ht="31.9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15.2</v>
      </c>
      <c r="F26" s="296"/>
      <c r="G26" s="296"/>
      <c r="H26" s="292">
        <f t="shared" si="2"/>
        <v>0</v>
      </c>
      <c r="I26" s="296"/>
      <c r="J26" s="121"/>
      <c r="K26" s="116"/>
      <c r="L26" s="116"/>
      <c r="M26" s="116"/>
      <c r="N26" s="116"/>
      <c r="O26" s="119"/>
      <c r="P26" s="119"/>
      <c r="Q26" s="119"/>
      <c r="R26" s="115"/>
      <c r="S26" s="115"/>
      <c r="T26" s="138"/>
    </row>
    <row r="27" spans="1:21" ht="31.9" customHeight="1" x14ac:dyDescent="0.25">
      <c r="A27" s="379"/>
      <c r="B27" s="337" t="s">
        <v>220</v>
      </c>
      <c r="C27" s="5" t="s">
        <v>17</v>
      </c>
      <c r="D27" s="296">
        <f>D25*D26/10</f>
        <v>0</v>
      </c>
      <c r="E27" s="296">
        <f t="shared" ref="E27:G27" si="13">E25*E26/10</f>
        <v>3.8</v>
      </c>
      <c r="F27" s="296">
        <f t="shared" si="13"/>
        <v>0</v>
      </c>
      <c r="G27" s="296">
        <f t="shared" si="13"/>
        <v>0</v>
      </c>
      <c r="H27" s="292">
        <f t="shared" si="2"/>
        <v>0</v>
      </c>
      <c r="I27" s="296"/>
      <c r="J27" s="121"/>
      <c r="K27" s="116"/>
      <c r="L27" s="116"/>
      <c r="M27" s="116"/>
      <c r="N27" s="116"/>
      <c r="O27" s="119"/>
      <c r="P27" s="119"/>
      <c r="Q27" s="119"/>
      <c r="R27" s="115"/>
      <c r="S27" s="115"/>
      <c r="T27" s="138"/>
    </row>
    <row r="28" spans="1:21" ht="31.9" customHeight="1" x14ac:dyDescent="0.25">
      <c r="A28" s="3" t="s">
        <v>7</v>
      </c>
      <c r="B28" s="335" t="s">
        <v>27</v>
      </c>
      <c r="C28" s="3" t="s">
        <v>6</v>
      </c>
      <c r="D28" s="291">
        <f t="shared" ref="D28:G28" si="14">D31+D34</f>
        <v>1</v>
      </c>
      <c r="E28" s="291">
        <f t="shared" si="14"/>
        <v>1</v>
      </c>
      <c r="F28" s="291">
        <f t="shared" si="14"/>
        <v>0</v>
      </c>
      <c r="G28" s="291">
        <f t="shared" si="14"/>
        <v>0</v>
      </c>
      <c r="H28" s="292">
        <f t="shared" si="2"/>
        <v>0</v>
      </c>
      <c r="I28" s="291"/>
      <c r="J28" s="128"/>
      <c r="K28" s="132"/>
      <c r="L28" s="132"/>
      <c r="M28" s="132"/>
      <c r="N28" s="132"/>
      <c r="O28" s="147"/>
      <c r="P28" s="147"/>
      <c r="Q28" s="147"/>
      <c r="R28" s="138"/>
      <c r="S28" s="138"/>
      <c r="T28" s="138"/>
    </row>
    <row r="29" spans="1:21" ht="31.9" customHeight="1" x14ac:dyDescent="0.25">
      <c r="A29" s="3"/>
      <c r="B29" s="337" t="s">
        <v>218</v>
      </c>
      <c r="C29" s="5" t="s">
        <v>219</v>
      </c>
      <c r="D29" s="296">
        <f>D30/D28*10</f>
        <v>36.85</v>
      </c>
      <c r="E29" s="296">
        <f t="shared" ref="E29" si="15">E30/E28*10</f>
        <v>36.9</v>
      </c>
      <c r="F29" s="296"/>
      <c r="G29" s="296"/>
      <c r="H29" s="292">
        <f t="shared" si="2"/>
        <v>0</v>
      </c>
      <c r="I29" s="296"/>
      <c r="J29" s="128"/>
      <c r="K29" s="132"/>
      <c r="L29" s="132"/>
      <c r="M29" s="132"/>
      <c r="N29" s="132"/>
      <c r="O29" s="147"/>
      <c r="P29" s="147"/>
      <c r="Q29" s="147"/>
      <c r="R29" s="138"/>
      <c r="S29" s="138"/>
      <c r="T29" s="138"/>
    </row>
    <row r="30" spans="1:21" ht="31.9" customHeight="1" x14ac:dyDescent="0.25">
      <c r="A30" s="3"/>
      <c r="B30" s="337" t="s">
        <v>220</v>
      </c>
      <c r="C30" s="5" t="s">
        <v>17</v>
      </c>
      <c r="D30" s="296">
        <f>D33+D36</f>
        <v>3.6850000000000001</v>
      </c>
      <c r="E30" s="296">
        <f t="shared" ref="E30:G30" si="16">E33+E36</f>
        <v>3.69</v>
      </c>
      <c r="F30" s="296">
        <f t="shared" si="16"/>
        <v>0</v>
      </c>
      <c r="G30" s="296">
        <f t="shared" si="16"/>
        <v>0</v>
      </c>
      <c r="H30" s="292">
        <f t="shared" si="2"/>
        <v>0</v>
      </c>
      <c r="I30" s="296"/>
      <c r="J30" s="128"/>
      <c r="K30" s="132"/>
      <c r="L30" s="132"/>
      <c r="M30" s="132"/>
      <c r="N30" s="132"/>
      <c r="O30" s="147"/>
      <c r="P30" s="147"/>
      <c r="Q30" s="147"/>
      <c r="R30" s="138"/>
      <c r="S30" s="138"/>
      <c r="T30" s="138"/>
    </row>
    <row r="31" spans="1:21" ht="31.9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/>
      <c r="G31" s="291"/>
      <c r="H31" s="292"/>
      <c r="I31" s="291"/>
      <c r="J31" s="128"/>
      <c r="K31" s="134"/>
      <c r="L31" s="132"/>
      <c r="M31" s="132"/>
      <c r="N31" s="132"/>
      <c r="O31" s="147"/>
      <c r="P31" s="147"/>
      <c r="Q31" s="147"/>
      <c r="R31" s="138"/>
      <c r="S31" s="138"/>
      <c r="T31" s="138"/>
    </row>
    <row r="32" spans="1:21" ht="31.9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1"/>
      <c r="H32" s="292"/>
      <c r="I32" s="291"/>
      <c r="J32" s="128"/>
      <c r="K32" s="134"/>
      <c r="L32" s="132"/>
      <c r="M32" s="132"/>
      <c r="N32" s="132"/>
      <c r="O32" s="147"/>
      <c r="P32" s="147"/>
      <c r="Q32" s="147"/>
      <c r="R32" s="138"/>
      <c r="S32" s="138"/>
      <c r="T32" s="138"/>
    </row>
    <row r="33" spans="1:21" ht="31.9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1"/>
      <c r="H33" s="292"/>
      <c r="I33" s="291"/>
      <c r="J33" s="128"/>
      <c r="K33" s="134"/>
      <c r="L33" s="132"/>
      <c r="M33" s="132"/>
      <c r="N33" s="132"/>
      <c r="O33" s="147"/>
      <c r="P33" s="147"/>
      <c r="Q33" s="147"/>
      <c r="R33" s="138"/>
      <c r="S33" s="138"/>
      <c r="T33" s="138"/>
    </row>
    <row r="34" spans="1:21" ht="31.9" customHeight="1" x14ac:dyDescent="0.25">
      <c r="A34" s="379" t="s">
        <v>22</v>
      </c>
      <c r="B34" s="380" t="s">
        <v>29</v>
      </c>
      <c r="C34" s="379" t="s">
        <v>6</v>
      </c>
      <c r="D34" s="313">
        <v>1</v>
      </c>
      <c r="E34" s="313">
        <v>1</v>
      </c>
      <c r="F34" s="313">
        <v>0</v>
      </c>
      <c r="G34" s="313">
        <v>0</v>
      </c>
      <c r="H34" s="292">
        <f t="shared" si="2"/>
        <v>0</v>
      </c>
      <c r="I34" s="296"/>
      <c r="J34" s="128"/>
      <c r="K34" s="132"/>
      <c r="L34" s="132"/>
      <c r="M34" s="132"/>
      <c r="N34" s="132"/>
      <c r="O34" s="147"/>
      <c r="P34" s="147"/>
      <c r="Q34" s="147"/>
      <c r="R34" s="147"/>
      <c r="S34" s="147"/>
      <c r="T34" s="147"/>
      <c r="U34" s="126"/>
    </row>
    <row r="35" spans="1:21" ht="31.9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>
        <v>0</v>
      </c>
      <c r="G35" s="296"/>
      <c r="H35" s="292">
        <f t="shared" si="2"/>
        <v>0</v>
      </c>
      <c r="I35" s="296"/>
      <c r="J35" s="128"/>
      <c r="K35" s="114"/>
      <c r="L35" s="169"/>
      <c r="M35" s="169"/>
      <c r="N35" s="169"/>
      <c r="O35" s="169"/>
      <c r="P35" s="147"/>
      <c r="Q35" s="147"/>
      <c r="R35" s="147"/>
      <c r="S35" s="147"/>
      <c r="T35" s="147"/>
      <c r="U35" s="126"/>
    </row>
    <row r="36" spans="1:21" ht="31.9" customHeight="1" x14ac:dyDescent="0.25">
      <c r="A36" s="379"/>
      <c r="B36" s="337" t="s">
        <v>220</v>
      </c>
      <c r="C36" s="5" t="s">
        <v>17</v>
      </c>
      <c r="D36" s="296">
        <f>D34*D35/10</f>
        <v>3.6850000000000001</v>
      </c>
      <c r="E36" s="296">
        <f t="shared" ref="E36:G36" si="17">E34*E35/10</f>
        <v>3.69</v>
      </c>
      <c r="F36" s="296">
        <f t="shared" si="17"/>
        <v>0</v>
      </c>
      <c r="G36" s="296">
        <f t="shared" si="17"/>
        <v>0</v>
      </c>
      <c r="H36" s="292">
        <f t="shared" si="2"/>
        <v>0</v>
      </c>
      <c r="I36" s="296"/>
      <c r="J36" s="128"/>
      <c r="K36" s="137"/>
      <c r="L36" s="137"/>
      <c r="M36" s="137"/>
      <c r="N36" s="137"/>
      <c r="O36" s="137"/>
      <c r="P36" s="147"/>
      <c r="Q36" s="147"/>
      <c r="R36" s="147"/>
      <c r="S36" s="147"/>
      <c r="T36" s="147"/>
      <c r="U36" s="126"/>
    </row>
    <row r="37" spans="1:21" ht="31.9" customHeight="1" x14ac:dyDescent="0.25">
      <c r="A37" s="3">
        <v>2</v>
      </c>
      <c r="B37" s="335" t="s">
        <v>30</v>
      </c>
      <c r="C37" s="3" t="s">
        <v>6</v>
      </c>
      <c r="D37" s="291">
        <v>3</v>
      </c>
      <c r="E37" s="291">
        <v>3.17</v>
      </c>
      <c r="F37" s="291">
        <v>0</v>
      </c>
      <c r="G37" s="291">
        <v>0</v>
      </c>
      <c r="H37" s="292">
        <f t="shared" si="2"/>
        <v>0</v>
      </c>
      <c r="I37" s="296"/>
      <c r="J37" s="145"/>
      <c r="K37" s="117"/>
      <c r="L37" s="117"/>
      <c r="M37" s="117"/>
      <c r="N37" s="117"/>
      <c r="O37" s="117"/>
      <c r="P37" s="118"/>
      <c r="Q37" s="118"/>
      <c r="R37" s="118"/>
      <c r="S37" s="118"/>
      <c r="T37" s="118"/>
      <c r="U37" s="146"/>
    </row>
    <row r="38" spans="1:21" ht="31.9" customHeight="1" x14ac:dyDescent="0.25">
      <c r="A38" s="3"/>
      <c r="B38" s="337" t="s">
        <v>218</v>
      </c>
      <c r="C38" s="5" t="s">
        <v>219</v>
      </c>
      <c r="D38" s="294"/>
      <c r="E38" s="298">
        <v>140</v>
      </c>
      <c r="F38" s="296"/>
      <c r="G38" s="296"/>
      <c r="H38" s="292">
        <f t="shared" si="2"/>
        <v>0</v>
      </c>
      <c r="I38" s="296"/>
      <c r="J38" s="145"/>
      <c r="K38" s="117"/>
      <c r="L38" s="117"/>
      <c r="M38" s="117"/>
      <c r="N38" s="117"/>
      <c r="O38" s="117"/>
      <c r="P38" s="118"/>
      <c r="Q38" s="118"/>
      <c r="R38" s="118"/>
      <c r="S38" s="118"/>
      <c r="T38" s="118"/>
      <c r="U38" s="146"/>
    </row>
    <row r="39" spans="1:21" ht="31.9" customHeight="1" x14ac:dyDescent="0.25">
      <c r="A39" s="399"/>
      <c r="B39" s="346" t="s">
        <v>220</v>
      </c>
      <c r="C39" s="347" t="s">
        <v>17</v>
      </c>
      <c r="D39" s="310"/>
      <c r="E39" s="311">
        <f>E37*E38/10</f>
        <v>44.38</v>
      </c>
      <c r="F39" s="311">
        <f t="shared" ref="F39:G39" si="18">F37*F38/10</f>
        <v>0</v>
      </c>
      <c r="G39" s="311">
        <f t="shared" si="18"/>
        <v>0</v>
      </c>
      <c r="H39" s="292">
        <f t="shared" si="2"/>
        <v>0</v>
      </c>
      <c r="I39" s="296"/>
      <c r="J39" s="145"/>
      <c r="K39" s="117"/>
      <c r="L39" s="117"/>
      <c r="M39" s="117"/>
      <c r="N39" s="117"/>
      <c r="O39" s="117"/>
      <c r="P39" s="118"/>
      <c r="Q39" s="118"/>
      <c r="R39" s="118"/>
      <c r="S39" s="118"/>
      <c r="T39" s="118"/>
      <c r="U39" s="146"/>
    </row>
    <row r="40" spans="1:21" ht="31.9" customHeight="1" x14ac:dyDescent="0.25">
      <c r="A40" s="332">
        <v>3</v>
      </c>
      <c r="B40" s="333" t="s">
        <v>241</v>
      </c>
      <c r="C40" s="332" t="s">
        <v>6</v>
      </c>
      <c r="D40" s="294"/>
      <c r="E40" s="294">
        <v>0</v>
      </c>
      <c r="F40" s="315"/>
      <c r="G40" s="291"/>
      <c r="H40" s="292"/>
      <c r="I40" s="291"/>
      <c r="J40" s="145"/>
      <c r="K40" s="117"/>
      <c r="L40" s="117"/>
      <c r="M40" s="117"/>
      <c r="N40" s="117"/>
      <c r="O40" s="117"/>
      <c r="P40" s="118"/>
      <c r="Q40" s="118"/>
      <c r="R40" s="118"/>
      <c r="S40" s="118"/>
      <c r="T40" s="118"/>
      <c r="U40" s="146"/>
    </row>
    <row r="41" spans="1:21" ht="31.9" customHeight="1" x14ac:dyDescent="0.25">
      <c r="A41" s="332"/>
      <c r="B41" s="336" t="s">
        <v>218</v>
      </c>
      <c r="C41" s="343" t="s">
        <v>219</v>
      </c>
      <c r="D41" s="298"/>
      <c r="E41" s="298">
        <v>24.1</v>
      </c>
      <c r="F41" s="312"/>
      <c r="G41" s="296"/>
      <c r="H41" s="292">
        <f t="shared" si="2"/>
        <v>0</v>
      </c>
      <c r="I41" s="296"/>
      <c r="J41" s="145"/>
      <c r="K41" s="117"/>
      <c r="L41" s="117"/>
      <c r="M41" s="117"/>
      <c r="N41" s="117"/>
      <c r="O41" s="117"/>
      <c r="P41" s="118"/>
      <c r="Q41" s="118"/>
      <c r="R41" s="118"/>
      <c r="S41" s="118"/>
      <c r="T41" s="118"/>
      <c r="U41" s="146"/>
    </row>
    <row r="42" spans="1:21" ht="31.9" customHeight="1" x14ac:dyDescent="0.25">
      <c r="A42" s="332"/>
      <c r="B42" s="336" t="s">
        <v>220</v>
      </c>
      <c r="C42" s="343" t="s">
        <v>17</v>
      </c>
      <c r="D42" s="298"/>
      <c r="E42" s="298">
        <f>E40*E41/10</f>
        <v>0</v>
      </c>
      <c r="F42" s="298">
        <f t="shared" ref="F42:G42" si="19">F40*F41/10</f>
        <v>0</v>
      </c>
      <c r="G42" s="298">
        <f t="shared" si="19"/>
        <v>0</v>
      </c>
      <c r="H42" s="292"/>
      <c r="I42" s="296"/>
      <c r="J42" s="145"/>
      <c r="K42" s="117"/>
      <c r="L42" s="117"/>
      <c r="M42" s="117"/>
      <c r="N42" s="117"/>
      <c r="O42" s="117"/>
      <c r="P42" s="118"/>
      <c r="Q42" s="118"/>
      <c r="R42" s="118"/>
      <c r="S42" s="118"/>
      <c r="T42" s="118"/>
      <c r="U42" s="146"/>
    </row>
    <row r="43" spans="1:21" ht="31.9" customHeight="1" x14ac:dyDescent="0.25">
      <c r="A43" s="400">
        <v>4</v>
      </c>
      <c r="B43" s="335" t="s">
        <v>242</v>
      </c>
      <c r="C43" s="3" t="s">
        <v>6</v>
      </c>
      <c r="D43" s="292">
        <v>0.5</v>
      </c>
      <c r="E43" s="292">
        <v>0.5</v>
      </c>
      <c r="F43" s="291">
        <v>0.27</v>
      </c>
      <c r="G43" s="291">
        <f>F43</f>
        <v>0.27</v>
      </c>
      <c r="H43" s="292">
        <f t="shared" si="2"/>
        <v>54</v>
      </c>
      <c r="I43" s="291"/>
      <c r="J43" s="127"/>
      <c r="K43" s="134"/>
      <c r="L43" s="215"/>
      <c r="M43" s="215"/>
      <c r="N43" s="215"/>
      <c r="O43" s="215"/>
      <c r="P43" s="138"/>
      <c r="Q43" s="138"/>
      <c r="R43" s="138"/>
      <c r="S43" s="138"/>
      <c r="T43" s="138"/>
    </row>
    <row r="44" spans="1:21" ht="31.9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2">
        <f t="shared" si="2"/>
        <v>0</v>
      </c>
      <c r="I44" s="296"/>
      <c r="J44" s="127"/>
      <c r="K44" s="216"/>
      <c r="L44" s="155"/>
      <c r="M44" s="155"/>
      <c r="N44" s="155"/>
      <c r="O44" s="138"/>
      <c r="P44" s="138"/>
      <c r="Q44" s="138"/>
      <c r="R44" s="138"/>
      <c r="S44" s="138"/>
      <c r="T44" s="138"/>
    </row>
    <row r="45" spans="1:21" ht="31.9" customHeight="1" x14ac:dyDescent="0.25">
      <c r="A45" s="5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20">F43*F44/10</f>
        <v>0</v>
      </c>
      <c r="G45" s="296">
        <f t="shared" si="20"/>
        <v>0</v>
      </c>
      <c r="H45" s="292">
        <f t="shared" si="2"/>
        <v>0</v>
      </c>
      <c r="I45" s="296"/>
      <c r="J45" s="127"/>
      <c r="K45" s="155"/>
      <c r="L45" s="155"/>
      <c r="M45" s="155"/>
      <c r="N45" s="155"/>
      <c r="O45" s="138"/>
      <c r="P45" s="138"/>
      <c r="Q45" s="138"/>
      <c r="R45" s="138"/>
      <c r="S45" s="138"/>
      <c r="T45" s="138"/>
    </row>
    <row r="46" spans="1:21" ht="31.9" customHeight="1" x14ac:dyDescent="0.25">
      <c r="A46" s="3">
        <v>5</v>
      </c>
      <c r="B46" s="335" t="s">
        <v>32</v>
      </c>
      <c r="C46" s="3" t="s">
        <v>6</v>
      </c>
      <c r="D46" s="291">
        <f>D47+D55+D64</f>
        <v>17.12</v>
      </c>
      <c r="E46" s="291">
        <f t="shared" ref="E46:G46" si="21">E47+E55+E64</f>
        <v>22.92</v>
      </c>
      <c r="F46" s="291">
        <f t="shared" si="21"/>
        <v>17.419999999999998</v>
      </c>
      <c r="G46" s="291">
        <f t="shared" si="21"/>
        <v>17.419999999999998</v>
      </c>
      <c r="H46" s="292">
        <f t="shared" si="2"/>
        <v>76.003490401396149</v>
      </c>
      <c r="I46" s="291"/>
      <c r="J46" s="127"/>
      <c r="K46" s="155"/>
      <c r="L46" s="155"/>
      <c r="M46" s="155"/>
      <c r="N46" s="155"/>
      <c r="O46" s="138"/>
      <c r="P46" s="138"/>
      <c r="Q46" s="138"/>
      <c r="R46" s="138"/>
      <c r="S46" s="138"/>
      <c r="T46" s="138"/>
    </row>
    <row r="47" spans="1:21" ht="31.9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12.620000000000001</v>
      </c>
      <c r="E47" s="291">
        <f t="shared" ref="E47:G47" si="22">E48+E49</f>
        <v>17.62</v>
      </c>
      <c r="F47" s="291">
        <f t="shared" si="22"/>
        <v>12.62</v>
      </c>
      <c r="G47" s="291">
        <f t="shared" si="22"/>
        <v>12.62</v>
      </c>
      <c r="H47" s="292">
        <f t="shared" si="2"/>
        <v>71.623155505107832</v>
      </c>
      <c r="I47" s="291"/>
      <c r="J47" s="127"/>
      <c r="K47" s="155"/>
      <c r="L47" s="155"/>
      <c r="M47" s="155"/>
      <c r="N47" s="155"/>
      <c r="O47" s="138"/>
      <c r="P47" s="138"/>
      <c r="Q47" s="138"/>
      <c r="R47" s="138"/>
      <c r="S47" s="138"/>
      <c r="T47" s="138"/>
    </row>
    <row r="48" spans="1:21" ht="31.9" customHeight="1" x14ac:dyDescent="0.25">
      <c r="A48" s="7" t="s">
        <v>24</v>
      </c>
      <c r="B48" s="383" t="s">
        <v>196</v>
      </c>
      <c r="C48" s="384" t="s">
        <v>6</v>
      </c>
      <c r="D48" s="296">
        <v>9</v>
      </c>
      <c r="E48" s="296">
        <f>D48+D49</f>
        <v>12.620000000000001</v>
      </c>
      <c r="F48" s="296">
        <v>12.62</v>
      </c>
      <c r="G48" s="296">
        <v>12.62</v>
      </c>
      <c r="H48" s="328">
        <f t="shared" si="2"/>
        <v>99.999999999999986</v>
      </c>
      <c r="I48" s="296"/>
      <c r="J48" s="121"/>
      <c r="K48" s="116"/>
      <c r="L48" s="116"/>
      <c r="M48" s="116"/>
      <c r="N48" s="116"/>
      <c r="O48" s="119"/>
      <c r="P48" s="119"/>
      <c r="Q48" s="138"/>
      <c r="R48" s="138"/>
      <c r="S48" s="138"/>
      <c r="T48" s="138"/>
    </row>
    <row r="49" spans="1:20" s="131" customFormat="1" ht="31.9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3.62</v>
      </c>
      <c r="E49" s="291">
        <f t="shared" ref="E49:G49" si="23">E50+E51</f>
        <v>5</v>
      </c>
      <c r="F49" s="291">
        <f t="shared" si="23"/>
        <v>0</v>
      </c>
      <c r="G49" s="291">
        <f t="shared" si="23"/>
        <v>0</v>
      </c>
      <c r="H49" s="292">
        <f t="shared" si="2"/>
        <v>0</v>
      </c>
      <c r="I49" s="291"/>
      <c r="J49" s="213"/>
      <c r="K49" s="228"/>
      <c r="L49" s="228"/>
      <c r="M49" s="228"/>
      <c r="N49" s="228"/>
      <c r="O49" s="143"/>
      <c r="P49" s="143"/>
      <c r="Q49" s="143"/>
      <c r="R49" s="143"/>
      <c r="S49" s="143"/>
      <c r="T49" s="143"/>
    </row>
    <row r="50" spans="1:20" ht="31.9" customHeight="1" x14ac:dyDescent="0.25">
      <c r="A50" s="384" t="s">
        <v>18</v>
      </c>
      <c r="B50" s="386" t="s">
        <v>194</v>
      </c>
      <c r="C50" s="384" t="s">
        <v>6</v>
      </c>
      <c r="D50" s="296">
        <v>3.62</v>
      </c>
      <c r="E50" s="296">
        <v>5</v>
      </c>
      <c r="F50" s="296">
        <v>0</v>
      </c>
      <c r="G50" s="296">
        <v>0</v>
      </c>
      <c r="H50" s="292">
        <f t="shared" si="2"/>
        <v>0</v>
      </c>
      <c r="I50" s="296"/>
      <c r="J50" s="224"/>
      <c r="K50" s="235"/>
      <c r="L50" s="235"/>
      <c r="M50" s="235"/>
      <c r="N50" s="155"/>
      <c r="O50" s="138"/>
      <c r="P50" s="138"/>
      <c r="Q50" s="138"/>
      <c r="R50" s="138"/>
      <c r="S50" s="138"/>
      <c r="T50" s="138"/>
    </row>
    <row r="51" spans="1:20" ht="31.9" customHeight="1" x14ac:dyDescent="0.25">
      <c r="A51" s="384" t="s">
        <v>18</v>
      </c>
      <c r="B51" s="386" t="s">
        <v>35</v>
      </c>
      <c r="C51" s="5" t="s">
        <v>6</v>
      </c>
      <c r="D51" s="296"/>
      <c r="E51" s="296"/>
      <c r="F51" s="296"/>
      <c r="G51" s="296"/>
      <c r="H51" s="292"/>
      <c r="I51" s="296"/>
      <c r="J51" s="127"/>
      <c r="K51" s="155"/>
      <c r="L51" s="155"/>
      <c r="M51" s="155"/>
      <c r="N51" s="155"/>
      <c r="O51" s="138"/>
      <c r="P51" s="138"/>
      <c r="Q51" s="138"/>
      <c r="R51" s="138"/>
      <c r="S51" s="138"/>
      <c r="T51" s="138"/>
    </row>
    <row r="52" spans="1:20" s="131" customFormat="1" ht="31.9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6.85</v>
      </c>
      <c r="E52" s="291">
        <f>E53+E54</f>
        <v>7.6499999999999995</v>
      </c>
      <c r="F52" s="291">
        <f t="shared" ref="F52:G52" si="24">F53+F54</f>
        <v>7.65</v>
      </c>
      <c r="G52" s="291">
        <f t="shared" si="24"/>
        <v>7.65</v>
      </c>
      <c r="H52" s="292">
        <f t="shared" si="2"/>
        <v>100.00000000000003</v>
      </c>
      <c r="I52" s="291"/>
      <c r="J52" s="213"/>
      <c r="K52" s="228"/>
      <c r="L52" s="228"/>
      <c r="M52" s="228"/>
      <c r="N52" s="228"/>
      <c r="O52" s="143"/>
      <c r="P52" s="143"/>
      <c r="Q52" s="143"/>
      <c r="R52" s="143"/>
      <c r="S52" s="143"/>
      <c r="T52" s="143"/>
    </row>
    <row r="53" spans="1:20" ht="31.9" customHeight="1" x14ac:dyDescent="0.25">
      <c r="A53" s="387" t="s">
        <v>18</v>
      </c>
      <c r="B53" s="386" t="s">
        <v>198</v>
      </c>
      <c r="C53" s="5" t="s">
        <v>6</v>
      </c>
      <c r="D53" s="296">
        <f>5.85-1</f>
        <v>4.8499999999999996</v>
      </c>
      <c r="E53" s="296">
        <f>D48*85%</f>
        <v>7.6499999999999995</v>
      </c>
      <c r="F53" s="296">
        <v>7.65</v>
      </c>
      <c r="G53" s="296">
        <v>7.65</v>
      </c>
      <c r="H53" s="328">
        <f t="shared" si="2"/>
        <v>100.00000000000003</v>
      </c>
      <c r="I53" s="296"/>
      <c r="J53" s="127"/>
      <c r="K53" s="155"/>
      <c r="L53" s="155"/>
      <c r="M53" s="216"/>
      <c r="N53" s="155"/>
      <c r="O53" s="138"/>
      <c r="P53" s="138"/>
      <c r="Q53" s="138"/>
      <c r="R53" s="138"/>
      <c r="S53" s="138"/>
      <c r="T53" s="138"/>
    </row>
    <row r="54" spans="1:20" ht="31.9" customHeight="1" x14ac:dyDescent="0.25">
      <c r="A54" s="5"/>
      <c r="B54" s="386" t="s">
        <v>199</v>
      </c>
      <c r="C54" s="5" t="s">
        <v>6</v>
      </c>
      <c r="D54" s="296">
        <v>2</v>
      </c>
      <c r="E54" s="296"/>
      <c r="F54" s="296"/>
      <c r="G54" s="296"/>
      <c r="H54" s="328"/>
      <c r="I54" s="296"/>
      <c r="J54" s="127"/>
      <c r="K54" s="155"/>
      <c r="L54" s="155"/>
      <c r="M54" s="155"/>
      <c r="N54" s="155"/>
      <c r="O54" s="138"/>
      <c r="P54" s="138"/>
      <c r="Q54" s="138"/>
      <c r="R54" s="138"/>
      <c r="S54" s="138"/>
      <c r="T54" s="138"/>
    </row>
    <row r="55" spans="1:20" ht="31.9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4.5</v>
      </c>
      <c r="E55" s="291">
        <f>E56+E57</f>
        <v>5.3</v>
      </c>
      <c r="F55" s="291">
        <f t="shared" ref="F55:G55" si="25">F56+F57</f>
        <v>4.8</v>
      </c>
      <c r="G55" s="291">
        <f t="shared" si="25"/>
        <v>4.8</v>
      </c>
      <c r="H55" s="292">
        <f t="shared" si="2"/>
        <v>90.566037735849065</v>
      </c>
      <c r="I55" s="291"/>
      <c r="J55" s="127"/>
      <c r="K55" s="155"/>
      <c r="L55" s="155"/>
      <c r="M55" s="155"/>
      <c r="N55" s="155"/>
      <c r="O55" s="138"/>
      <c r="P55" s="138"/>
      <c r="Q55" s="138"/>
      <c r="R55" s="138"/>
      <c r="S55" s="138"/>
      <c r="T55" s="138"/>
    </row>
    <row r="56" spans="1:20" ht="31.9" customHeight="1" x14ac:dyDescent="0.25">
      <c r="A56" s="5" t="s">
        <v>24</v>
      </c>
      <c r="B56" s="383" t="s">
        <v>197</v>
      </c>
      <c r="C56" s="5" t="s">
        <v>6</v>
      </c>
      <c r="D56" s="296">
        <v>4.5</v>
      </c>
      <c r="E56" s="296">
        <f>D56+E58</f>
        <v>4.8</v>
      </c>
      <c r="F56" s="296">
        <v>4.8</v>
      </c>
      <c r="G56" s="296">
        <v>4.8</v>
      </c>
      <c r="H56" s="328">
        <f t="shared" si="2"/>
        <v>100</v>
      </c>
      <c r="I56" s="296"/>
      <c r="J56" s="127"/>
      <c r="K56" s="155"/>
      <c r="L56" s="155"/>
      <c r="M56" s="155"/>
      <c r="N56" s="155"/>
      <c r="O56" s="138"/>
      <c r="P56" s="138"/>
      <c r="Q56" s="138"/>
      <c r="R56" s="138"/>
      <c r="S56" s="138"/>
      <c r="T56" s="138"/>
    </row>
    <row r="57" spans="1:20" ht="31.9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0</v>
      </c>
      <c r="E57" s="296">
        <f>E58+E61</f>
        <v>0.5</v>
      </c>
      <c r="F57" s="296">
        <f t="shared" ref="F57:G57" si="26">F58+F61</f>
        <v>0</v>
      </c>
      <c r="G57" s="296">
        <f t="shared" si="26"/>
        <v>0</v>
      </c>
      <c r="H57" s="292">
        <f t="shared" si="2"/>
        <v>0</v>
      </c>
      <c r="I57" s="296"/>
      <c r="J57" s="127"/>
      <c r="K57" s="155"/>
      <c r="L57" s="155"/>
      <c r="M57" s="155"/>
      <c r="N57" s="155"/>
      <c r="O57" s="138"/>
      <c r="P57" s="138"/>
      <c r="Q57" s="138"/>
      <c r="R57" s="138"/>
      <c r="S57" s="138"/>
      <c r="T57" s="138"/>
    </row>
    <row r="58" spans="1:20" s="149" customFormat="1" ht="31.9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</v>
      </c>
      <c r="E58" s="299">
        <f t="shared" ref="E58:G58" si="27">E59+E60</f>
        <v>0.30000000000000004</v>
      </c>
      <c r="F58" s="299">
        <f t="shared" si="27"/>
        <v>0</v>
      </c>
      <c r="G58" s="299">
        <f t="shared" si="27"/>
        <v>0</v>
      </c>
      <c r="H58" s="292">
        <f t="shared" si="2"/>
        <v>0</v>
      </c>
      <c r="I58" s="299"/>
      <c r="J58" s="217"/>
      <c r="K58" s="142"/>
      <c r="L58" s="142"/>
      <c r="M58" s="142"/>
      <c r="N58" s="142"/>
      <c r="O58" s="142"/>
      <c r="P58" s="156"/>
      <c r="Q58" s="156"/>
      <c r="R58" s="156"/>
      <c r="S58" s="156"/>
      <c r="T58" s="156"/>
    </row>
    <row r="59" spans="1:20" ht="31.9" customHeight="1" x14ac:dyDescent="0.25">
      <c r="A59" s="5" t="s">
        <v>18</v>
      </c>
      <c r="B59" s="383" t="s">
        <v>202</v>
      </c>
      <c r="C59" s="5" t="s">
        <v>6</v>
      </c>
      <c r="D59" s="296"/>
      <c r="E59" s="296">
        <v>0.2</v>
      </c>
      <c r="F59" s="296">
        <v>0</v>
      </c>
      <c r="G59" s="296">
        <v>0</v>
      </c>
      <c r="H59" s="292">
        <f t="shared" si="2"/>
        <v>0</v>
      </c>
      <c r="I59" s="296"/>
      <c r="J59" s="214"/>
      <c r="K59" s="114"/>
      <c r="L59" s="114"/>
      <c r="M59" s="114"/>
      <c r="N59" s="114"/>
      <c r="O59" s="114"/>
      <c r="P59" s="138"/>
      <c r="Q59" s="138"/>
      <c r="R59" s="138"/>
      <c r="S59" s="138"/>
      <c r="T59" s="138"/>
    </row>
    <row r="60" spans="1:20" ht="31.9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0.1</v>
      </c>
      <c r="F60" s="296">
        <v>0</v>
      </c>
      <c r="G60" s="296">
        <v>0</v>
      </c>
      <c r="H60" s="292">
        <f t="shared" si="2"/>
        <v>0</v>
      </c>
      <c r="I60" s="296"/>
      <c r="J60" s="214"/>
      <c r="K60" s="114"/>
      <c r="L60" s="114"/>
      <c r="M60" s="114"/>
      <c r="N60" s="114"/>
      <c r="O60" s="114"/>
      <c r="P60" s="138"/>
      <c r="Q60" s="138"/>
      <c r="R60" s="138"/>
      <c r="S60" s="138"/>
      <c r="T60" s="138"/>
    </row>
    <row r="61" spans="1:20" s="149" customFormat="1" ht="31.9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0</v>
      </c>
      <c r="E61" s="299">
        <f t="shared" ref="E61:G61" si="28">E62+E63</f>
        <v>0.2</v>
      </c>
      <c r="F61" s="299">
        <f>F62+F63</f>
        <v>0</v>
      </c>
      <c r="G61" s="299">
        <f t="shared" si="28"/>
        <v>0</v>
      </c>
      <c r="H61" s="292">
        <f t="shared" si="2"/>
        <v>0</v>
      </c>
      <c r="I61" s="299"/>
      <c r="J61" s="214"/>
      <c r="K61" s="142"/>
      <c r="L61" s="218"/>
      <c r="M61" s="218"/>
      <c r="N61" s="218"/>
      <c r="O61" s="156"/>
      <c r="P61" s="156"/>
      <c r="Q61" s="156"/>
      <c r="R61" s="156"/>
      <c r="S61" s="156"/>
      <c r="T61" s="156"/>
    </row>
    <row r="62" spans="1:20" ht="31.9" customHeight="1" x14ac:dyDescent="0.25">
      <c r="A62" s="5" t="s">
        <v>18</v>
      </c>
      <c r="B62" s="383" t="s">
        <v>203</v>
      </c>
      <c r="C62" s="5" t="s">
        <v>6</v>
      </c>
      <c r="D62" s="296"/>
      <c r="E62" s="296">
        <v>0.1</v>
      </c>
      <c r="F62" s="296">
        <v>0</v>
      </c>
      <c r="G62" s="296">
        <v>0</v>
      </c>
      <c r="H62" s="292">
        <f t="shared" si="2"/>
        <v>0</v>
      </c>
      <c r="I62" s="296"/>
      <c r="J62" s="214"/>
      <c r="K62" s="114"/>
      <c r="L62" s="114"/>
      <c r="M62" s="114"/>
      <c r="N62" s="114"/>
      <c r="O62" s="114"/>
      <c r="P62" s="138"/>
      <c r="Q62" s="138"/>
      <c r="R62" s="138"/>
      <c r="S62" s="138"/>
      <c r="T62" s="138"/>
    </row>
    <row r="63" spans="1:20" ht="31.9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0.1</v>
      </c>
      <c r="F63" s="296">
        <v>0</v>
      </c>
      <c r="G63" s="296">
        <v>0</v>
      </c>
      <c r="H63" s="292">
        <f t="shared" si="2"/>
        <v>0</v>
      </c>
      <c r="I63" s="296"/>
      <c r="J63" s="214"/>
      <c r="K63" s="114"/>
      <c r="L63" s="114"/>
      <c r="M63" s="114"/>
      <c r="N63" s="114"/>
      <c r="O63" s="114"/>
      <c r="P63" s="138"/>
      <c r="Q63" s="138"/>
      <c r="R63" s="138"/>
      <c r="S63" s="138"/>
      <c r="T63" s="138"/>
    </row>
    <row r="64" spans="1:20" ht="31.9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0</v>
      </c>
      <c r="E64" s="291">
        <f t="shared" ref="E64:G64" si="29">E65+E66</f>
        <v>0</v>
      </c>
      <c r="F64" s="291">
        <f t="shared" si="29"/>
        <v>0</v>
      </c>
      <c r="G64" s="291">
        <f t="shared" si="29"/>
        <v>0</v>
      </c>
      <c r="H64" s="292"/>
      <c r="I64" s="291"/>
      <c r="J64" s="214"/>
      <c r="K64" s="155"/>
      <c r="L64" s="155"/>
      <c r="M64" s="155"/>
      <c r="N64" s="155"/>
      <c r="O64" s="138"/>
      <c r="P64" s="138"/>
      <c r="Q64" s="138"/>
      <c r="R64" s="138"/>
      <c r="S64" s="138"/>
      <c r="T64" s="138"/>
    </row>
    <row r="65" spans="1:20" ht="31.9" customHeight="1" x14ac:dyDescent="0.25">
      <c r="A65" s="5" t="s">
        <v>18</v>
      </c>
      <c r="B65" s="383" t="s">
        <v>196</v>
      </c>
      <c r="C65" s="5" t="s">
        <v>6</v>
      </c>
      <c r="D65" s="296"/>
      <c r="E65" s="296"/>
      <c r="F65" s="296"/>
      <c r="G65" s="296"/>
      <c r="H65" s="292"/>
      <c r="I65" s="296"/>
      <c r="J65" s="127"/>
      <c r="K65" s="155"/>
      <c r="L65" s="155"/>
      <c r="M65" s="155"/>
      <c r="N65" s="155"/>
      <c r="O65" s="138"/>
      <c r="P65" s="138"/>
      <c r="Q65" s="138"/>
      <c r="R65" s="138"/>
      <c r="S65" s="138"/>
      <c r="T65" s="138"/>
    </row>
    <row r="66" spans="1:20" ht="31.9" customHeight="1" x14ac:dyDescent="0.25">
      <c r="A66" s="5" t="s">
        <v>18</v>
      </c>
      <c r="B66" s="337" t="s">
        <v>31</v>
      </c>
      <c r="C66" s="5" t="s">
        <v>6</v>
      </c>
      <c r="D66" s="296"/>
      <c r="E66" s="296"/>
      <c r="F66" s="296"/>
      <c r="G66" s="296"/>
      <c r="H66" s="292"/>
      <c r="I66" s="296"/>
      <c r="J66" s="127"/>
      <c r="K66" s="155"/>
      <c r="L66" s="155"/>
      <c r="M66" s="155"/>
      <c r="N66" s="155"/>
      <c r="O66" s="138"/>
      <c r="P66" s="138"/>
      <c r="Q66" s="138"/>
      <c r="R66" s="138"/>
      <c r="S66" s="138"/>
      <c r="T66" s="138"/>
    </row>
    <row r="67" spans="1:20" ht="31.9" customHeight="1" x14ac:dyDescent="0.25">
      <c r="A67" s="3">
        <v>6</v>
      </c>
      <c r="B67" s="335" t="s">
        <v>38</v>
      </c>
      <c r="C67" s="3" t="s">
        <v>6</v>
      </c>
      <c r="D67" s="291">
        <f>D68+D71</f>
        <v>11.2</v>
      </c>
      <c r="E67" s="291">
        <f t="shared" ref="E67:G67" si="30">E68+E71</f>
        <v>12.52</v>
      </c>
      <c r="F67" s="291">
        <f t="shared" si="30"/>
        <v>9.3800000000000008</v>
      </c>
      <c r="G67" s="291">
        <f t="shared" si="30"/>
        <v>9.3800000000000008</v>
      </c>
      <c r="H67" s="292">
        <f t="shared" si="2"/>
        <v>74.920127795527165</v>
      </c>
      <c r="I67" s="291"/>
      <c r="J67" s="127"/>
      <c r="K67" s="155"/>
      <c r="L67" s="155"/>
      <c r="M67" s="155"/>
      <c r="N67" s="155"/>
      <c r="O67" s="138"/>
      <c r="P67" s="138"/>
      <c r="Q67" s="138"/>
      <c r="R67" s="138"/>
      <c r="S67" s="138"/>
      <c r="T67" s="138"/>
    </row>
    <row r="68" spans="1:20" ht="31.9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0</v>
      </c>
      <c r="E68" s="291">
        <f t="shared" ref="E68:G68" si="31">E69+E70</f>
        <v>3.05</v>
      </c>
      <c r="F68" s="291">
        <f t="shared" si="31"/>
        <v>0</v>
      </c>
      <c r="G68" s="291">
        <f t="shared" si="31"/>
        <v>0</v>
      </c>
      <c r="H68" s="292">
        <f t="shared" si="2"/>
        <v>0</v>
      </c>
      <c r="I68" s="291"/>
      <c r="J68" s="127"/>
      <c r="K68" s="155"/>
      <c r="L68" s="155"/>
      <c r="M68" s="155"/>
      <c r="N68" s="155"/>
      <c r="O68" s="138"/>
      <c r="P68" s="138"/>
      <c r="Q68" s="138"/>
      <c r="R68" s="138"/>
      <c r="S68" s="138"/>
      <c r="T68" s="138"/>
    </row>
    <row r="69" spans="1:20" ht="31.9" customHeight="1" x14ac:dyDescent="0.25">
      <c r="A69" s="5" t="s">
        <v>18</v>
      </c>
      <c r="B69" s="383" t="s">
        <v>205</v>
      </c>
      <c r="C69" s="5" t="s">
        <v>6</v>
      </c>
      <c r="D69" s="296"/>
      <c r="E69" s="296"/>
      <c r="F69" s="296"/>
      <c r="G69" s="296"/>
      <c r="H69" s="292"/>
      <c r="I69" s="296"/>
      <c r="J69" s="127"/>
      <c r="K69" s="155"/>
      <c r="L69" s="155"/>
      <c r="M69" s="155"/>
      <c r="N69" s="155"/>
      <c r="O69" s="138"/>
      <c r="P69" s="138"/>
      <c r="Q69" s="138"/>
      <c r="R69" s="138"/>
      <c r="S69" s="138"/>
      <c r="T69" s="138"/>
    </row>
    <row r="70" spans="1:20" ht="31.9" customHeight="1" x14ac:dyDescent="0.25">
      <c r="A70" s="5" t="s">
        <v>18</v>
      </c>
      <c r="B70" s="383" t="s">
        <v>206</v>
      </c>
      <c r="C70" s="5" t="s">
        <v>6</v>
      </c>
      <c r="D70" s="296"/>
      <c r="E70" s="296">
        <f>0.5+2.55</f>
        <v>3.05</v>
      </c>
      <c r="F70" s="296"/>
      <c r="G70" s="296"/>
      <c r="H70" s="292">
        <f t="shared" si="2"/>
        <v>0</v>
      </c>
      <c r="I70" s="296"/>
      <c r="J70" s="127"/>
      <c r="K70" s="235"/>
      <c r="L70" s="235"/>
      <c r="M70" s="248"/>
      <c r="N70" s="155"/>
      <c r="O70" s="138"/>
      <c r="P70" s="138"/>
      <c r="Q70" s="138"/>
      <c r="R70" s="138"/>
      <c r="S70" s="138"/>
      <c r="T70" s="138"/>
    </row>
    <row r="71" spans="1:20" ht="31.9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11.2</v>
      </c>
      <c r="E71" s="291">
        <f t="shared" ref="E71:G71" si="32">E72+E73</f>
        <v>9.4699999999999989</v>
      </c>
      <c r="F71" s="291">
        <f t="shared" si="32"/>
        <v>9.3800000000000008</v>
      </c>
      <c r="G71" s="291">
        <f t="shared" si="32"/>
        <v>9.3800000000000008</v>
      </c>
      <c r="H71" s="292">
        <f t="shared" si="2"/>
        <v>99.04963041182684</v>
      </c>
      <c r="I71" s="291"/>
      <c r="J71" s="127"/>
      <c r="K71" s="155"/>
      <c r="L71" s="155"/>
      <c r="M71" s="155"/>
      <c r="N71" s="155"/>
      <c r="O71" s="138"/>
      <c r="P71" s="138"/>
      <c r="Q71" s="138"/>
      <c r="R71" s="138"/>
      <c r="S71" s="138"/>
      <c r="T71" s="138"/>
    </row>
    <row r="72" spans="1:20" ht="31.9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9.86</v>
      </c>
      <c r="E72" s="302">
        <f t="shared" ref="E72:G73" si="33">E75+E82</f>
        <v>9.379999999999999</v>
      </c>
      <c r="F72" s="302">
        <f t="shared" si="33"/>
        <v>9.3800000000000008</v>
      </c>
      <c r="G72" s="302">
        <f t="shared" si="33"/>
        <v>9.3800000000000008</v>
      </c>
      <c r="H72" s="292">
        <f t="shared" si="2"/>
        <v>100.00000000000003</v>
      </c>
      <c r="I72" s="302"/>
      <c r="J72" s="127"/>
      <c r="K72" s="155"/>
      <c r="L72" s="155"/>
      <c r="M72" s="155"/>
      <c r="N72" s="155"/>
      <c r="O72" s="138"/>
      <c r="P72" s="138"/>
      <c r="Q72" s="138"/>
      <c r="R72" s="138"/>
      <c r="S72" s="138"/>
      <c r="T72" s="138"/>
    </row>
    <row r="73" spans="1:20" ht="31.9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1.3399999999999999</v>
      </c>
      <c r="E73" s="291">
        <f t="shared" si="33"/>
        <v>0.09</v>
      </c>
      <c r="F73" s="291">
        <f t="shared" si="33"/>
        <v>0</v>
      </c>
      <c r="G73" s="291">
        <f t="shared" si="33"/>
        <v>0</v>
      </c>
      <c r="H73" s="292">
        <f t="shared" si="2"/>
        <v>0</v>
      </c>
      <c r="I73" s="291"/>
      <c r="J73" s="213"/>
      <c r="K73" s="228"/>
      <c r="L73" s="228"/>
      <c r="M73" s="228"/>
      <c r="N73" s="228"/>
      <c r="O73" s="138"/>
      <c r="P73" s="138"/>
      <c r="Q73" s="138"/>
      <c r="R73" s="138"/>
      <c r="S73" s="138"/>
      <c r="T73" s="138"/>
    </row>
    <row r="74" spans="1:20" ht="31.9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9.379999999999999</v>
      </c>
      <c r="E74" s="304">
        <f t="shared" ref="E74:G74" si="34">E75+E76</f>
        <v>9.379999999999999</v>
      </c>
      <c r="F74" s="304">
        <f t="shared" si="34"/>
        <v>9.3800000000000008</v>
      </c>
      <c r="G74" s="304">
        <f t="shared" si="34"/>
        <v>9.3800000000000008</v>
      </c>
      <c r="H74" s="329">
        <f t="shared" ref="H74:H98" si="35">F74/E74*100</f>
        <v>100.00000000000003</v>
      </c>
      <c r="I74" s="304"/>
      <c r="J74" s="144"/>
      <c r="K74" s="229"/>
      <c r="L74" s="150"/>
      <c r="M74" s="150"/>
      <c r="N74" s="150"/>
      <c r="O74" s="150"/>
      <c r="P74" s="150"/>
      <c r="Q74" s="150"/>
      <c r="R74" s="138"/>
      <c r="S74" s="138"/>
      <c r="T74" s="138"/>
    </row>
    <row r="75" spans="1:20" ht="31.9" customHeight="1" x14ac:dyDescent="0.25">
      <c r="A75" s="7" t="s">
        <v>24</v>
      </c>
      <c r="B75" s="391" t="s">
        <v>196</v>
      </c>
      <c r="C75" s="5" t="s">
        <v>6</v>
      </c>
      <c r="D75" s="306">
        <f>5.04+3</f>
        <v>8.0399999999999991</v>
      </c>
      <c r="E75" s="306">
        <f>D75+D76</f>
        <v>9.379999999999999</v>
      </c>
      <c r="F75" s="306">
        <v>9.3800000000000008</v>
      </c>
      <c r="G75" s="306">
        <v>9.3800000000000008</v>
      </c>
      <c r="H75" s="328">
        <f t="shared" si="35"/>
        <v>100.00000000000003</v>
      </c>
      <c r="I75" s="296"/>
      <c r="J75" s="127"/>
      <c r="K75" s="155"/>
      <c r="L75" s="132"/>
      <c r="M75" s="132"/>
      <c r="N75" s="132"/>
      <c r="O75" s="147"/>
      <c r="P75" s="147"/>
      <c r="Q75" s="147"/>
      <c r="R75" s="138"/>
      <c r="S75" s="138"/>
      <c r="T75" s="138"/>
    </row>
    <row r="76" spans="1:20" ht="31.9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1.3399999999999999</v>
      </c>
      <c r="E76" s="307">
        <f t="shared" ref="E76:G76" si="36">SUM(E77:E80)</f>
        <v>0</v>
      </c>
      <c r="F76" s="307">
        <f t="shared" si="36"/>
        <v>0</v>
      </c>
      <c r="G76" s="307">
        <f t="shared" si="36"/>
        <v>0</v>
      </c>
      <c r="H76" s="292"/>
      <c r="I76" s="307"/>
      <c r="J76" s="217"/>
      <c r="K76" s="218"/>
      <c r="L76" s="142"/>
      <c r="M76" s="142"/>
      <c r="N76" s="142"/>
      <c r="O76" s="147"/>
      <c r="P76" s="147"/>
      <c r="Q76" s="147"/>
      <c r="R76" s="138"/>
      <c r="S76" s="138"/>
      <c r="T76" s="138"/>
    </row>
    <row r="77" spans="1:20" ht="31.9" customHeight="1" x14ac:dyDescent="0.25">
      <c r="A77" s="4" t="s">
        <v>18</v>
      </c>
      <c r="B77" s="393" t="s">
        <v>212</v>
      </c>
      <c r="C77" s="4" t="s">
        <v>6</v>
      </c>
      <c r="D77" s="296"/>
      <c r="E77" s="296">
        <v>0</v>
      </c>
      <c r="F77" s="296"/>
      <c r="G77" s="296"/>
      <c r="H77" s="292"/>
      <c r="I77" s="296"/>
      <c r="J77" s="217"/>
      <c r="K77" s="218"/>
      <c r="L77" s="142"/>
      <c r="M77" s="230"/>
      <c r="N77" s="230"/>
      <c r="O77" s="147"/>
      <c r="P77" s="157"/>
      <c r="Q77" s="157"/>
      <c r="R77" s="138"/>
      <c r="S77" s="138"/>
      <c r="T77" s="138"/>
    </row>
    <row r="78" spans="1:20" ht="31.9" customHeight="1" x14ac:dyDescent="0.25">
      <c r="A78" s="4" t="s">
        <v>18</v>
      </c>
      <c r="B78" s="393" t="s">
        <v>189</v>
      </c>
      <c r="C78" s="4" t="s">
        <v>6</v>
      </c>
      <c r="D78" s="296">
        <v>0.5</v>
      </c>
      <c r="E78" s="296">
        <v>0</v>
      </c>
      <c r="F78" s="296"/>
      <c r="G78" s="296"/>
      <c r="H78" s="292"/>
      <c r="I78" s="296"/>
      <c r="J78" s="217"/>
      <c r="K78" s="218"/>
      <c r="L78" s="142"/>
      <c r="M78" s="142"/>
      <c r="N78" s="142"/>
      <c r="O78" s="147"/>
      <c r="P78" s="147"/>
      <c r="Q78" s="147"/>
      <c r="R78" s="138"/>
      <c r="S78" s="138"/>
      <c r="T78" s="138"/>
    </row>
    <row r="79" spans="1:20" ht="31.9" customHeight="1" x14ac:dyDescent="0.25">
      <c r="A79" s="4" t="s">
        <v>18</v>
      </c>
      <c r="B79" s="393" t="s">
        <v>190</v>
      </c>
      <c r="C79" s="4" t="s">
        <v>6</v>
      </c>
      <c r="D79" s="296"/>
      <c r="E79" s="296"/>
      <c r="F79" s="296"/>
      <c r="G79" s="296"/>
      <c r="H79" s="292"/>
      <c r="I79" s="296"/>
      <c r="J79" s="217"/>
      <c r="K79" s="218"/>
      <c r="L79" s="142"/>
      <c r="M79" s="142"/>
      <c r="N79" s="142"/>
      <c r="O79" s="147"/>
      <c r="P79" s="147"/>
      <c r="Q79" s="147"/>
      <c r="R79" s="138"/>
      <c r="S79" s="138"/>
      <c r="T79" s="138"/>
    </row>
    <row r="80" spans="1:20" ht="31.9" customHeight="1" x14ac:dyDescent="0.25">
      <c r="A80" s="4" t="s">
        <v>18</v>
      </c>
      <c r="B80" s="394" t="s">
        <v>208</v>
      </c>
      <c r="C80" s="4" t="s">
        <v>6</v>
      </c>
      <c r="D80" s="296">
        <f>1-0.16</f>
        <v>0.84</v>
      </c>
      <c r="E80" s="296"/>
      <c r="F80" s="296"/>
      <c r="G80" s="296"/>
      <c r="H80" s="292"/>
      <c r="I80" s="296"/>
      <c r="J80" s="217"/>
      <c r="K80" s="218"/>
      <c r="L80" s="218"/>
      <c r="M80" s="218"/>
      <c r="N80" s="218"/>
      <c r="O80" s="138"/>
      <c r="P80" s="138"/>
      <c r="Q80" s="138"/>
      <c r="R80" s="138"/>
      <c r="S80" s="138"/>
      <c r="T80" s="138"/>
    </row>
    <row r="81" spans="1:20" s="152" customFormat="1" ht="31.9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1.82</v>
      </c>
      <c r="E81" s="304">
        <f t="shared" ref="E81:G81" si="37">E82+E83</f>
        <v>0.09</v>
      </c>
      <c r="F81" s="304">
        <f t="shared" si="37"/>
        <v>0</v>
      </c>
      <c r="G81" s="304">
        <f t="shared" si="37"/>
        <v>0</v>
      </c>
      <c r="H81" s="292">
        <f t="shared" si="35"/>
        <v>0</v>
      </c>
      <c r="I81" s="304"/>
      <c r="J81" s="144"/>
      <c r="K81" s="229"/>
      <c r="L81" s="150"/>
      <c r="M81" s="150"/>
      <c r="N81" s="150"/>
      <c r="O81" s="150"/>
      <c r="P81" s="150"/>
      <c r="Q81" s="150"/>
      <c r="R81" s="158"/>
      <c r="S81" s="158"/>
      <c r="T81" s="158"/>
    </row>
    <row r="82" spans="1:20" s="149" customFormat="1" ht="31.9" customHeight="1" x14ac:dyDescent="0.25">
      <c r="A82" s="392" t="s">
        <v>18</v>
      </c>
      <c r="B82" s="393" t="s">
        <v>188</v>
      </c>
      <c r="C82" s="4" t="s">
        <v>6</v>
      </c>
      <c r="D82" s="299">
        <v>1.82</v>
      </c>
      <c r="E82" s="299">
        <v>0</v>
      </c>
      <c r="F82" s="299"/>
      <c r="G82" s="299"/>
      <c r="H82" s="292"/>
      <c r="I82" s="299"/>
      <c r="J82" s="217"/>
      <c r="K82" s="218"/>
      <c r="L82" s="142"/>
      <c r="M82" s="142"/>
      <c r="N82" s="142"/>
      <c r="O82" s="159"/>
      <c r="P82" s="159"/>
      <c r="Q82" s="159"/>
      <c r="R82" s="156"/>
      <c r="S82" s="156"/>
      <c r="T82" s="156"/>
    </row>
    <row r="83" spans="1:20" ht="31.9" customHeight="1" x14ac:dyDescent="0.25">
      <c r="A83" s="392" t="s">
        <v>15</v>
      </c>
      <c r="B83" s="389" t="s">
        <v>210</v>
      </c>
      <c r="C83" s="5" t="s">
        <v>6</v>
      </c>
      <c r="D83" s="306">
        <f t="shared" ref="D83" si="38">SUM(D84:D87)</f>
        <v>0</v>
      </c>
      <c r="E83" s="306">
        <f>SUM(E84:E87)</f>
        <v>0.09</v>
      </c>
      <c r="F83" s="306">
        <f t="shared" ref="F83:G83" si="39">SUM(F84:F87)</f>
        <v>0</v>
      </c>
      <c r="G83" s="306">
        <f t="shared" si="39"/>
        <v>0</v>
      </c>
      <c r="H83" s="292">
        <f t="shared" si="35"/>
        <v>0</v>
      </c>
      <c r="I83" s="306"/>
      <c r="J83" s="217"/>
      <c r="K83" s="218"/>
      <c r="L83" s="142"/>
      <c r="M83" s="142"/>
      <c r="N83" s="142"/>
      <c r="O83" s="147"/>
      <c r="P83" s="147"/>
      <c r="Q83" s="147"/>
      <c r="R83" s="138"/>
      <c r="S83" s="138"/>
      <c r="T83" s="138"/>
    </row>
    <row r="84" spans="1:20" ht="31.9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292"/>
      <c r="I84" s="296"/>
      <c r="J84" s="219"/>
      <c r="K84" s="142"/>
      <c r="L84" s="142"/>
      <c r="M84" s="142"/>
      <c r="N84" s="142"/>
      <c r="O84" s="147"/>
      <c r="P84" s="147"/>
      <c r="Q84" s="147"/>
      <c r="R84" s="138"/>
      <c r="S84" s="138"/>
      <c r="T84" s="138"/>
    </row>
    <row r="85" spans="1:20" ht="31.9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292"/>
      <c r="I85" s="296"/>
      <c r="J85" s="219"/>
      <c r="K85" s="142"/>
      <c r="L85" s="142"/>
      <c r="M85" s="142"/>
      <c r="N85" s="142"/>
      <c r="O85" s="138"/>
      <c r="P85" s="138"/>
      <c r="Q85" s="138"/>
      <c r="R85" s="138"/>
      <c r="S85" s="138"/>
      <c r="T85" s="138"/>
    </row>
    <row r="86" spans="1:20" ht="31.9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292"/>
      <c r="I86" s="296"/>
      <c r="J86" s="219"/>
      <c r="K86" s="142"/>
      <c r="L86" s="142"/>
      <c r="M86" s="142"/>
      <c r="N86" s="147"/>
      <c r="O86" s="147"/>
      <c r="P86" s="147"/>
      <c r="Q86" s="147"/>
      <c r="R86" s="138"/>
      <c r="S86" s="138"/>
      <c r="T86" s="138"/>
    </row>
    <row r="87" spans="1:20" ht="31.9" customHeight="1" x14ac:dyDescent="0.25">
      <c r="A87" s="392" t="s">
        <v>18</v>
      </c>
      <c r="B87" s="393" t="s">
        <v>193</v>
      </c>
      <c r="C87" s="4" t="s">
        <v>6</v>
      </c>
      <c r="D87" s="296"/>
      <c r="E87" s="296">
        <v>0.09</v>
      </c>
      <c r="F87" s="296">
        <v>0</v>
      </c>
      <c r="G87" s="296">
        <v>0</v>
      </c>
      <c r="H87" s="292">
        <f t="shared" si="35"/>
        <v>0</v>
      </c>
      <c r="I87" s="296"/>
      <c r="J87" s="219"/>
      <c r="K87" s="142"/>
      <c r="L87" s="142"/>
      <c r="M87" s="230"/>
      <c r="N87" s="230"/>
      <c r="O87" s="157"/>
      <c r="P87" s="157"/>
      <c r="Q87" s="157"/>
      <c r="R87" s="157"/>
      <c r="S87" s="138"/>
      <c r="T87" s="138"/>
    </row>
    <row r="88" spans="1:20" ht="31.9" customHeight="1" x14ac:dyDescent="0.25">
      <c r="A88" s="3" t="s">
        <v>44</v>
      </c>
      <c r="B88" s="334" t="s">
        <v>45</v>
      </c>
      <c r="C88" s="3"/>
      <c r="D88" s="291">
        <f>SUM(D89:D93)</f>
        <v>207</v>
      </c>
      <c r="E88" s="291">
        <f t="shared" ref="E88:G88" si="40">SUM(E89:E93)</f>
        <v>220</v>
      </c>
      <c r="F88" s="291">
        <f t="shared" si="40"/>
        <v>196</v>
      </c>
      <c r="G88" s="291">
        <f t="shared" si="40"/>
        <v>196</v>
      </c>
      <c r="H88" s="292">
        <f t="shared" si="35"/>
        <v>89.090909090909093</v>
      </c>
      <c r="I88" s="291"/>
      <c r="J88" s="128"/>
      <c r="K88" s="132"/>
      <c r="L88" s="136"/>
      <c r="M88" s="136"/>
      <c r="N88" s="132"/>
      <c r="O88" s="138"/>
      <c r="P88" s="138"/>
      <c r="Q88" s="138"/>
      <c r="R88" s="138"/>
      <c r="S88" s="138"/>
      <c r="T88" s="138"/>
    </row>
    <row r="89" spans="1:20" s="194" customFormat="1" ht="31.9" customHeight="1" x14ac:dyDescent="0.25">
      <c r="A89" s="5">
        <v>1</v>
      </c>
      <c r="B89" s="337" t="s">
        <v>46</v>
      </c>
      <c r="C89" s="5" t="s">
        <v>8</v>
      </c>
      <c r="D89" s="296">
        <v>19</v>
      </c>
      <c r="E89" s="296">
        <f>19+10</f>
        <v>29</v>
      </c>
      <c r="F89" s="296">
        <v>27</v>
      </c>
      <c r="G89" s="296">
        <f>F89</f>
        <v>27</v>
      </c>
      <c r="H89" s="328">
        <f t="shared" si="35"/>
        <v>93.103448275862064</v>
      </c>
      <c r="I89" s="296"/>
      <c r="J89" s="222"/>
      <c r="K89" s="215"/>
      <c r="L89" s="318"/>
      <c r="M89" s="319"/>
      <c r="N89" s="231"/>
      <c r="O89" s="202"/>
      <c r="P89" s="202"/>
      <c r="Q89" s="202"/>
      <c r="R89" s="202"/>
      <c r="S89" s="202"/>
      <c r="T89" s="202"/>
    </row>
    <row r="90" spans="1:20" s="194" customFormat="1" ht="31.9" customHeight="1" x14ac:dyDescent="0.25">
      <c r="A90" s="5">
        <v>2</v>
      </c>
      <c r="B90" s="337" t="s">
        <v>47</v>
      </c>
      <c r="C90" s="5" t="s">
        <v>8</v>
      </c>
      <c r="D90" s="296">
        <v>32</v>
      </c>
      <c r="E90" s="296">
        <f>20+3</f>
        <v>23</v>
      </c>
      <c r="F90" s="296">
        <v>22</v>
      </c>
      <c r="G90" s="296">
        <f>F90</f>
        <v>22</v>
      </c>
      <c r="H90" s="328">
        <f t="shared" si="35"/>
        <v>95.652173913043484</v>
      </c>
      <c r="I90" s="296"/>
      <c r="J90" s="222"/>
      <c r="K90" s="266"/>
      <c r="L90" s="318"/>
      <c r="M90" s="319"/>
      <c r="N90" s="231"/>
      <c r="O90" s="202"/>
      <c r="P90" s="202"/>
      <c r="Q90" s="202"/>
      <c r="R90" s="202"/>
      <c r="S90" s="202"/>
      <c r="T90" s="202"/>
    </row>
    <row r="91" spans="1:20" s="194" customFormat="1" ht="31.9" customHeight="1" x14ac:dyDescent="0.25">
      <c r="A91" s="5">
        <v>3</v>
      </c>
      <c r="B91" s="337" t="s">
        <v>48</v>
      </c>
      <c r="C91" s="5" t="s">
        <v>8</v>
      </c>
      <c r="D91" s="296">
        <v>18</v>
      </c>
      <c r="E91" s="296">
        <f>38+12</f>
        <v>50</v>
      </c>
      <c r="F91" s="296">
        <v>47</v>
      </c>
      <c r="G91" s="296">
        <f>F91</f>
        <v>47</v>
      </c>
      <c r="H91" s="328">
        <f t="shared" si="35"/>
        <v>94</v>
      </c>
      <c r="I91" s="296"/>
      <c r="J91" s="222"/>
      <c r="K91" s="266"/>
      <c r="L91" s="318"/>
      <c r="M91" s="319"/>
      <c r="N91" s="231"/>
      <c r="O91" s="202"/>
      <c r="P91" s="202"/>
      <c r="Q91" s="202"/>
      <c r="R91" s="202"/>
      <c r="S91" s="202"/>
      <c r="T91" s="202"/>
    </row>
    <row r="92" spans="1:20" ht="31.9" customHeight="1" x14ac:dyDescent="0.25">
      <c r="A92" s="5">
        <v>4</v>
      </c>
      <c r="B92" s="337" t="s">
        <v>49</v>
      </c>
      <c r="C92" s="5" t="s">
        <v>8</v>
      </c>
      <c r="D92" s="296"/>
      <c r="E92" s="296"/>
      <c r="F92" s="296"/>
      <c r="G92" s="296"/>
      <c r="H92" s="292"/>
      <c r="I92" s="296"/>
      <c r="J92" s="128"/>
      <c r="K92" s="132"/>
      <c r="L92" s="320"/>
      <c r="M92" s="319"/>
      <c r="N92" s="132"/>
      <c r="O92" s="138"/>
      <c r="P92" s="138"/>
      <c r="Q92" s="138"/>
      <c r="R92" s="138"/>
      <c r="S92" s="138"/>
      <c r="T92" s="138"/>
    </row>
    <row r="93" spans="1:20" s="194" customFormat="1" ht="31.9" customHeight="1" x14ac:dyDescent="0.25">
      <c r="A93" s="5">
        <v>5</v>
      </c>
      <c r="B93" s="337" t="s">
        <v>50</v>
      </c>
      <c r="C93" s="5" t="s">
        <v>8</v>
      </c>
      <c r="D93" s="296">
        <v>138</v>
      </c>
      <c r="E93" s="296">
        <f>131-13</f>
        <v>118</v>
      </c>
      <c r="F93" s="296">
        <v>100</v>
      </c>
      <c r="G93" s="296">
        <f>F93</f>
        <v>100</v>
      </c>
      <c r="H93" s="328">
        <f t="shared" si="35"/>
        <v>84.745762711864401</v>
      </c>
      <c r="I93" s="296"/>
      <c r="J93" s="267"/>
      <c r="K93" s="215"/>
      <c r="L93" s="320"/>
      <c r="M93" s="319"/>
      <c r="N93" s="231"/>
      <c r="O93" s="202"/>
      <c r="P93" s="202"/>
      <c r="Q93" s="202"/>
      <c r="R93" s="202"/>
      <c r="S93" s="202"/>
      <c r="T93" s="202"/>
    </row>
    <row r="94" spans="1:20" s="131" customFormat="1" ht="31.9" customHeight="1" x14ac:dyDescent="0.25">
      <c r="A94" s="3" t="s">
        <v>51</v>
      </c>
      <c r="B94" s="335" t="s">
        <v>52</v>
      </c>
      <c r="C94" s="3" t="s">
        <v>6</v>
      </c>
      <c r="D94" s="291">
        <f>D95</f>
        <v>0</v>
      </c>
      <c r="E94" s="291">
        <f t="shared" ref="E94:G94" si="41">E95</f>
        <v>0</v>
      </c>
      <c r="F94" s="291">
        <f t="shared" si="41"/>
        <v>0</v>
      </c>
      <c r="G94" s="291">
        <f t="shared" si="41"/>
        <v>0</v>
      </c>
      <c r="H94" s="292"/>
      <c r="I94" s="291"/>
      <c r="J94" s="130"/>
      <c r="K94" s="129"/>
      <c r="L94" s="129"/>
      <c r="M94" s="129"/>
      <c r="N94" s="129"/>
      <c r="O94" s="143"/>
      <c r="P94" s="143"/>
      <c r="Q94" s="143"/>
      <c r="R94" s="143"/>
      <c r="S94" s="143"/>
      <c r="T94" s="143"/>
    </row>
    <row r="95" spans="1:20" ht="31.9" customHeight="1" x14ac:dyDescent="0.25">
      <c r="A95" s="4" t="s">
        <v>18</v>
      </c>
      <c r="B95" s="389" t="s">
        <v>53</v>
      </c>
      <c r="C95" s="4" t="s">
        <v>6</v>
      </c>
      <c r="D95" s="296"/>
      <c r="E95" s="296"/>
      <c r="F95" s="296"/>
      <c r="G95" s="296"/>
      <c r="H95" s="292"/>
      <c r="I95" s="296"/>
      <c r="J95" s="128"/>
      <c r="K95" s="132"/>
      <c r="L95" s="132"/>
      <c r="M95" s="132"/>
      <c r="N95" s="132"/>
      <c r="O95" s="138"/>
      <c r="P95" s="138"/>
      <c r="Q95" s="138"/>
      <c r="R95" s="138"/>
      <c r="S95" s="138"/>
      <c r="T95" s="138"/>
    </row>
    <row r="96" spans="1:20" ht="31.9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2.8</v>
      </c>
      <c r="E96" s="291">
        <f>E97+E98</f>
        <v>0.64999999999999991</v>
      </c>
      <c r="F96" s="291">
        <f t="shared" ref="F96:G96" si="42">F97+F98</f>
        <v>0</v>
      </c>
      <c r="G96" s="291">
        <f t="shared" si="42"/>
        <v>0</v>
      </c>
      <c r="H96" s="292">
        <f t="shared" si="35"/>
        <v>0</v>
      </c>
      <c r="I96" s="291"/>
      <c r="J96" s="128"/>
      <c r="K96" s="132"/>
      <c r="L96" s="132"/>
      <c r="M96" s="132"/>
      <c r="N96" s="132"/>
      <c r="O96" s="138"/>
      <c r="P96" s="138"/>
      <c r="Q96" s="138"/>
      <c r="R96" s="138"/>
      <c r="S96" s="138"/>
      <c r="T96" s="138"/>
    </row>
    <row r="97" spans="1:20" ht="31.9" customHeight="1" x14ac:dyDescent="0.25">
      <c r="A97" s="5" t="s">
        <v>18</v>
      </c>
      <c r="B97" s="391" t="s">
        <v>213</v>
      </c>
      <c r="C97" s="4" t="s">
        <v>6</v>
      </c>
      <c r="D97" s="296"/>
      <c r="E97" s="296"/>
      <c r="F97" s="296"/>
      <c r="G97" s="296"/>
      <c r="H97" s="292"/>
      <c r="I97" s="296"/>
      <c r="J97" s="128"/>
      <c r="K97" s="132"/>
      <c r="L97" s="132"/>
      <c r="M97" s="132"/>
      <c r="N97" s="132"/>
      <c r="O97" s="138"/>
      <c r="P97" s="138"/>
      <c r="Q97" s="138"/>
      <c r="R97" s="138"/>
      <c r="S97" s="138"/>
      <c r="T97" s="138"/>
    </row>
    <row r="98" spans="1:20" ht="31.9" customHeight="1" x14ac:dyDescent="0.25">
      <c r="A98" s="395" t="s">
        <v>18</v>
      </c>
      <c r="B98" s="391" t="s">
        <v>56</v>
      </c>
      <c r="C98" s="4" t="s">
        <v>6</v>
      </c>
      <c r="D98" s="296">
        <v>2.8</v>
      </c>
      <c r="E98" s="296">
        <f>1.9-1.25</f>
        <v>0.64999999999999991</v>
      </c>
      <c r="F98" s="296"/>
      <c r="G98" s="296"/>
      <c r="H98" s="292">
        <f t="shared" si="35"/>
        <v>0</v>
      </c>
      <c r="I98" s="296"/>
      <c r="J98" s="128"/>
      <c r="K98" s="132"/>
      <c r="L98" s="132"/>
      <c r="M98" s="132"/>
      <c r="N98" s="132"/>
      <c r="O98" s="138"/>
      <c r="P98" s="138"/>
      <c r="Q98" s="138"/>
      <c r="R98" s="138"/>
      <c r="S98" s="138"/>
      <c r="T98" s="138"/>
    </row>
    <row r="99" spans="1:20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55"/>
      <c r="L99" s="155"/>
      <c r="M99" s="155"/>
      <c r="N99" s="155"/>
      <c r="O99" s="138"/>
      <c r="P99" s="138"/>
      <c r="Q99" s="138"/>
      <c r="R99" s="138"/>
      <c r="S99" s="138"/>
      <c r="T99" s="138"/>
    </row>
    <row r="100" spans="1:20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55"/>
      <c r="L100" s="155"/>
      <c r="M100" s="155"/>
      <c r="N100" s="155"/>
      <c r="O100" s="138"/>
      <c r="P100" s="138"/>
      <c r="Q100" s="138"/>
      <c r="R100" s="138"/>
      <c r="S100" s="138"/>
      <c r="T100" s="138"/>
    </row>
    <row r="101" spans="1:20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55"/>
      <c r="L101" s="155"/>
      <c r="M101" s="155"/>
      <c r="N101" s="155"/>
      <c r="O101" s="138"/>
      <c r="P101" s="138"/>
      <c r="Q101" s="138"/>
      <c r="R101" s="138"/>
      <c r="S101" s="138"/>
      <c r="T101" s="138"/>
    </row>
    <row r="102" spans="1:20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55"/>
      <c r="L102" s="155"/>
      <c r="M102" s="155"/>
      <c r="N102" s="155"/>
      <c r="O102" s="138"/>
      <c r="P102" s="138"/>
      <c r="Q102" s="138"/>
      <c r="R102" s="138"/>
      <c r="S102" s="138"/>
      <c r="T102" s="138"/>
    </row>
    <row r="103" spans="1:20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55"/>
      <c r="L103" s="155"/>
      <c r="M103" s="155"/>
      <c r="N103" s="155"/>
      <c r="O103" s="138"/>
      <c r="P103" s="138"/>
      <c r="Q103" s="138"/>
      <c r="R103" s="138"/>
      <c r="S103" s="138"/>
      <c r="T103" s="138"/>
    </row>
    <row r="104" spans="1:20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55"/>
      <c r="L104" s="155"/>
      <c r="M104" s="155"/>
      <c r="N104" s="155"/>
      <c r="O104" s="138"/>
      <c r="P104" s="138"/>
      <c r="Q104" s="138"/>
      <c r="R104" s="138"/>
      <c r="S104" s="138"/>
      <c r="T104" s="138"/>
    </row>
    <row r="105" spans="1:20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55"/>
      <c r="L105" s="155"/>
      <c r="M105" s="155"/>
      <c r="N105" s="155"/>
      <c r="O105" s="138"/>
      <c r="P105" s="138"/>
      <c r="Q105" s="138"/>
      <c r="R105" s="138"/>
      <c r="S105" s="138"/>
      <c r="T105" s="138"/>
    </row>
    <row r="106" spans="1:20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55"/>
      <c r="L106" s="155"/>
      <c r="M106" s="155"/>
      <c r="N106" s="155"/>
      <c r="O106" s="138"/>
      <c r="P106" s="138"/>
      <c r="Q106" s="138"/>
      <c r="R106" s="138"/>
      <c r="S106" s="138"/>
      <c r="T106" s="138"/>
    </row>
    <row r="107" spans="1:20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55"/>
      <c r="L107" s="155"/>
      <c r="M107" s="155"/>
      <c r="N107" s="155"/>
      <c r="O107" s="138"/>
      <c r="P107" s="138"/>
      <c r="Q107" s="138"/>
      <c r="R107" s="138"/>
      <c r="S107" s="138"/>
      <c r="T107" s="138"/>
    </row>
    <row r="108" spans="1:20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55"/>
      <c r="L108" s="155"/>
      <c r="M108" s="155"/>
      <c r="N108" s="155"/>
      <c r="O108" s="138"/>
      <c r="P108" s="138"/>
      <c r="Q108" s="138"/>
      <c r="R108" s="138"/>
      <c r="S108" s="138"/>
      <c r="T108" s="138"/>
    </row>
    <row r="109" spans="1:20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55"/>
      <c r="L109" s="155"/>
      <c r="M109" s="155"/>
      <c r="N109" s="155"/>
      <c r="O109" s="138"/>
      <c r="P109" s="138"/>
      <c r="Q109" s="138"/>
      <c r="R109" s="138"/>
      <c r="S109" s="138"/>
      <c r="T109" s="138"/>
    </row>
    <row r="110" spans="1:20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55"/>
      <c r="L110" s="155"/>
      <c r="M110" s="155"/>
      <c r="N110" s="155"/>
      <c r="O110" s="138"/>
      <c r="P110" s="138"/>
      <c r="Q110" s="138"/>
      <c r="R110" s="138"/>
      <c r="S110" s="138"/>
      <c r="T110" s="138"/>
    </row>
    <row r="111" spans="1:20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55"/>
      <c r="L111" s="155"/>
      <c r="M111" s="155"/>
      <c r="N111" s="155"/>
      <c r="O111" s="138"/>
      <c r="P111" s="138"/>
      <c r="Q111" s="138"/>
      <c r="R111" s="138"/>
      <c r="S111" s="138"/>
      <c r="T111" s="138"/>
    </row>
    <row r="112" spans="1:20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55"/>
      <c r="L112" s="155"/>
      <c r="M112" s="155"/>
      <c r="N112" s="155"/>
      <c r="O112" s="138"/>
      <c r="P112" s="138"/>
      <c r="Q112" s="138"/>
      <c r="R112" s="138"/>
      <c r="S112" s="138"/>
      <c r="T112" s="138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39370078740157483" right="0.31496062992125984" top="0.55118110236220474" bottom="0.51181102362204722" header="0.31496062992125984" footer="0"/>
  <pageSetup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984"/>
  <sheetViews>
    <sheetView zoomScaleNormal="100" workbookViewId="0">
      <pane ySplit="8" topLeftCell="A48" activePane="bottomLeft" state="frozen"/>
      <selection pane="bottomLeft" activeCell="B7" sqref="B7:B8"/>
    </sheetView>
  </sheetViews>
  <sheetFormatPr defaultColWidth="11.21875" defaultRowHeight="15" customHeight="1" x14ac:dyDescent="0.25"/>
  <cols>
    <col min="1" max="1" width="6.88671875" style="330" customWidth="1"/>
    <col min="2" max="2" width="29" style="330" customWidth="1"/>
    <col min="3" max="3" width="9.88671875" style="330" customWidth="1"/>
    <col min="4" max="5" width="17.77734375" style="330" customWidth="1"/>
    <col min="6" max="9" width="12.6640625" style="330" customWidth="1"/>
    <col min="10" max="10" width="8.88671875" style="125" customWidth="1"/>
    <col min="11" max="11" width="21.21875" style="125" customWidth="1"/>
    <col min="12" max="14" width="8.88671875" style="125" customWidth="1"/>
    <col min="15" max="16384" width="11.21875" style="125"/>
  </cols>
  <sheetData>
    <row r="1" spans="1:20" ht="15" customHeight="1" x14ac:dyDescent="0.25">
      <c r="H1" s="409"/>
      <c r="I1" s="409"/>
    </row>
    <row r="2" spans="1:20" ht="16.5" x14ac:dyDescent="0.25">
      <c r="A2" s="410"/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  <c r="N2" s="127"/>
    </row>
    <row r="3" spans="1:20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20" ht="16.5" x14ac:dyDescent="0.25">
      <c r="A4" s="405" t="s">
        <v>227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20" ht="16.5" x14ac:dyDescent="0.25">
      <c r="A5" s="417" t="str">
        <f>'ĐĂK CHUM II(4)'!A5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20" ht="16.5" x14ac:dyDescent="0.25">
      <c r="A6" s="376"/>
      <c r="B6" s="376"/>
      <c r="C6" s="376"/>
      <c r="D6" s="377"/>
      <c r="E6" s="377"/>
      <c r="F6" s="377"/>
      <c r="G6" s="377"/>
      <c r="H6" s="377"/>
      <c r="I6" s="377"/>
      <c r="J6" s="127"/>
      <c r="K6" s="127"/>
      <c r="L6" s="127"/>
      <c r="M6" s="127"/>
      <c r="N6" s="127"/>
    </row>
    <row r="7" spans="1:20" ht="42" customHeight="1" x14ac:dyDescent="0.25">
      <c r="A7" s="412" t="s">
        <v>10</v>
      </c>
      <c r="B7" s="412" t="s">
        <v>1</v>
      </c>
      <c r="C7" s="412" t="s">
        <v>11</v>
      </c>
      <c r="D7" s="414" t="s">
        <v>222</v>
      </c>
      <c r="E7" s="416" t="s">
        <v>256</v>
      </c>
      <c r="F7" s="418"/>
      <c r="G7" s="418"/>
      <c r="H7" s="419"/>
      <c r="I7" s="407" t="s">
        <v>259</v>
      </c>
      <c r="J7" s="127"/>
      <c r="K7" s="153" t="s">
        <v>215</v>
      </c>
      <c r="L7" s="174">
        <v>78</v>
      </c>
      <c r="M7" s="127"/>
      <c r="N7" s="127"/>
    </row>
    <row r="8" spans="1:20" ht="42" customHeight="1" x14ac:dyDescent="0.25">
      <c r="A8" s="413"/>
      <c r="B8" s="413"/>
      <c r="C8" s="413"/>
      <c r="D8" s="415"/>
      <c r="E8" s="331" t="s">
        <v>257</v>
      </c>
      <c r="F8" s="331" t="s">
        <v>261</v>
      </c>
      <c r="G8" s="331" t="s">
        <v>263</v>
      </c>
      <c r="H8" s="331" t="s">
        <v>258</v>
      </c>
      <c r="I8" s="408"/>
      <c r="J8" s="127"/>
      <c r="K8" s="153" t="s">
        <v>216</v>
      </c>
      <c r="L8" s="174">
        <v>283</v>
      </c>
      <c r="M8" s="127"/>
      <c r="N8" s="127"/>
    </row>
    <row r="9" spans="1:20" s="131" customFormat="1" ht="31.9" customHeight="1" x14ac:dyDescent="0.25">
      <c r="A9" s="3" t="s">
        <v>12</v>
      </c>
      <c r="B9" s="335" t="s">
        <v>13</v>
      </c>
      <c r="C9" s="3" t="s">
        <v>6</v>
      </c>
      <c r="D9" s="291">
        <f>D13+D28+D37+D43+D46+D67</f>
        <v>77.710000000000008</v>
      </c>
      <c r="E9" s="292">
        <f t="shared" ref="E9:G9" si="0">E13+E28+E37+E43+E46+E67</f>
        <v>103.32</v>
      </c>
      <c r="F9" s="292">
        <f t="shared" si="0"/>
        <v>63.61</v>
      </c>
      <c r="G9" s="292">
        <f t="shared" si="0"/>
        <v>63.61</v>
      </c>
      <c r="H9" s="292">
        <f>F9/E9*100</f>
        <v>61.566008517228035</v>
      </c>
      <c r="I9" s="292"/>
      <c r="J9" s="213"/>
      <c r="K9" s="228"/>
      <c r="L9" s="228"/>
      <c r="M9" s="228"/>
      <c r="N9" s="228"/>
      <c r="O9" s="143"/>
      <c r="P9" s="143"/>
      <c r="Q9" s="143"/>
      <c r="R9" s="143"/>
      <c r="S9" s="143"/>
      <c r="T9" s="143"/>
    </row>
    <row r="10" spans="1:20" s="131" customFormat="1" ht="31.9" customHeight="1" x14ac:dyDescent="0.25">
      <c r="A10" s="3">
        <v>1</v>
      </c>
      <c r="B10" s="335" t="s">
        <v>14</v>
      </c>
      <c r="C10" s="3" t="s">
        <v>6</v>
      </c>
      <c r="D10" s="291">
        <f>D13+D28</f>
        <v>1</v>
      </c>
      <c r="E10" s="291">
        <f t="shared" ref="E10:G10" si="1">E13+E28</f>
        <v>22.91</v>
      </c>
      <c r="F10" s="291">
        <f t="shared" si="1"/>
        <v>3.9</v>
      </c>
      <c r="G10" s="291">
        <f t="shared" si="1"/>
        <v>3.9</v>
      </c>
      <c r="H10" s="292">
        <f t="shared" ref="H10:H73" si="2">F10/E10*100</f>
        <v>17.023134002618942</v>
      </c>
      <c r="I10" s="291"/>
      <c r="J10" s="213"/>
      <c r="K10" s="228"/>
      <c r="L10" s="228"/>
      <c r="M10" s="228"/>
      <c r="N10" s="228"/>
      <c r="O10" s="143"/>
      <c r="P10" s="143"/>
      <c r="Q10" s="143"/>
      <c r="R10" s="143"/>
      <c r="S10" s="143"/>
      <c r="T10" s="143"/>
    </row>
    <row r="11" spans="1:20" s="131" customFormat="1" ht="31.9" customHeight="1" x14ac:dyDescent="0.25">
      <c r="A11" s="3"/>
      <c r="B11" s="334" t="s">
        <v>16</v>
      </c>
      <c r="C11" s="3" t="s">
        <v>17</v>
      </c>
      <c r="D11" s="291">
        <f>D12+D30</f>
        <v>3.6850000000000001</v>
      </c>
      <c r="E11" s="291">
        <f t="shared" ref="E11:G11" si="3">E12+E30</f>
        <v>85.805340000000015</v>
      </c>
      <c r="F11" s="291">
        <f t="shared" si="3"/>
        <v>0</v>
      </c>
      <c r="G11" s="291">
        <f t="shared" si="3"/>
        <v>0</v>
      </c>
      <c r="H11" s="292">
        <f t="shared" si="2"/>
        <v>0</v>
      </c>
      <c r="I11" s="291"/>
      <c r="J11" s="213"/>
      <c r="K11" s="228"/>
      <c r="L11" s="228"/>
      <c r="M11" s="228"/>
      <c r="N11" s="228"/>
      <c r="O11" s="143"/>
      <c r="P11" s="143"/>
      <c r="Q11" s="143"/>
      <c r="R11" s="143"/>
      <c r="S11" s="143"/>
      <c r="T11" s="143"/>
    </row>
    <row r="12" spans="1:20" s="131" customFormat="1" ht="31.9" customHeight="1" x14ac:dyDescent="0.25">
      <c r="A12" s="3"/>
      <c r="B12" s="335" t="s">
        <v>221</v>
      </c>
      <c r="C12" s="3" t="s">
        <v>17</v>
      </c>
      <c r="D12" s="291">
        <f>D15</f>
        <v>0</v>
      </c>
      <c r="E12" s="291">
        <f t="shared" ref="E12:G12" si="4">E15</f>
        <v>82.115340000000018</v>
      </c>
      <c r="F12" s="291">
        <f t="shared" si="4"/>
        <v>0</v>
      </c>
      <c r="G12" s="291">
        <f t="shared" si="4"/>
        <v>0</v>
      </c>
      <c r="H12" s="292">
        <f t="shared" si="2"/>
        <v>0</v>
      </c>
      <c r="I12" s="291"/>
      <c r="J12" s="213"/>
      <c r="K12" s="228"/>
      <c r="L12" s="228"/>
      <c r="M12" s="228"/>
      <c r="N12" s="228"/>
      <c r="O12" s="143"/>
      <c r="P12" s="143"/>
      <c r="Q12" s="143"/>
      <c r="R12" s="143"/>
      <c r="S12" s="143"/>
      <c r="T12" s="143"/>
    </row>
    <row r="13" spans="1:20" ht="31.9" customHeight="1" x14ac:dyDescent="0.25">
      <c r="A13" s="3" t="s">
        <v>5</v>
      </c>
      <c r="B13" s="335" t="s">
        <v>19</v>
      </c>
      <c r="C13" s="3" t="s">
        <v>6</v>
      </c>
      <c r="D13" s="291">
        <f>D16+D19</f>
        <v>0</v>
      </c>
      <c r="E13" s="291">
        <f t="shared" ref="E13:G13" si="5">E16+E19</f>
        <v>21.91</v>
      </c>
      <c r="F13" s="291">
        <f t="shared" si="5"/>
        <v>3.9</v>
      </c>
      <c r="G13" s="291">
        <f t="shared" si="5"/>
        <v>3.9</v>
      </c>
      <c r="H13" s="292">
        <f t="shared" si="2"/>
        <v>17.800091282519396</v>
      </c>
      <c r="I13" s="291"/>
      <c r="J13" s="127"/>
      <c r="K13" s="210"/>
      <c r="L13" s="210"/>
      <c r="M13" s="210"/>
      <c r="N13" s="210"/>
      <c r="O13" s="138"/>
      <c r="P13" s="138"/>
      <c r="Q13" s="138"/>
      <c r="R13" s="138"/>
      <c r="S13" s="138"/>
      <c r="T13" s="138"/>
    </row>
    <row r="14" spans="1:20" ht="31.9" customHeight="1" x14ac:dyDescent="0.25">
      <c r="A14" s="3"/>
      <c r="B14" s="337" t="s">
        <v>218</v>
      </c>
      <c r="C14" s="5" t="s">
        <v>219</v>
      </c>
      <c r="D14" s="296"/>
      <c r="E14" s="296">
        <f t="shared" ref="E14:G14" si="6">E15/E13*10</f>
        <v>37.47847558192607</v>
      </c>
      <c r="F14" s="296">
        <f t="shared" si="6"/>
        <v>0</v>
      </c>
      <c r="G14" s="296">
        <f t="shared" si="6"/>
        <v>0</v>
      </c>
      <c r="H14" s="292">
        <f t="shared" si="2"/>
        <v>0</v>
      </c>
      <c r="I14" s="296"/>
      <c r="J14" s="127"/>
      <c r="K14" s="155"/>
      <c r="L14" s="155"/>
      <c r="M14" s="155"/>
      <c r="N14" s="155"/>
      <c r="O14" s="138"/>
      <c r="P14" s="138"/>
      <c r="Q14" s="138"/>
      <c r="R14" s="138"/>
      <c r="S14" s="138"/>
      <c r="T14" s="138"/>
    </row>
    <row r="15" spans="1:20" ht="31.9" customHeight="1" x14ac:dyDescent="0.25">
      <c r="A15" s="3"/>
      <c r="B15" s="337" t="s">
        <v>220</v>
      </c>
      <c r="C15" s="5" t="s">
        <v>17</v>
      </c>
      <c r="D15" s="296">
        <f>D18+D21</f>
        <v>0</v>
      </c>
      <c r="E15" s="296">
        <f>E18+E21</f>
        <v>82.115340000000018</v>
      </c>
      <c r="F15" s="296">
        <f t="shared" ref="F15:G15" si="7">F18+F21</f>
        <v>0</v>
      </c>
      <c r="G15" s="296">
        <f t="shared" si="7"/>
        <v>0</v>
      </c>
      <c r="H15" s="292">
        <f t="shared" si="2"/>
        <v>0</v>
      </c>
      <c r="I15" s="296"/>
      <c r="J15" s="127"/>
      <c r="K15" s="155"/>
      <c r="L15" s="155"/>
      <c r="M15" s="155"/>
      <c r="N15" s="155"/>
      <c r="O15" s="138"/>
      <c r="P15" s="138"/>
      <c r="Q15" s="138"/>
      <c r="R15" s="138"/>
      <c r="S15" s="138"/>
      <c r="T15" s="138"/>
    </row>
    <row r="16" spans="1:20" ht="31.9" customHeight="1" x14ac:dyDescent="0.25">
      <c r="A16" s="3" t="s">
        <v>20</v>
      </c>
      <c r="B16" s="335" t="s">
        <v>21</v>
      </c>
      <c r="C16" s="3" t="s">
        <v>6</v>
      </c>
      <c r="D16" s="291"/>
      <c r="E16" s="291">
        <v>3.9</v>
      </c>
      <c r="F16" s="291">
        <v>3.9</v>
      </c>
      <c r="G16" s="291">
        <v>3.9</v>
      </c>
      <c r="H16" s="292">
        <f t="shared" si="2"/>
        <v>100</v>
      </c>
      <c r="I16" s="291"/>
      <c r="J16" s="214"/>
      <c r="K16" s="134"/>
      <c r="L16" s="134"/>
      <c r="M16" s="134"/>
      <c r="N16" s="134"/>
      <c r="O16" s="161"/>
      <c r="P16" s="161"/>
      <c r="Q16" s="161"/>
      <c r="R16" s="161"/>
      <c r="S16" s="138"/>
      <c r="T16" s="138"/>
    </row>
    <row r="17" spans="1:21" ht="31.9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>
        <v>0</v>
      </c>
      <c r="G17" s="296">
        <v>0</v>
      </c>
      <c r="H17" s="292">
        <f t="shared" si="2"/>
        <v>0</v>
      </c>
      <c r="I17" s="296"/>
      <c r="J17" s="214"/>
      <c r="K17" s="134"/>
      <c r="L17" s="134"/>
      <c r="M17" s="134"/>
      <c r="N17" s="134"/>
      <c r="O17" s="161"/>
      <c r="P17" s="161"/>
      <c r="Q17" s="161"/>
      <c r="R17" s="161"/>
      <c r="S17" s="138"/>
      <c r="T17" s="138"/>
    </row>
    <row r="18" spans="1:21" ht="31.9" customHeight="1" x14ac:dyDescent="0.25">
      <c r="A18" s="3"/>
      <c r="B18" s="337" t="s">
        <v>220</v>
      </c>
      <c r="C18" s="5" t="s">
        <v>17</v>
      </c>
      <c r="D18" s="296">
        <f>D16*D17/10</f>
        <v>0</v>
      </c>
      <c r="E18" s="296">
        <f t="shared" ref="E18:G18" si="8">E16*E17/10</f>
        <v>13.065000000000001</v>
      </c>
      <c r="F18" s="296">
        <f t="shared" si="8"/>
        <v>0</v>
      </c>
      <c r="G18" s="296">
        <f t="shared" si="8"/>
        <v>0</v>
      </c>
      <c r="H18" s="292">
        <f t="shared" si="2"/>
        <v>0</v>
      </c>
      <c r="I18" s="296"/>
      <c r="J18" s="214"/>
      <c r="K18" s="134"/>
      <c r="L18" s="134"/>
      <c r="M18" s="134"/>
      <c r="N18" s="134"/>
      <c r="O18" s="161"/>
      <c r="P18" s="161"/>
      <c r="Q18" s="161"/>
      <c r="R18" s="161"/>
      <c r="S18" s="138"/>
      <c r="T18" s="138"/>
    </row>
    <row r="19" spans="1:21" ht="31.9" customHeight="1" x14ac:dyDescent="0.25">
      <c r="A19" s="379" t="s">
        <v>22</v>
      </c>
      <c r="B19" s="380" t="s">
        <v>23</v>
      </c>
      <c r="C19" s="379" t="s">
        <v>6</v>
      </c>
      <c r="D19" s="291">
        <f t="shared" ref="D19:G19" si="9">D22+D25</f>
        <v>0</v>
      </c>
      <c r="E19" s="291">
        <f t="shared" si="9"/>
        <v>18.010000000000002</v>
      </c>
      <c r="F19" s="291">
        <f t="shared" si="9"/>
        <v>0</v>
      </c>
      <c r="G19" s="291">
        <f t="shared" si="9"/>
        <v>0</v>
      </c>
      <c r="H19" s="292">
        <f t="shared" si="2"/>
        <v>0</v>
      </c>
      <c r="I19" s="291"/>
      <c r="J19" s="128"/>
      <c r="K19" s="132"/>
      <c r="L19" s="132"/>
      <c r="M19" s="137"/>
      <c r="N19" s="137"/>
      <c r="O19" s="162"/>
      <c r="P19" s="162"/>
      <c r="Q19" s="162"/>
      <c r="R19" s="162"/>
      <c r="S19" s="162"/>
      <c r="T19" s="162"/>
      <c r="U19" s="133"/>
    </row>
    <row r="20" spans="1:21" ht="31.9" customHeight="1" x14ac:dyDescent="0.25">
      <c r="A20" s="379"/>
      <c r="B20" s="337" t="s">
        <v>218</v>
      </c>
      <c r="C20" s="5" t="s">
        <v>219</v>
      </c>
      <c r="D20" s="296"/>
      <c r="E20" s="296">
        <f t="shared" ref="E20" si="10">E21/E19*10</f>
        <v>38.340000000000011</v>
      </c>
      <c r="F20" s="296"/>
      <c r="G20" s="296"/>
      <c r="H20" s="292">
        <f t="shared" si="2"/>
        <v>0</v>
      </c>
      <c r="I20" s="296"/>
      <c r="J20" s="128"/>
      <c r="K20" s="132"/>
      <c r="L20" s="132"/>
      <c r="M20" s="137"/>
      <c r="N20" s="137"/>
      <c r="O20" s="162"/>
      <c r="P20" s="162"/>
      <c r="Q20" s="162"/>
      <c r="R20" s="162"/>
      <c r="S20" s="162"/>
      <c r="T20" s="162"/>
      <c r="U20" s="133"/>
    </row>
    <row r="21" spans="1:21" ht="31.9" customHeight="1" x14ac:dyDescent="0.25">
      <c r="A21" s="379"/>
      <c r="B21" s="337" t="s">
        <v>220</v>
      </c>
      <c r="C21" s="5" t="s">
        <v>17</v>
      </c>
      <c r="D21" s="296">
        <f>D24+D27</f>
        <v>0</v>
      </c>
      <c r="E21" s="296">
        <f t="shared" ref="E21:G21" si="11">E24+E27</f>
        <v>69.05034000000002</v>
      </c>
      <c r="F21" s="296">
        <f t="shared" si="11"/>
        <v>0</v>
      </c>
      <c r="G21" s="296">
        <f t="shared" si="11"/>
        <v>0</v>
      </c>
      <c r="H21" s="292">
        <f t="shared" si="2"/>
        <v>0</v>
      </c>
      <c r="I21" s="296"/>
      <c r="J21" s="128"/>
      <c r="K21" s="132"/>
      <c r="L21" s="132"/>
      <c r="M21" s="137"/>
      <c r="N21" s="137"/>
      <c r="O21" s="162"/>
      <c r="P21" s="162"/>
      <c r="Q21" s="162"/>
      <c r="R21" s="162"/>
      <c r="S21" s="162"/>
      <c r="T21" s="162"/>
      <c r="U21" s="133"/>
    </row>
    <row r="22" spans="1:21" ht="31.9" customHeight="1" x14ac:dyDescent="0.25">
      <c r="A22" s="379" t="s">
        <v>24</v>
      </c>
      <c r="B22" s="380" t="s">
        <v>25</v>
      </c>
      <c r="C22" s="379" t="s">
        <v>6</v>
      </c>
      <c r="D22" s="291"/>
      <c r="E22" s="291">
        <v>18.010000000000002</v>
      </c>
      <c r="F22" s="296">
        <v>0</v>
      </c>
      <c r="G22" s="291">
        <v>0</v>
      </c>
      <c r="H22" s="292">
        <f t="shared" si="2"/>
        <v>0</v>
      </c>
      <c r="I22" s="296"/>
      <c r="J22" s="121"/>
      <c r="K22" s="116"/>
      <c r="L22" s="116"/>
      <c r="M22" s="117"/>
      <c r="N22" s="117"/>
      <c r="O22" s="118"/>
      <c r="P22" s="118"/>
      <c r="Q22" s="118"/>
      <c r="R22" s="118"/>
      <c r="S22" s="118"/>
      <c r="T22" s="163"/>
      <c r="U22" s="133"/>
    </row>
    <row r="23" spans="1:21" ht="31.9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/>
      <c r="G23" s="296"/>
      <c r="H23" s="292">
        <f t="shared" si="2"/>
        <v>0</v>
      </c>
      <c r="I23" s="296"/>
      <c r="J23" s="121"/>
      <c r="K23" s="116"/>
      <c r="L23" s="116"/>
      <c r="M23" s="117"/>
      <c r="N23" s="117"/>
      <c r="O23" s="118"/>
      <c r="P23" s="118"/>
      <c r="Q23" s="118"/>
      <c r="R23" s="118"/>
      <c r="S23" s="118"/>
      <c r="T23" s="163"/>
      <c r="U23" s="133"/>
    </row>
    <row r="24" spans="1:21" ht="31.9" customHeight="1" x14ac:dyDescent="0.25">
      <c r="A24" s="379"/>
      <c r="B24" s="337" t="s">
        <v>220</v>
      </c>
      <c r="C24" s="5" t="s">
        <v>17</v>
      </c>
      <c r="D24" s="296">
        <f>D22*D23/10</f>
        <v>0</v>
      </c>
      <c r="E24" s="296">
        <f t="shared" ref="E24:G24" si="12">E22*E23/10</f>
        <v>69.05034000000002</v>
      </c>
      <c r="F24" s="296">
        <f t="shared" si="12"/>
        <v>0</v>
      </c>
      <c r="G24" s="296">
        <f t="shared" si="12"/>
        <v>0</v>
      </c>
      <c r="H24" s="292">
        <f t="shared" si="2"/>
        <v>0</v>
      </c>
      <c r="I24" s="296"/>
      <c r="J24" s="121"/>
      <c r="K24" s="116"/>
      <c r="L24" s="116"/>
      <c r="M24" s="117"/>
      <c r="N24" s="117"/>
      <c r="O24" s="118"/>
      <c r="P24" s="118"/>
      <c r="Q24" s="118"/>
      <c r="R24" s="118"/>
      <c r="S24" s="118"/>
      <c r="T24" s="163"/>
      <c r="U24" s="133"/>
    </row>
    <row r="25" spans="1:21" ht="31.9" customHeight="1" x14ac:dyDescent="0.25">
      <c r="A25" s="379" t="s">
        <v>24</v>
      </c>
      <c r="B25" s="380" t="s">
        <v>26</v>
      </c>
      <c r="C25" s="379" t="s">
        <v>6</v>
      </c>
      <c r="D25" s="291"/>
      <c r="E25" s="291"/>
      <c r="F25" s="296">
        <v>0</v>
      </c>
      <c r="G25" s="296">
        <v>0</v>
      </c>
      <c r="H25" s="292"/>
      <c r="I25" s="296"/>
      <c r="J25" s="121"/>
      <c r="K25" s="116"/>
      <c r="L25" s="116"/>
      <c r="M25" s="116"/>
      <c r="N25" s="116"/>
      <c r="O25" s="119"/>
      <c r="P25" s="119"/>
      <c r="Q25" s="115"/>
      <c r="R25" s="115"/>
      <c r="S25" s="115"/>
      <c r="T25" s="138"/>
    </row>
    <row r="26" spans="1:21" ht="31.9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0</v>
      </c>
      <c r="F26" s="296"/>
      <c r="G26" s="296"/>
      <c r="H26" s="292"/>
      <c r="I26" s="296"/>
      <c r="J26" s="121"/>
      <c r="K26" s="116"/>
      <c r="L26" s="116"/>
      <c r="M26" s="116"/>
      <c r="N26" s="116"/>
      <c r="O26" s="119"/>
      <c r="P26" s="119"/>
      <c r="Q26" s="115"/>
      <c r="R26" s="115"/>
      <c r="S26" s="115"/>
      <c r="T26" s="138"/>
    </row>
    <row r="27" spans="1:21" ht="31.9" customHeight="1" x14ac:dyDescent="0.25">
      <c r="A27" s="379"/>
      <c r="B27" s="337" t="s">
        <v>220</v>
      </c>
      <c r="C27" s="5" t="s">
        <v>17</v>
      </c>
      <c r="D27" s="291">
        <f>D25*D26/10</f>
        <v>0</v>
      </c>
      <c r="E27" s="291">
        <f t="shared" ref="E27:G27" si="13">E25*E26/10</f>
        <v>0</v>
      </c>
      <c r="F27" s="291">
        <f t="shared" si="13"/>
        <v>0</v>
      </c>
      <c r="G27" s="291">
        <f t="shared" si="13"/>
        <v>0</v>
      </c>
      <c r="H27" s="292"/>
      <c r="I27" s="291"/>
      <c r="J27" s="121"/>
      <c r="K27" s="116"/>
      <c r="L27" s="116"/>
      <c r="M27" s="116"/>
      <c r="N27" s="116"/>
      <c r="O27" s="119"/>
      <c r="P27" s="119"/>
      <c r="Q27" s="115"/>
      <c r="R27" s="115"/>
      <c r="S27" s="115"/>
      <c r="T27" s="138"/>
    </row>
    <row r="28" spans="1:21" ht="31.9" customHeight="1" x14ac:dyDescent="0.25">
      <c r="A28" s="3" t="s">
        <v>7</v>
      </c>
      <c r="B28" s="335" t="s">
        <v>27</v>
      </c>
      <c r="C28" s="3" t="s">
        <v>6</v>
      </c>
      <c r="D28" s="291">
        <f t="shared" ref="D28:G28" si="14">D31+D34</f>
        <v>1</v>
      </c>
      <c r="E28" s="291">
        <f t="shared" si="14"/>
        <v>1</v>
      </c>
      <c r="F28" s="291">
        <f t="shared" si="14"/>
        <v>0</v>
      </c>
      <c r="G28" s="291">
        <f t="shared" si="14"/>
        <v>0</v>
      </c>
      <c r="H28" s="292">
        <f t="shared" si="2"/>
        <v>0</v>
      </c>
      <c r="I28" s="291"/>
      <c r="J28" s="124"/>
      <c r="K28" s="120"/>
      <c r="L28" s="120"/>
      <c r="M28" s="120"/>
      <c r="N28" s="120"/>
      <c r="O28" s="115"/>
      <c r="P28" s="115"/>
      <c r="Q28" s="115"/>
      <c r="R28" s="115"/>
      <c r="S28" s="115"/>
      <c r="T28" s="138"/>
    </row>
    <row r="29" spans="1:21" ht="31.9" customHeight="1" x14ac:dyDescent="0.25">
      <c r="A29" s="3"/>
      <c r="B29" s="337" t="s">
        <v>218</v>
      </c>
      <c r="C29" s="5" t="s">
        <v>219</v>
      </c>
      <c r="D29" s="296">
        <f>D30/D28*10</f>
        <v>36.85</v>
      </c>
      <c r="E29" s="296">
        <f t="shared" ref="E29" si="15">E30/E28*10</f>
        <v>36.9</v>
      </c>
      <c r="F29" s="296">
        <v>0</v>
      </c>
      <c r="G29" s="296">
        <v>0</v>
      </c>
      <c r="H29" s="292"/>
      <c r="I29" s="296"/>
      <c r="J29" s="124"/>
      <c r="K29" s="120"/>
      <c r="L29" s="120"/>
      <c r="M29" s="120"/>
      <c r="N29" s="120"/>
      <c r="O29" s="115"/>
      <c r="P29" s="115"/>
      <c r="Q29" s="115"/>
      <c r="R29" s="115"/>
      <c r="S29" s="115"/>
      <c r="T29" s="138"/>
    </row>
    <row r="30" spans="1:21" ht="31.9" customHeight="1" x14ac:dyDescent="0.25">
      <c r="A30" s="3"/>
      <c r="B30" s="337" t="s">
        <v>220</v>
      </c>
      <c r="C30" s="5" t="s">
        <v>17</v>
      </c>
      <c r="D30" s="296">
        <f>D33+D36</f>
        <v>3.6850000000000001</v>
      </c>
      <c r="E30" s="296">
        <f t="shared" ref="E30:G30" si="16">E33+E36</f>
        <v>3.69</v>
      </c>
      <c r="F30" s="296">
        <f t="shared" si="16"/>
        <v>0</v>
      </c>
      <c r="G30" s="296">
        <f t="shared" si="16"/>
        <v>0</v>
      </c>
      <c r="H30" s="292">
        <f t="shared" si="2"/>
        <v>0</v>
      </c>
      <c r="I30" s="296"/>
      <c r="J30" s="124"/>
      <c r="K30" s="120"/>
      <c r="L30" s="120"/>
      <c r="M30" s="120"/>
      <c r="N30" s="120"/>
      <c r="O30" s="115"/>
      <c r="P30" s="115"/>
      <c r="Q30" s="115"/>
      <c r="R30" s="115"/>
      <c r="S30" s="115"/>
      <c r="T30" s="138"/>
    </row>
    <row r="31" spans="1:21" ht="31.9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/>
      <c r="G31" s="291"/>
      <c r="H31" s="292"/>
      <c r="I31" s="291"/>
      <c r="J31" s="124"/>
      <c r="K31" s="120"/>
      <c r="L31" s="120"/>
      <c r="M31" s="120"/>
      <c r="N31" s="120"/>
      <c r="O31" s="115"/>
      <c r="P31" s="115"/>
      <c r="Q31" s="115"/>
      <c r="R31" s="115"/>
      <c r="S31" s="115"/>
      <c r="T31" s="138"/>
    </row>
    <row r="32" spans="1:21" ht="31.9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1"/>
      <c r="H32" s="292"/>
      <c r="I32" s="291"/>
      <c r="J32" s="124"/>
      <c r="K32" s="120"/>
      <c r="L32" s="120"/>
      <c r="M32" s="120"/>
      <c r="N32" s="120"/>
      <c r="O32" s="115"/>
      <c r="P32" s="115"/>
      <c r="Q32" s="115"/>
      <c r="R32" s="115"/>
      <c r="S32" s="115"/>
      <c r="T32" s="138"/>
    </row>
    <row r="33" spans="1:22" ht="31.9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1"/>
      <c r="H33" s="292"/>
      <c r="I33" s="291"/>
      <c r="J33" s="124"/>
      <c r="K33" s="120"/>
      <c r="L33" s="120"/>
      <c r="M33" s="120"/>
      <c r="N33" s="120"/>
      <c r="O33" s="115"/>
      <c r="P33" s="115"/>
      <c r="Q33" s="115"/>
      <c r="R33" s="115"/>
      <c r="S33" s="115"/>
      <c r="T33" s="138"/>
    </row>
    <row r="34" spans="1:22" ht="31.9" customHeight="1" x14ac:dyDescent="0.25">
      <c r="A34" s="379" t="s">
        <v>22</v>
      </c>
      <c r="B34" s="380" t="s">
        <v>29</v>
      </c>
      <c r="C34" s="379" t="s">
        <v>6</v>
      </c>
      <c r="D34" s="313">
        <v>1</v>
      </c>
      <c r="E34" s="313">
        <v>1</v>
      </c>
      <c r="F34" s="313">
        <v>0</v>
      </c>
      <c r="G34" s="313">
        <v>0</v>
      </c>
      <c r="H34" s="292">
        <f t="shared" si="2"/>
        <v>0</v>
      </c>
      <c r="I34" s="296"/>
      <c r="J34" s="124"/>
      <c r="K34" s="120"/>
      <c r="L34" s="120"/>
      <c r="M34" s="120"/>
      <c r="N34" s="120"/>
      <c r="O34" s="115"/>
      <c r="P34" s="115"/>
      <c r="Q34" s="115"/>
      <c r="R34" s="115"/>
      <c r="S34" s="115"/>
      <c r="T34" s="138"/>
    </row>
    <row r="35" spans="1:22" ht="31.9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/>
      <c r="G35" s="296"/>
      <c r="H35" s="292">
        <f t="shared" si="2"/>
        <v>0</v>
      </c>
      <c r="I35" s="296"/>
      <c r="J35" s="124"/>
      <c r="K35" s="120"/>
      <c r="L35" s="120"/>
      <c r="M35" s="120"/>
      <c r="N35" s="120"/>
      <c r="O35" s="115"/>
      <c r="P35" s="115"/>
      <c r="Q35" s="115"/>
      <c r="R35" s="115"/>
      <c r="S35" s="115"/>
      <c r="T35" s="138"/>
    </row>
    <row r="36" spans="1:22" ht="31.9" customHeight="1" x14ac:dyDescent="0.25">
      <c r="A36" s="379"/>
      <c r="B36" s="337" t="s">
        <v>220</v>
      </c>
      <c r="C36" s="5" t="s">
        <v>17</v>
      </c>
      <c r="D36" s="296">
        <f>D34*D35/10</f>
        <v>3.6850000000000001</v>
      </c>
      <c r="E36" s="296">
        <f t="shared" ref="E36:G36" si="17">E34*E35/10</f>
        <v>3.69</v>
      </c>
      <c r="F36" s="296">
        <f t="shared" si="17"/>
        <v>0</v>
      </c>
      <c r="G36" s="296">
        <f t="shared" si="17"/>
        <v>0</v>
      </c>
      <c r="H36" s="292">
        <f t="shared" si="2"/>
        <v>0</v>
      </c>
      <c r="I36" s="296"/>
      <c r="J36" s="124"/>
      <c r="K36" s="114"/>
      <c r="L36" s="169"/>
      <c r="M36" s="169"/>
      <c r="N36" s="169"/>
      <c r="O36" s="169"/>
      <c r="P36" s="118"/>
      <c r="Q36" s="115"/>
      <c r="R36" s="115"/>
      <c r="S36" s="115"/>
      <c r="T36" s="138"/>
    </row>
    <row r="37" spans="1:22" ht="31.9" customHeight="1" x14ac:dyDescent="0.25">
      <c r="A37" s="3">
        <v>2</v>
      </c>
      <c r="B37" s="335" t="s">
        <v>30</v>
      </c>
      <c r="C37" s="3" t="s">
        <v>6</v>
      </c>
      <c r="D37" s="291">
        <v>12</v>
      </c>
      <c r="E37" s="291">
        <v>11.63</v>
      </c>
      <c r="F37" s="291">
        <v>0</v>
      </c>
      <c r="G37" s="291">
        <v>0</v>
      </c>
      <c r="H37" s="292">
        <f t="shared" si="2"/>
        <v>0</v>
      </c>
      <c r="I37" s="296"/>
      <c r="J37" s="121"/>
      <c r="K37" s="168"/>
      <c r="L37" s="168"/>
      <c r="M37" s="137"/>
      <c r="N37" s="137"/>
      <c r="O37" s="137"/>
      <c r="P37" s="119"/>
      <c r="Q37" s="119"/>
      <c r="R37" s="119"/>
      <c r="S37" s="119"/>
      <c r="T37" s="119"/>
      <c r="U37" s="122"/>
      <c r="V37" s="122"/>
    </row>
    <row r="38" spans="1:22" ht="31.9" customHeight="1" x14ac:dyDescent="0.25">
      <c r="A38" s="3"/>
      <c r="B38" s="337" t="s">
        <v>218</v>
      </c>
      <c r="C38" s="5" t="s">
        <v>219</v>
      </c>
      <c r="D38" s="294"/>
      <c r="E38" s="298">
        <v>140</v>
      </c>
      <c r="F38" s="296"/>
      <c r="G38" s="296"/>
      <c r="H38" s="292">
        <f t="shared" si="2"/>
        <v>0</v>
      </c>
      <c r="I38" s="296"/>
      <c r="J38" s="121"/>
      <c r="K38" s="168"/>
      <c r="L38" s="168"/>
      <c r="M38" s="137"/>
      <c r="N38" s="137"/>
      <c r="O38" s="137"/>
      <c r="P38" s="119"/>
      <c r="Q38" s="119"/>
      <c r="R38" s="119"/>
      <c r="S38" s="119"/>
      <c r="T38" s="119"/>
      <c r="U38" s="122"/>
      <c r="V38" s="122"/>
    </row>
    <row r="39" spans="1:22" ht="31.9" customHeight="1" x14ac:dyDescent="0.25">
      <c r="A39" s="399"/>
      <c r="B39" s="346" t="s">
        <v>220</v>
      </c>
      <c r="C39" s="347" t="s">
        <v>17</v>
      </c>
      <c r="D39" s="310"/>
      <c r="E39" s="311">
        <f>E37*E38/10</f>
        <v>162.82</v>
      </c>
      <c r="F39" s="311">
        <f t="shared" ref="F39:G39" si="18">F37*F38/10</f>
        <v>0</v>
      </c>
      <c r="G39" s="311">
        <f t="shared" si="18"/>
        <v>0</v>
      </c>
      <c r="H39" s="292">
        <f t="shared" si="2"/>
        <v>0</v>
      </c>
      <c r="I39" s="296"/>
      <c r="J39" s="121"/>
      <c r="K39" s="168"/>
      <c r="L39" s="168"/>
      <c r="M39" s="137"/>
      <c r="N39" s="137"/>
      <c r="O39" s="137"/>
      <c r="P39" s="119"/>
      <c r="Q39" s="119"/>
      <c r="R39" s="119"/>
      <c r="S39" s="119"/>
      <c r="T39" s="119"/>
      <c r="U39" s="122"/>
      <c r="V39" s="122"/>
    </row>
    <row r="40" spans="1:22" ht="31.9" customHeight="1" x14ac:dyDescent="0.25">
      <c r="A40" s="332">
        <v>3</v>
      </c>
      <c r="B40" s="333" t="s">
        <v>241</v>
      </c>
      <c r="C40" s="332" t="s">
        <v>6</v>
      </c>
      <c r="D40" s="294"/>
      <c r="E40" s="294">
        <v>0</v>
      </c>
      <c r="F40" s="312"/>
      <c r="G40" s="296"/>
      <c r="H40" s="292"/>
      <c r="I40" s="296"/>
      <c r="J40" s="121"/>
      <c r="K40" s="168"/>
      <c r="L40" s="168"/>
      <c r="M40" s="137"/>
      <c r="N40" s="137"/>
      <c r="O40" s="137"/>
      <c r="P40" s="119"/>
      <c r="Q40" s="119"/>
      <c r="R40" s="119"/>
      <c r="S40" s="119"/>
      <c r="T40" s="119"/>
      <c r="U40" s="122"/>
      <c r="V40" s="122"/>
    </row>
    <row r="41" spans="1:22" ht="31.9" customHeight="1" x14ac:dyDescent="0.25">
      <c r="A41" s="332"/>
      <c r="B41" s="336" t="s">
        <v>218</v>
      </c>
      <c r="C41" s="343" t="s">
        <v>219</v>
      </c>
      <c r="D41" s="298"/>
      <c r="E41" s="298">
        <v>24.1</v>
      </c>
      <c r="F41" s="312"/>
      <c r="G41" s="296"/>
      <c r="H41" s="292">
        <f t="shared" si="2"/>
        <v>0</v>
      </c>
      <c r="I41" s="296"/>
      <c r="J41" s="121"/>
      <c r="K41" s="168"/>
      <c r="L41" s="168"/>
      <c r="M41" s="137"/>
      <c r="N41" s="137"/>
      <c r="O41" s="137"/>
      <c r="P41" s="119"/>
      <c r="Q41" s="119"/>
      <c r="R41" s="119"/>
      <c r="S41" s="119"/>
      <c r="T41" s="119"/>
      <c r="U41" s="122"/>
      <c r="V41" s="122"/>
    </row>
    <row r="42" spans="1:22" ht="31.9" customHeight="1" x14ac:dyDescent="0.25">
      <c r="A42" s="332"/>
      <c r="B42" s="336" t="s">
        <v>220</v>
      </c>
      <c r="C42" s="343" t="s">
        <v>17</v>
      </c>
      <c r="D42" s="298"/>
      <c r="E42" s="298">
        <f>E40*E41/10</f>
        <v>0</v>
      </c>
      <c r="F42" s="298">
        <f t="shared" ref="F42:G42" si="19">F40*F41/10</f>
        <v>0</v>
      </c>
      <c r="G42" s="298">
        <f t="shared" si="19"/>
        <v>0</v>
      </c>
      <c r="H42" s="292"/>
      <c r="I42" s="296"/>
      <c r="J42" s="121"/>
      <c r="K42" s="168"/>
      <c r="L42" s="168"/>
      <c r="M42" s="137"/>
      <c r="N42" s="137"/>
      <c r="O42" s="137"/>
      <c r="P42" s="119"/>
      <c r="Q42" s="119"/>
      <c r="R42" s="119"/>
      <c r="S42" s="119"/>
      <c r="T42" s="119"/>
      <c r="U42" s="122"/>
      <c r="V42" s="122"/>
    </row>
    <row r="43" spans="1:22" ht="31.9" customHeight="1" x14ac:dyDescent="0.25">
      <c r="A43" s="400">
        <v>4</v>
      </c>
      <c r="B43" s="335" t="s">
        <v>242</v>
      </c>
      <c r="C43" s="3" t="s">
        <v>6</v>
      </c>
      <c r="D43" s="292">
        <v>0.5</v>
      </c>
      <c r="E43" s="292">
        <v>0.5</v>
      </c>
      <c r="F43" s="291">
        <v>0.27</v>
      </c>
      <c r="G43" s="291">
        <f>F43</f>
        <v>0.27</v>
      </c>
      <c r="H43" s="292">
        <f t="shared" si="2"/>
        <v>54</v>
      </c>
      <c r="I43" s="291"/>
      <c r="J43" s="127"/>
      <c r="K43" s="134"/>
      <c r="L43" s="134"/>
      <c r="M43" s="134"/>
      <c r="N43" s="134"/>
      <c r="O43" s="134"/>
      <c r="P43" s="138"/>
      <c r="Q43" s="138"/>
      <c r="R43" s="138"/>
      <c r="S43" s="138"/>
      <c r="T43" s="138"/>
    </row>
    <row r="44" spans="1:22" ht="31.9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2">
        <f t="shared" si="2"/>
        <v>0</v>
      </c>
      <c r="I44" s="296"/>
      <c r="J44" s="127"/>
      <c r="K44" s="134"/>
      <c r="L44" s="215"/>
      <c r="M44" s="215"/>
      <c r="N44" s="215"/>
      <c r="O44" s="215"/>
      <c r="P44" s="138"/>
      <c r="Q44" s="138"/>
      <c r="R44" s="138"/>
      <c r="S44" s="138"/>
      <c r="T44" s="138"/>
    </row>
    <row r="45" spans="1:22" ht="31.9" customHeight="1" x14ac:dyDescent="0.25">
      <c r="A45" s="5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20">F43*F44/10</f>
        <v>0</v>
      </c>
      <c r="G45" s="296">
        <f t="shared" si="20"/>
        <v>0</v>
      </c>
      <c r="H45" s="292">
        <f t="shared" si="2"/>
        <v>0</v>
      </c>
      <c r="I45" s="296"/>
      <c r="J45" s="127"/>
      <c r="K45" s="216"/>
      <c r="L45" s="155"/>
      <c r="M45" s="155"/>
      <c r="N45" s="155"/>
      <c r="O45" s="138"/>
      <c r="P45" s="138"/>
      <c r="Q45" s="138"/>
      <c r="R45" s="138"/>
      <c r="S45" s="138"/>
      <c r="T45" s="138"/>
    </row>
    <row r="46" spans="1:22" ht="31.9" customHeight="1" x14ac:dyDescent="0.25">
      <c r="A46" s="3">
        <v>5</v>
      </c>
      <c r="B46" s="335" t="s">
        <v>32</v>
      </c>
      <c r="C46" s="3" t="s">
        <v>6</v>
      </c>
      <c r="D46" s="291">
        <f>D47+D55+D64</f>
        <v>40.1</v>
      </c>
      <c r="E46" s="291">
        <f t="shared" ref="E46:G46" si="21">E47+E55+E64</f>
        <v>49</v>
      </c>
      <c r="F46" s="291">
        <f t="shared" si="21"/>
        <v>40.4</v>
      </c>
      <c r="G46" s="291">
        <f t="shared" si="21"/>
        <v>40.4</v>
      </c>
      <c r="H46" s="292">
        <f t="shared" si="2"/>
        <v>82.448979591836732</v>
      </c>
      <c r="I46" s="291"/>
      <c r="J46" s="127"/>
      <c r="K46" s="155"/>
      <c r="L46" s="155"/>
      <c r="M46" s="155"/>
      <c r="N46" s="155"/>
      <c r="O46" s="138"/>
      <c r="P46" s="138"/>
      <c r="Q46" s="138"/>
      <c r="R46" s="138"/>
      <c r="S46" s="138"/>
      <c r="T46" s="138"/>
    </row>
    <row r="47" spans="1:22" ht="31.9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35.6</v>
      </c>
      <c r="E47" s="291">
        <f t="shared" ref="E47:G47" si="22">E48+E49</f>
        <v>43.6</v>
      </c>
      <c r="F47" s="291">
        <f t="shared" si="22"/>
        <v>35.6</v>
      </c>
      <c r="G47" s="291">
        <f t="shared" si="22"/>
        <v>35.6</v>
      </c>
      <c r="H47" s="292">
        <f t="shared" si="2"/>
        <v>81.651376146788991</v>
      </c>
      <c r="I47" s="291"/>
      <c r="J47" s="127"/>
      <c r="K47" s="155"/>
      <c r="L47" s="155"/>
      <c r="M47" s="155"/>
      <c r="N47" s="155"/>
      <c r="O47" s="138"/>
      <c r="P47" s="138"/>
      <c r="Q47" s="138"/>
      <c r="R47" s="138"/>
      <c r="S47" s="138"/>
      <c r="T47" s="138"/>
    </row>
    <row r="48" spans="1:22" ht="31.9" customHeight="1" x14ac:dyDescent="0.25">
      <c r="A48" s="7" t="s">
        <v>24</v>
      </c>
      <c r="B48" s="383" t="s">
        <v>196</v>
      </c>
      <c r="C48" s="384" t="s">
        <v>6</v>
      </c>
      <c r="D48" s="296">
        <v>20.7</v>
      </c>
      <c r="E48" s="296">
        <f>D48+D49</f>
        <v>35.6</v>
      </c>
      <c r="F48" s="296">
        <v>35.6</v>
      </c>
      <c r="G48" s="296">
        <v>35.6</v>
      </c>
      <c r="H48" s="292">
        <f t="shared" si="2"/>
        <v>100</v>
      </c>
      <c r="I48" s="296"/>
      <c r="J48" s="121"/>
      <c r="K48" s="116"/>
      <c r="L48" s="116"/>
      <c r="M48" s="116"/>
      <c r="N48" s="116"/>
      <c r="O48" s="119"/>
      <c r="P48" s="138"/>
      <c r="Q48" s="138"/>
      <c r="R48" s="138"/>
      <c r="S48" s="138"/>
      <c r="T48" s="138"/>
    </row>
    <row r="49" spans="1:20" s="131" customFormat="1" ht="31.9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14.9</v>
      </c>
      <c r="E49" s="291">
        <f t="shared" ref="E49:G49" si="23">E50+E51</f>
        <v>8</v>
      </c>
      <c r="F49" s="291">
        <f t="shared" si="23"/>
        <v>0</v>
      </c>
      <c r="G49" s="291">
        <f t="shared" si="23"/>
        <v>0</v>
      </c>
      <c r="H49" s="292">
        <f t="shared" si="2"/>
        <v>0</v>
      </c>
      <c r="I49" s="291"/>
      <c r="J49" s="213"/>
      <c r="K49" s="228"/>
      <c r="L49" s="228"/>
      <c r="M49" s="228"/>
      <c r="N49" s="228"/>
      <c r="O49" s="143"/>
      <c r="P49" s="143"/>
      <c r="Q49" s="143"/>
      <c r="R49" s="143"/>
      <c r="S49" s="143"/>
      <c r="T49" s="143"/>
    </row>
    <row r="50" spans="1:20" ht="31.9" customHeight="1" x14ac:dyDescent="0.25">
      <c r="A50" s="384" t="s">
        <v>18</v>
      </c>
      <c r="B50" s="386" t="s">
        <v>194</v>
      </c>
      <c r="C50" s="384" t="s">
        <v>6</v>
      </c>
      <c r="D50" s="296">
        <v>14.9</v>
      </c>
      <c r="E50" s="296">
        <v>8</v>
      </c>
      <c r="F50" s="296">
        <v>0</v>
      </c>
      <c r="G50" s="296">
        <v>0</v>
      </c>
      <c r="H50" s="292">
        <f t="shared" si="2"/>
        <v>0</v>
      </c>
      <c r="I50" s="296"/>
      <c r="J50" s="214"/>
      <c r="K50" s="155"/>
      <c r="L50" s="155"/>
      <c r="M50" s="155"/>
      <c r="N50" s="155"/>
      <c r="O50" s="138"/>
      <c r="P50" s="138"/>
      <c r="Q50" s="138"/>
      <c r="R50" s="138"/>
      <c r="S50" s="138"/>
      <c r="T50" s="138"/>
    </row>
    <row r="51" spans="1:20" ht="31.9" customHeight="1" x14ac:dyDescent="0.25">
      <c r="A51" s="384" t="s">
        <v>18</v>
      </c>
      <c r="B51" s="386" t="s">
        <v>35</v>
      </c>
      <c r="C51" s="5" t="s">
        <v>6</v>
      </c>
      <c r="D51" s="296"/>
      <c r="E51" s="296"/>
      <c r="F51" s="296"/>
      <c r="G51" s="296"/>
      <c r="H51" s="292"/>
      <c r="I51" s="296"/>
      <c r="J51" s="127"/>
      <c r="K51" s="155"/>
      <c r="L51" s="155"/>
      <c r="M51" s="155"/>
      <c r="N51" s="155"/>
      <c r="O51" s="138"/>
      <c r="P51" s="138"/>
      <c r="Q51" s="138"/>
      <c r="R51" s="138"/>
      <c r="S51" s="138"/>
      <c r="T51" s="138"/>
    </row>
    <row r="52" spans="1:20" s="131" customFormat="1" ht="31.9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11.46</v>
      </c>
      <c r="E52" s="291">
        <f t="shared" ref="E52:G52" si="24">E53+E54</f>
        <v>17.594999999999999</v>
      </c>
      <c r="F52" s="291">
        <f t="shared" si="24"/>
        <v>17.600000000000001</v>
      </c>
      <c r="G52" s="291">
        <f t="shared" si="24"/>
        <v>17.600000000000001</v>
      </c>
      <c r="H52" s="292">
        <f t="shared" si="2"/>
        <v>100.02841716396705</v>
      </c>
      <c r="I52" s="291"/>
      <c r="J52" s="213"/>
      <c r="K52" s="228"/>
      <c r="L52" s="228"/>
      <c r="M52" s="228"/>
      <c r="N52" s="228"/>
      <c r="O52" s="143"/>
      <c r="P52" s="143"/>
      <c r="Q52" s="143"/>
      <c r="R52" s="143"/>
      <c r="S52" s="143"/>
      <c r="T52" s="143"/>
    </row>
    <row r="53" spans="1:20" ht="31.9" customHeight="1" x14ac:dyDescent="0.25">
      <c r="A53" s="387" t="s">
        <v>18</v>
      </c>
      <c r="B53" s="386" t="s">
        <v>198</v>
      </c>
      <c r="C53" s="5" t="s">
        <v>6</v>
      </c>
      <c r="D53" s="296">
        <f>13.46-5</f>
        <v>8.4600000000000009</v>
      </c>
      <c r="E53" s="296">
        <f>D48*85%</f>
        <v>17.594999999999999</v>
      </c>
      <c r="F53" s="296">
        <v>17.600000000000001</v>
      </c>
      <c r="G53" s="296">
        <v>17.600000000000001</v>
      </c>
      <c r="H53" s="328">
        <f t="shared" si="2"/>
        <v>100.02841716396705</v>
      </c>
      <c r="I53" s="296"/>
      <c r="J53" s="127"/>
      <c r="K53" s="155"/>
      <c r="L53" s="155"/>
      <c r="M53" s="216"/>
      <c r="N53" s="155"/>
      <c r="O53" s="138"/>
      <c r="P53" s="138"/>
      <c r="Q53" s="138"/>
      <c r="R53" s="138"/>
      <c r="S53" s="138"/>
      <c r="T53" s="138"/>
    </row>
    <row r="54" spans="1:20" ht="31.9" customHeight="1" x14ac:dyDescent="0.25">
      <c r="A54" s="5"/>
      <c r="B54" s="386" t="s">
        <v>199</v>
      </c>
      <c r="C54" s="5" t="s">
        <v>6</v>
      </c>
      <c r="D54" s="296">
        <v>3</v>
      </c>
      <c r="E54" s="296"/>
      <c r="F54" s="296"/>
      <c r="G54" s="296"/>
      <c r="H54" s="292"/>
      <c r="I54" s="296"/>
      <c r="J54" s="127"/>
      <c r="K54" s="155"/>
      <c r="L54" s="155"/>
      <c r="M54" s="155"/>
      <c r="N54" s="155"/>
      <c r="O54" s="138"/>
      <c r="P54" s="138"/>
      <c r="Q54" s="138"/>
      <c r="R54" s="138"/>
      <c r="S54" s="138"/>
      <c r="T54" s="138"/>
    </row>
    <row r="55" spans="1:20" ht="31.9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4.5</v>
      </c>
      <c r="E55" s="291">
        <f t="shared" ref="E55:G55" si="25">E56+E57</f>
        <v>5.4</v>
      </c>
      <c r="F55" s="291">
        <f t="shared" si="25"/>
        <v>4.8</v>
      </c>
      <c r="G55" s="291">
        <f t="shared" si="25"/>
        <v>4.8</v>
      </c>
      <c r="H55" s="292">
        <f t="shared" si="2"/>
        <v>88.888888888888886</v>
      </c>
      <c r="I55" s="291"/>
      <c r="J55" s="127"/>
      <c r="K55" s="155"/>
      <c r="L55" s="155"/>
      <c r="M55" s="155"/>
      <c r="N55" s="155"/>
      <c r="O55" s="138"/>
      <c r="P55" s="138"/>
      <c r="Q55" s="138"/>
      <c r="R55" s="138"/>
      <c r="S55" s="138"/>
      <c r="T55" s="138"/>
    </row>
    <row r="56" spans="1:20" ht="31.9" customHeight="1" x14ac:dyDescent="0.25">
      <c r="A56" s="5" t="s">
        <v>24</v>
      </c>
      <c r="B56" s="383" t="s">
        <v>197</v>
      </c>
      <c r="C56" s="5" t="s">
        <v>6</v>
      </c>
      <c r="D56" s="296">
        <v>4.5</v>
      </c>
      <c r="E56" s="296">
        <f>D56+E58</f>
        <v>4.8</v>
      </c>
      <c r="F56" s="296">
        <v>4.8</v>
      </c>
      <c r="G56" s="296">
        <v>4.8</v>
      </c>
      <c r="H56" s="328">
        <f t="shared" si="2"/>
        <v>100</v>
      </c>
      <c r="I56" s="296"/>
      <c r="J56" s="127"/>
      <c r="K56" s="155"/>
      <c r="L56" s="155"/>
      <c r="M56" s="155"/>
      <c r="N56" s="155"/>
      <c r="O56" s="138"/>
      <c r="P56" s="138"/>
      <c r="Q56" s="138"/>
      <c r="R56" s="138"/>
      <c r="S56" s="138"/>
      <c r="T56" s="138"/>
    </row>
    <row r="57" spans="1:20" ht="31.9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0</v>
      </c>
      <c r="E57" s="296">
        <f t="shared" ref="E57:G57" si="26">E58+E61</f>
        <v>0.60000000000000009</v>
      </c>
      <c r="F57" s="296">
        <f t="shared" si="26"/>
        <v>0</v>
      </c>
      <c r="G57" s="296">
        <f t="shared" si="26"/>
        <v>0</v>
      </c>
      <c r="H57" s="292">
        <f t="shared" si="2"/>
        <v>0</v>
      </c>
      <c r="I57" s="296"/>
      <c r="J57" s="127"/>
      <c r="K57" s="155"/>
      <c r="L57" s="155"/>
      <c r="M57" s="155"/>
      <c r="N57" s="155"/>
      <c r="O57" s="138"/>
      <c r="P57" s="138"/>
      <c r="Q57" s="138"/>
      <c r="R57" s="138"/>
      <c r="S57" s="138"/>
      <c r="T57" s="138"/>
    </row>
    <row r="58" spans="1:20" s="149" customFormat="1" ht="31.9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</v>
      </c>
      <c r="E58" s="299">
        <f t="shared" ref="E58:G58" si="27">E59+E60</f>
        <v>0.30000000000000004</v>
      </c>
      <c r="F58" s="299">
        <f t="shared" si="27"/>
        <v>0</v>
      </c>
      <c r="G58" s="299">
        <f t="shared" si="27"/>
        <v>0</v>
      </c>
      <c r="H58" s="292">
        <f t="shared" si="2"/>
        <v>0</v>
      </c>
      <c r="I58" s="299"/>
      <c r="J58" s="217"/>
      <c r="K58" s="142"/>
      <c r="L58" s="142"/>
      <c r="M58" s="142"/>
      <c r="N58" s="142"/>
      <c r="O58" s="142"/>
      <c r="P58" s="156"/>
      <c r="Q58" s="156"/>
      <c r="R58" s="156"/>
      <c r="S58" s="156"/>
      <c r="T58" s="156"/>
    </row>
    <row r="59" spans="1:20" ht="31.9" customHeight="1" x14ac:dyDescent="0.25">
      <c r="A59" s="5" t="s">
        <v>18</v>
      </c>
      <c r="B59" s="383" t="s">
        <v>202</v>
      </c>
      <c r="C59" s="5" t="s">
        <v>6</v>
      </c>
      <c r="D59" s="296"/>
      <c r="E59" s="296">
        <v>0.2</v>
      </c>
      <c r="F59" s="296">
        <v>0</v>
      </c>
      <c r="G59" s="296">
        <v>0</v>
      </c>
      <c r="H59" s="292">
        <f t="shared" si="2"/>
        <v>0</v>
      </c>
      <c r="I59" s="296"/>
      <c r="J59" s="214"/>
      <c r="K59" s="114"/>
      <c r="L59" s="114"/>
      <c r="M59" s="114"/>
      <c r="N59" s="114"/>
      <c r="O59" s="114"/>
      <c r="P59" s="138"/>
      <c r="Q59" s="138"/>
      <c r="R59" s="138"/>
      <c r="S59" s="138"/>
      <c r="T59" s="138"/>
    </row>
    <row r="60" spans="1:20" ht="31.9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0.1</v>
      </c>
      <c r="F60" s="296">
        <v>0</v>
      </c>
      <c r="G60" s="296">
        <v>0</v>
      </c>
      <c r="H60" s="292">
        <f t="shared" si="2"/>
        <v>0</v>
      </c>
      <c r="I60" s="296"/>
      <c r="J60" s="214"/>
      <c r="K60" s="114"/>
      <c r="L60" s="114"/>
      <c r="M60" s="114"/>
      <c r="N60" s="114"/>
      <c r="O60" s="114"/>
      <c r="P60" s="138"/>
      <c r="Q60" s="138"/>
      <c r="R60" s="138"/>
      <c r="S60" s="138"/>
      <c r="T60" s="138"/>
    </row>
    <row r="61" spans="1:20" s="149" customFormat="1" ht="31.9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0</v>
      </c>
      <c r="E61" s="299">
        <f t="shared" ref="E61:G61" si="28">E62+E63</f>
        <v>0.30000000000000004</v>
      </c>
      <c r="F61" s="299">
        <f t="shared" si="28"/>
        <v>0</v>
      </c>
      <c r="G61" s="299">
        <f t="shared" si="28"/>
        <v>0</v>
      </c>
      <c r="H61" s="292">
        <f t="shared" si="2"/>
        <v>0</v>
      </c>
      <c r="I61" s="299"/>
      <c r="J61" s="214"/>
      <c r="K61" s="142"/>
      <c r="L61" s="218"/>
      <c r="M61" s="218"/>
      <c r="N61" s="218"/>
      <c r="O61" s="156"/>
      <c r="P61" s="156"/>
      <c r="Q61" s="156"/>
      <c r="R61" s="156"/>
      <c r="S61" s="156"/>
      <c r="T61" s="156"/>
    </row>
    <row r="62" spans="1:20" ht="31.9" customHeight="1" x14ac:dyDescent="0.25">
      <c r="A62" s="5" t="s">
        <v>18</v>
      </c>
      <c r="B62" s="383" t="s">
        <v>203</v>
      </c>
      <c r="C62" s="5" t="s">
        <v>6</v>
      </c>
      <c r="D62" s="296"/>
      <c r="E62" s="296">
        <v>0.2</v>
      </c>
      <c r="F62" s="296">
        <v>0</v>
      </c>
      <c r="G62" s="296">
        <v>0</v>
      </c>
      <c r="H62" s="292">
        <f t="shared" si="2"/>
        <v>0</v>
      </c>
      <c r="I62" s="296"/>
      <c r="J62" s="214"/>
      <c r="K62" s="114"/>
      <c r="L62" s="114"/>
      <c r="M62" s="114"/>
      <c r="N62" s="114"/>
      <c r="O62" s="114"/>
      <c r="P62" s="138"/>
      <c r="Q62" s="138"/>
      <c r="R62" s="138"/>
      <c r="S62" s="138"/>
      <c r="T62" s="138"/>
    </row>
    <row r="63" spans="1:20" ht="31.9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0.1</v>
      </c>
      <c r="F63" s="296">
        <v>0</v>
      </c>
      <c r="G63" s="296">
        <v>0</v>
      </c>
      <c r="H63" s="292">
        <f t="shared" si="2"/>
        <v>0</v>
      </c>
      <c r="I63" s="296"/>
      <c r="J63" s="214"/>
      <c r="K63" s="114"/>
      <c r="L63" s="114"/>
      <c r="M63" s="114"/>
      <c r="N63" s="114"/>
      <c r="O63" s="114"/>
      <c r="P63" s="138"/>
      <c r="Q63" s="138"/>
      <c r="R63" s="138"/>
      <c r="S63" s="138"/>
      <c r="T63" s="138"/>
    </row>
    <row r="64" spans="1:20" ht="31.9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0</v>
      </c>
      <c r="E64" s="291">
        <f t="shared" ref="E64:G64" si="29">E65+E66</f>
        <v>0</v>
      </c>
      <c r="F64" s="291">
        <f t="shared" si="29"/>
        <v>0</v>
      </c>
      <c r="G64" s="291">
        <f t="shared" si="29"/>
        <v>0</v>
      </c>
      <c r="H64" s="292"/>
      <c r="I64" s="291"/>
      <c r="J64" s="127"/>
      <c r="K64" s="155"/>
      <c r="L64" s="155"/>
      <c r="M64" s="155"/>
      <c r="N64" s="155"/>
      <c r="O64" s="138"/>
      <c r="P64" s="138"/>
      <c r="Q64" s="138"/>
      <c r="R64" s="138"/>
      <c r="S64" s="138"/>
      <c r="T64" s="138"/>
    </row>
    <row r="65" spans="1:20" ht="31.9" customHeight="1" x14ac:dyDescent="0.25">
      <c r="A65" s="5" t="s">
        <v>18</v>
      </c>
      <c r="B65" s="383" t="s">
        <v>196</v>
      </c>
      <c r="C65" s="5" t="s">
        <v>6</v>
      </c>
      <c r="D65" s="296"/>
      <c r="E65" s="296"/>
      <c r="F65" s="296"/>
      <c r="G65" s="296"/>
      <c r="H65" s="292"/>
      <c r="I65" s="296"/>
      <c r="J65" s="127"/>
      <c r="K65" s="155"/>
      <c r="L65" s="155"/>
      <c r="M65" s="155"/>
      <c r="N65" s="155"/>
      <c r="O65" s="138"/>
      <c r="P65" s="138"/>
      <c r="Q65" s="138"/>
      <c r="R65" s="138"/>
      <c r="S65" s="138"/>
      <c r="T65" s="138"/>
    </row>
    <row r="66" spans="1:20" ht="31.9" customHeight="1" x14ac:dyDescent="0.25">
      <c r="A66" s="5" t="s">
        <v>18</v>
      </c>
      <c r="B66" s="337" t="s">
        <v>31</v>
      </c>
      <c r="C66" s="5" t="s">
        <v>6</v>
      </c>
      <c r="D66" s="296"/>
      <c r="E66" s="296"/>
      <c r="F66" s="296"/>
      <c r="G66" s="296"/>
      <c r="H66" s="292"/>
      <c r="I66" s="296"/>
      <c r="J66" s="127"/>
      <c r="K66" s="155"/>
      <c r="L66" s="155"/>
      <c r="M66" s="155"/>
      <c r="N66" s="155"/>
      <c r="O66" s="138"/>
      <c r="P66" s="138"/>
      <c r="Q66" s="138"/>
      <c r="R66" s="138"/>
      <c r="S66" s="138"/>
      <c r="T66" s="138"/>
    </row>
    <row r="67" spans="1:20" ht="31.9" customHeight="1" x14ac:dyDescent="0.25">
      <c r="A67" s="3">
        <v>6</v>
      </c>
      <c r="B67" s="335" t="s">
        <v>38</v>
      </c>
      <c r="C67" s="3" t="s">
        <v>6</v>
      </c>
      <c r="D67" s="291">
        <f>D68+D71</f>
        <v>24.11</v>
      </c>
      <c r="E67" s="291">
        <f t="shared" ref="E67:G67" si="30">E68+E71</f>
        <v>19.279999999999998</v>
      </c>
      <c r="F67" s="291">
        <f t="shared" si="30"/>
        <v>19.04</v>
      </c>
      <c r="G67" s="291">
        <f t="shared" si="30"/>
        <v>19.04</v>
      </c>
      <c r="H67" s="292">
        <f t="shared" si="2"/>
        <v>98.755186721991706</v>
      </c>
      <c r="I67" s="291"/>
      <c r="J67" s="127"/>
      <c r="K67" s="155"/>
      <c r="L67" s="155"/>
      <c r="M67" s="155"/>
      <c r="N67" s="155"/>
      <c r="O67" s="138"/>
      <c r="P67" s="138"/>
      <c r="Q67" s="138"/>
      <c r="R67" s="138"/>
      <c r="S67" s="138"/>
      <c r="T67" s="138"/>
    </row>
    <row r="68" spans="1:20" ht="31.9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0</v>
      </c>
      <c r="E68" s="291">
        <f t="shared" ref="E68:G68" si="31">E69+E70</f>
        <v>0</v>
      </c>
      <c r="F68" s="291">
        <f t="shared" si="31"/>
        <v>0</v>
      </c>
      <c r="G68" s="291">
        <f t="shared" si="31"/>
        <v>0</v>
      </c>
      <c r="H68" s="292"/>
      <c r="I68" s="291"/>
      <c r="J68" s="127"/>
      <c r="K68" s="155"/>
      <c r="L68" s="155"/>
      <c r="M68" s="155"/>
      <c r="N68" s="155"/>
      <c r="O68" s="138"/>
      <c r="P68" s="138"/>
      <c r="Q68" s="138"/>
      <c r="R68" s="138"/>
      <c r="S68" s="138"/>
      <c r="T68" s="138"/>
    </row>
    <row r="69" spans="1:20" ht="31.9" customHeight="1" x14ac:dyDescent="0.25">
      <c r="A69" s="5" t="s">
        <v>18</v>
      </c>
      <c r="B69" s="383" t="s">
        <v>205</v>
      </c>
      <c r="C69" s="5" t="s">
        <v>6</v>
      </c>
      <c r="D69" s="296"/>
      <c r="E69" s="296"/>
      <c r="F69" s="296"/>
      <c r="G69" s="296"/>
      <c r="H69" s="292"/>
      <c r="I69" s="296"/>
      <c r="J69" s="127"/>
      <c r="K69" s="155"/>
      <c r="L69" s="155"/>
      <c r="M69" s="155"/>
      <c r="N69" s="155"/>
      <c r="O69" s="138"/>
      <c r="P69" s="138"/>
      <c r="Q69" s="138"/>
      <c r="R69" s="138"/>
      <c r="S69" s="138"/>
      <c r="T69" s="138"/>
    </row>
    <row r="70" spans="1:20" ht="31.9" customHeight="1" x14ac:dyDescent="0.25">
      <c r="A70" s="5" t="s">
        <v>18</v>
      </c>
      <c r="B70" s="383" t="s">
        <v>206</v>
      </c>
      <c r="C70" s="5" t="s">
        <v>6</v>
      </c>
      <c r="D70" s="296"/>
      <c r="E70" s="296">
        <v>0</v>
      </c>
      <c r="F70" s="296"/>
      <c r="G70" s="296"/>
      <c r="H70" s="292"/>
      <c r="I70" s="296"/>
      <c r="J70" s="127"/>
      <c r="K70" s="116"/>
      <c r="L70" s="116"/>
      <c r="M70" s="245"/>
      <c r="N70" s="155"/>
      <c r="O70" s="138"/>
      <c r="P70" s="138"/>
      <c r="Q70" s="138"/>
      <c r="R70" s="138"/>
      <c r="S70" s="138"/>
      <c r="T70" s="138"/>
    </row>
    <row r="71" spans="1:20" ht="31.9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24.11</v>
      </c>
      <c r="E71" s="291">
        <f t="shared" ref="E71:G71" si="32">E72+E73</f>
        <v>19.279999999999998</v>
      </c>
      <c r="F71" s="291">
        <f t="shared" si="32"/>
        <v>19.04</v>
      </c>
      <c r="G71" s="291">
        <f t="shared" si="32"/>
        <v>19.04</v>
      </c>
      <c r="H71" s="292">
        <f t="shared" si="2"/>
        <v>98.755186721991706</v>
      </c>
      <c r="I71" s="291"/>
      <c r="J71" s="127"/>
      <c r="K71" s="155"/>
      <c r="L71" s="155"/>
      <c r="M71" s="155"/>
      <c r="N71" s="155"/>
      <c r="O71" s="138"/>
      <c r="P71" s="138"/>
      <c r="Q71" s="138"/>
      <c r="R71" s="138"/>
      <c r="S71" s="138"/>
      <c r="T71" s="138"/>
    </row>
    <row r="72" spans="1:20" ht="31.9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23.11</v>
      </c>
      <c r="E72" s="302">
        <f t="shared" ref="E72:G73" si="33">E75+E82</f>
        <v>19.04</v>
      </c>
      <c r="F72" s="302">
        <f t="shared" si="33"/>
        <v>19.04</v>
      </c>
      <c r="G72" s="302">
        <f t="shared" si="33"/>
        <v>19.04</v>
      </c>
      <c r="H72" s="292">
        <f t="shared" si="2"/>
        <v>100</v>
      </c>
      <c r="I72" s="302"/>
      <c r="J72" s="127"/>
      <c r="K72" s="155"/>
      <c r="L72" s="155"/>
      <c r="M72" s="155"/>
      <c r="N72" s="155"/>
      <c r="O72" s="138"/>
      <c r="P72" s="138"/>
      <c r="Q72" s="138"/>
      <c r="R72" s="138"/>
      <c r="S72" s="138"/>
      <c r="T72" s="138"/>
    </row>
    <row r="73" spans="1:20" ht="31.9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1</v>
      </c>
      <c r="E73" s="291">
        <f t="shared" si="33"/>
        <v>0.24</v>
      </c>
      <c r="F73" s="291">
        <f t="shared" si="33"/>
        <v>0</v>
      </c>
      <c r="G73" s="291">
        <f t="shared" si="33"/>
        <v>0</v>
      </c>
      <c r="H73" s="292">
        <f t="shared" si="2"/>
        <v>0</v>
      </c>
      <c r="I73" s="291"/>
      <c r="J73" s="213"/>
      <c r="K73" s="228"/>
      <c r="L73" s="228"/>
      <c r="M73" s="228"/>
      <c r="N73" s="228"/>
      <c r="O73" s="138"/>
      <c r="P73" s="138"/>
      <c r="Q73" s="138"/>
      <c r="R73" s="138"/>
      <c r="S73" s="138"/>
      <c r="T73" s="138"/>
    </row>
    <row r="74" spans="1:20" ht="31.9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18.04</v>
      </c>
      <c r="E74" s="304">
        <f t="shared" ref="E74:G74" si="34">E75+E76</f>
        <v>18.04</v>
      </c>
      <c r="F74" s="304">
        <f t="shared" si="34"/>
        <v>18.04</v>
      </c>
      <c r="G74" s="304">
        <f t="shared" si="34"/>
        <v>18.04</v>
      </c>
      <c r="H74" s="329">
        <f t="shared" ref="H74:H93" si="35">F74/E74*100</f>
        <v>100</v>
      </c>
      <c r="I74" s="304"/>
      <c r="J74" s="144"/>
      <c r="K74" s="229"/>
      <c r="L74" s="150"/>
      <c r="M74" s="150"/>
      <c r="N74" s="150"/>
      <c r="O74" s="150"/>
      <c r="P74" s="150"/>
      <c r="Q74" s="150"/>
      <c r="R74" s="147"/>
      <c r="S74" s="138"/>
      <c r="T74" s="138"/>
    </row>
    <row r="75" spans="1:20" ht="31.9" customHeight="1" x14ac:dyDescent="0.25">
      <c r="A75" s="7" t="s">
        <v>24</v>
      </c>
      <c r="B75" s="391" t="s">
        <v>196</v>
      </c>
      <c r="C75" s="5" t="s">
        <v>6</v>
      </c>
      <c r="D75" s="306">
        <f>14.04+4</f>
        <v>18.04</v>
      </c>
      <c r="E75" s="306">
        <f>D75+D76</f>
        <v>18.04</v>
      </c>
      <c r="F75" s="306">
        <v>18.04</v>
      </c>
      <c r="G75" s="306">
        <v>18.04</v>
      </c>
      <c r="H75" s="328">
        <f t="shared" si="35"/>
        <v>100</v>
      </c>
      <c r="I75" s="296"/>
      <c r="J75" s="127"/>
      <c r="K75" s="155"/>
      <c r="L75" s="132"/>
      <c r="M75" s="132"/>
      <c r="N75" s="132"/>
      <c r="O75" s="147"/>
      <c r="P75" s="147"/>
      <c r="Q75" s="147"/>
      <c r="R75" s="147"/>
      <c r="S75" s="138"/>
      <c r="T75" s="138"/>
    </row>
    <row r="76" spans="1:20" ht="31.9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0</v>
      </c>
      <c r="E76" s="307">
        <f>SUM(E77:E80)</f>
        <v>0</v>
      </c>
      <c r="F76" s="307">
        <f t="shared" ref="F76:G76" si="36">SUM(F77:F80)</f>
        <v>0</v>
      </c>
      <c r="G76" s="307">
        <f t="shared" si="36"/>
        <v>0</v>
      </c>
      <c r="H76" s="292"/>
      <c r="I76" s="307"/>
      <c r="J76" s="217"/>
      <c r="K76" s="218"/>
      <c r="L76" s="142"/>
      <c r="M76" s="142"/>
      <c r="N76" s="142"/>
      <c r="O76" s="147"/>
      <c r="P76" s="147"/>
      <c r="Q76" s="147"/>
      <c r="R76" s="147"/>
      <c r="S76" s="138"/>
      <c r="T76" s="138"/>
    </row>
    <row r="77" spans="1:20" ht="31.9" customHeight="1" x14ac:dyDescent="0.25">
      <c r="A77" s="4" t="s">
        <v>18</v>
      </c>
      <c r="B77" s="393" t="s">
        <v>212</v>
      </c>
      <c r="C77" s="4" t="s">
        <v>6</v>
      </c>
      <c r="D77" s="296"/>
      <c r="E77" s="296"/>
      <c r="F77" s="296"/>
      <c r="G77" s="296"/>
      <c r="H77" s="328"/>
      <c r="I77" s="296"/>
      <c r="J77" s="217"/>
      <c r="K77" s="218"/>
      <c r="L77" s="142"/>
      <c r="M77" s="230"/>
      <c r="N77" s="230"/>
      <c r="O77" s="147"/>
      <c r="P77" s="157"/>
      <c r="Q77" s="157"/>
      <c r="R77" s="147"/>
      <c r="S77" s="138"/>
      <c r="T77" s="138"/>
    </row>
    <row r="78" spans="1:20" ht="31.9" customHeight="1" x14ac:dyDescent="0.25">
      <c r="A78" s="4" t="s">
        <v>18</v>
      </c>
      <c r="B78" s="393" t="s">
        <v>189</v>
      </c>
      <c r="C78" s="4" t="s">
        <v>6</v>
      </c>
      <c r="D78" s="296"/>
      <c r="E78" s="296">
        <v>0</v>
      </c>
      <c r="F78" s="296"/>
      <c r="G78" s="296"/>
      <c r="H78" s="328"/>
      <c r="I78" s="296"/>
      <c r="J78" s="217"/>
      <c r="K78" s="218"/>
      <c r="L78" s="142"/>
      <c r="M78" s="142"/>
      <c r="N78" s="142"/>
      <c r="O78" s="147"/>
      <c r="P78" s="147"/>
      <c r="Q78" s="147"/>
      <c r="R78" s="147"/>
      <c r="S78" s="138"/>
      <c r="T78" s="138"/>
    </row>
    <row r="79" spans="1:20" ht="31.9" customHeight="1" x14ac:dyDescent="0.25">
      <c r="A79" s="4" t="s">
        <v>18</v>
      </c>
      <c r="B79" s="393" t="s">
        <v>190</v>
      </c>
      <c r="C79" s="4" t="s">
        <v>6</v>
      </c>
      <c r="D79" s="296"/>
      <c r="E79" s="296"/>
      <c r="F79" s="296"/>
      <c r="G79" s="296"/>
      <c r="H79" s="328"/>
      <c r="I79" s="296"/>
      <c r="J79" s="217"/>
      <c r="K79" s="218"/>
      <c r="L79" s="142"/>
      <c r="M79" s="142"/>
      <c r="N79" s="142"/>
      <c r="O79" s="147"/>
      <c r="P79" s="147"/>
      <c r="Q79" s="147"/>
      <c r="R79" s="147"/>
      <c r="S79" s="138"/>
      <c r="T79" s="138"/>
    </row>
    <row r="80" spans="1:20" ht="31.9" customHeight="1" x14ac:dyDescent="0.25">
      <c r="A80" s="4" t="s">
        <v>18</v>
      </c>
      <c r="B80" s="394" t="s">
        <v>208</v>
      </c>
      <c r="C80" s="4" t="s">
        <v>6</v>
      </c>
      <c r="D80" s="296"/>
      <c r="E80" s="296"/>
      <c r="F80" s="296"/>
      <c r="G80" s="296"/>
      <c r="H80" s="328"/>
      <c r="I80" s="296"/>
      <c r="J80" s="217"/>
      <c r="K80" s="218"/>
      <c r="L80" s="142"/>
      <c r="M80" s="142"/>
      <c r="N80" s="142"/>
      <c r="O80" s="147"/>
      <c r="P80" s="147"/>
      <c r="Q80" s="147"/>
      <c r="R80" s="147"/>
      <c r="S80" s="138"/>
      <c r="T80" s="138"/>
    </row>
    <row r="81" spans="1:20" s="152" customFormat="1" ht="31.9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6.07</v>
      </c>
      <c r="E81" s="304">
        <f t="shared" ref="E81:G81" si="37">E82+E83</f>
        <v>1.24</v>
      </c>
      <c r="F81" s="304">
        <f t="shared" si="37"/>
        <v>1</v>
      </c>
      <c r="G81" s="304">
        <f t="shared" si="37"/>
        <v>1</v>
      </c>
      <c r="H81" s="292">
        <f t="shared" si="35"/>
        <v>80.645161290322591</v>
      </c>
      <c r="I81" s="304"/>
      <c r="J81" s="144"/>
      <c r="K81" s="229"/>
      <c r="L81" s="150"/>
      <c r="M81" s="150"/>
      <c r="N81" s="150"/>
      <c r="O81" s="150"/>
      <c r="P81" s="150"/>
      <c r="Q81" s="150"/>
      <c r="R81" s="246"/>
      <c r="S81" s="158"/>
      <c r="T81" s="158"/>
    </row>
    <row r="82" spans="1:20" s="149" customFormat="1" ht="31.9" customHeight="1" x14ac:dyDescent="0.25">
      <c r="A82" s="392" t="s">
        <v>18</v>
      </c>
      <c r="B82" s="393" t="s">
        <v>188</v>
      </c>
      <c r="C82" s="4" t="s">
        <v>6</v>
      </c>
      <c r="D82" s="299">
        <v>5.07</v>
      </c>
      <c r="E82" s="299">
        <v>1</v>
      </c>
      <c r="F82" s="299">
        <v>1</v>
      </c>
      <c r="G82" s="299">
        <v>1</v>
      </c>
      <c r="H82" s="328">
        <f t="shared" si="35"/>
        <v>100</v>
      </c>
      <c r="I82" s="299"/>
      <c r="J82" s="217"/>
      <c r="K82" s="247"/>
      <c r="L82" s="142"/>
      <c r="M82" s="142"/>
      <c r="N82" s="142"/>
      <c r="O82" s="159"/>
      <c r="P82" s="159"/>
      <c r="Q82" s="159"/>
      <c r="R82" s="159"/>
      <c r="S82" s="156"/>
      <c r="T82" s="156"/>
    </row>
    <row r="83" spans="1:20" ht="31.9" customHeight="1" x14ac:dyDescent="0.25">
      <c r="A83" s="392" t="s">
        <v>15</v>
      </c>
      <c r="B83" s="389" t="s">
        <v>210</v>
      </c>
      <c r="C83" s="5" t="s">
        <v>6</v>
      </c>
      <c r="D83" s="306">
        <f t="shared" ref="D83:G83" si="38">SUM(D84:D87)</f>
        <v>1</v>
      </c>
      <c r="E83" s="306">
        <f>SUM(E84:E87)</f>
        <v>0.24</v>
      </c>
      <c r="F83" s="306">
        <f t="shared" si="38"/>
        <v>0</v>
      </c>
      <c r="G83" s="306">
        <f t="shared" si="38"/>
        <v>0</v>
      </c>
      <c r="H83" s="292">
        <f t="shared" si="35"/>
        <v>0</v>
      </c>
      <c r="I83" s="306"/>
      <c r="J83" s="217"/>
      <c r="K83" s="218"/>
      <c r="L83" s="218"/>
      <c r="M83" s="218"/>
      <c r="N83" s="218"/>
      <c r="O83" s="138"/>
      <c r="P83" s="138"/>
      <c r="Q83" s="138"/>
      <c r="R83" s="138"/>
      <c r="S83" s="138"/>
      <c r="T83" s="138"/>
    </row>
    <row r="84" spans="1:20" ht="31.9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292"/>
      <c r="I84" s="296"/>
      <c r="J84" s="219"/>
      <c r="K84" s="142"/>
      <c r="L84" s="142"/>
      <c r="M84" s="142"/>
      <c r="N84" s="142"/>
      <c r="O84" s="138"/>
      <c r="P84" s="138"/>
      <c r="Q84" s="138"/>
      <c r="R84" s="138"/>
      <c r="S84" s="138"/>
      <c r="T84" s="138"/>
    </row>
    <row r="85" spans="1:20" ht="31.9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292"/>
      <c r="I85" s="296"/>
      <c r="J85" s="219"/>
      <c r="K85" s="142"/>
      <c r="L85" s="142"/>
      <c r="M85" s="142"/>
      <c r="N85" s="142"/>
      <c r="O85" s="138"/>
      <c r="P85" s="138"/>
      <c r="Q85" s="138"/>
      <c r="R85" s="138"/>
      <c r="S85" s="138"/>
      <c r="T85" s="138"/>
    </row>
    <row r="86" spans="1:20" ht="31.9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292"/>
      <c r="I86" s="296"/>
      <c r="J86" s="219"/>
      <c r="K86" s="142"/>
      <c r="L86" s="142"/>
      <c r="M86" s="142"/>
      <c r="N86" s="147"/>
      <c r="O86" s="147"/>
      <c r="P86" s="147"/>
      <c r="Q86" s="147"/>
      <c r="R86" s="138"/>
      <c r="S86" s="138"/>
      <c r="T86" s="138"/>
    </row>
    <row r="87" spans="1:20" ht="31.9" customHeight="1" x14ac:dyDescent="0.25">
      <c r="A87" s="392" t="s">
        <v>18</v>
      </c>
      <c r="B87" s="393" t="s">
        <v>193</v>
      </c>
      <c r="C87" s="4" t="s">
        <v>6</v>
      </c>
      <c r="D87" s="296">
        <v>1</v>
      </c>
      <c r="E87" s="296">
        <v>0.24</v>
      </c>
      <c r="F87" s="296">
        <v>0</v>
      </c>
      <c r="G87" s="296">
        <v>0</v>
      </c>
      <c r="H87" s="292">
        <f t="shared" si="35"/>
        <v>0</v>
      </c>
      <c r="I87" s="296"/>
      <c r="J87" s="219"/>
      <c r="K87" s="142"/>
      <c r="L87" s="142"/>
      <c r="M87" s="230"/>
      <c r="N87" s="230"/>
      <c r="O87" s="157"/>
      <c r="P87" s="157"/>
      <c r="Q87" s="157"/>
      <c r="R87" s="157"/>
      <c r="S87" s="138"/>
      <c r="T87" s="138"/>
    </row>
    <row r="88" spans="1:20" ht="31.9" customHeight="1" x14ac:dyDescent="0.25">
      <c r="A88" s="3" t="s">
        <v>44</v>
      </c>
      <c r="B88" s="334" t="s">
        <v>45</v>
      </c>
      <c r="C88" s="3"/>
      <c r="D88" s="291">
        <f>SUM(D89:D93)</f>
        <v>567</v>
      </c>
      <c r="E88" s="291">
        <f t="shared" ref="E88:G88" si="39">SUM(E89:E93)</f>
        <v>548</v>
      </c>
      <c r="F88" s="291">
        <f>SUM(F89:F93)</f>
        <v>459</v>
      </c>
      <c r="G88" s="291">
        <f t="shared" si="39"/>
        <v>459</v>
      </c>
      <c r="H88" s="292">
        <f t="shared" si="35"/>
        <v>83.759124087591246</v>
      </c>
      <c r="I88" s="291"/>
      <c r="J88" s="128"/>
      <c r="K88" s="132"/>
      <c r="L88" s="136"/>
      <c r="M88" s="136"/>
      <c r="N88" s="132"/>
      <c r="O88" s="138"/>
      <c r="P88" s="138"/>
      <c r="Q88" s="138"/>
      <c r="R88" s="138"/>
      <c r="S88" s="138"/>
      <c r="T88" s="138"/>
    </row>
    <row r="89" spans="1:20" s="194" customFormat="1" ht="31.9" customHeight="1" x14ac:dyDescent="0.25">
      <c r="A89" s="5">
        <v>1</v>
      </c>
      <c r="B89" s="337" t="s">
        <v>46</v>
      </c>
      <c r="C89" s="5" t="s">
        <v>8</v>
      </c>
      <c r="D89" s="296">
        <v>53</v>
      </c>
      <c r="E89" s="296">
        <f>95+51</f>
        <v>146</v>
      </c>
      <c r="F89" s="296">
        <v>144</v>
      </c>
      <c r="G89" s="296">
        <f>F89</f>
        <v>144</v>
      </c>
      <c r="H89" s="328">
        <f t="shared" si="35"/>
        <v>98.630136986301366</v>
      </c>
      <c r="I89" s="296"/>
      <c r="J89" s="222"/>
      <c r="K89" s="171"/>
      <c r="L89" s="318"/>
      <c r="M89" s="319"/>
      <c r="N89" s="231"/>
      <c r="O89" s="202"/>
      <c r="P89" s="202"/>
      <c r="Q89" s="202"/>
      <c r="R89" s="202"/>
      <c r="S89" s="202"/>
      <c r="T89" s="202"/>
    </row>
    <row r="90" spans="1:20" s="194" customFormat="1" ht="31.9" customHeight="1" x14ac:dyDescent="0.25">
      <c r="A90" s="5">
        <v>2</v>
      </c>
      <c r="B90" s="337" t="s">
        <v>47</v>
      </c>
      <c r="C90" s="5" t="s">
        <v>8</v>
      </c>
      <c r="D90" s="296">
        <f>88-5</f>
        <v>83</v>
      </c>
      <c r="E90" s="296">
        <f>40+6</f>
        <v>46</v>
      </c>
      <c r="F90" s="296">
        <v>43</v>
      </c>
      <c r="G90" s="296">
        <f>F90</f>
        <v>43</v>
      </c>
      <c r="H90" s="328">
        <f t="shared" si="35"/>
        <v>93.478260869565219</v>
      </c>
      <c r="I90" s="296"/>
      <c r="J90" s="222"/>
      <c r="K90" s="171"/>
      <c r="L90" s="318"/>
      <c r="M90" s="319"/>
      <c r="N90" s="231"/>
      <c r="O90" s="202"/>
      <c r="P90" s="202"/>
      <c r="Q90" s="202"/>
      <c r="R90" s="202"/>
      <c r="S90" s="202"/>
      <c r="T90" s="202"/>
    </row>
    <row r="91" spans="1:20" s="194" customFormat="1" ht="31.9" customHeight="1" x14ac:dyDescent="0.25">
      <c r="A91" s="5">
        <v>3</v>
      </c>
      <c r="B91" s="337" t="s">
        <v>48</v>
      </c>
      <c r="C91" s="5" t="s">
        <v>8</v>
      </c>
      <c r="D91" s="296">
        <f>50-5</f>
        <v>45</v>
      </c>
      <c r="E91" s="296">
        <f>20+6</f>
        <v>26</v>
      </c>
      <c r="F91" s="296">
        <v>22</v>
      </c>
      <c r="G91" s="296">
        <f>F91</f>
        <v>22</v>
      </c>
      <c r="H91" s="328">
        <f t="shared" si="35"/>
        <v>84.615384615384613</v>
      </c>
      <c r="I91" s="296"/>
      <c r="J91" s="222"/>
      <c r="K91" s="171"/>
      <c r="L91" s="318"/>
      <c r="M91" s="319"/>
      <c r="N91" s="231"/>
      <c r="O91" s="202"/>
      <c r="P91" s="202"/>
      <c r="Q91" s="202"/>
      <c r="R91" s="202"/>
      <c r="S91" s="202"/>
      <c r="T91" s="202"/>
    </row>
    <row r="92" spans="1:20" ht="31.9" customHeight="1" x14ac:dyDescent="0.25">
      <c r="A92" s="5">
        <v>4</v>
      </c>
      <c r="B92" s="337" t="s">
        <v>49</v>
      </c>
      <c r="C92" s="5" t="s">
        <v>8</v>
      </c>
      <c r="D92" s="296"/>
      <c r="E92" s="296">
        <v>0</v>
      </c>
      <c r="F92" s="296"/>
      <c r="G92" s="296"/>
      <c r="H92" s="292"/>
      <c r="I92" s="296"/>
      <c r="J92" s="128"/>
      <c r="K92" s="116"/>
      <c r="L92" s="320"/>
      <c r="M92" s="319"/>
      <c r="N92" s="132"/>
      <c r="O92" s="138"/>
      <c r="P92" s="138"/>
      <c r="Q92" s="138"/>
      <c r="R92" s="138"/>
      <c r="S92" s="138"/>
      <c r="T92" s="138"/>
    </row>
    <row r="93" spans="1:20" s="194" customFormat="1" ht="31.9" customHeight="1" x14ac:dyDescent="0.25">
      <c r="A93" s="5">
        <v>5</v>
      </c>
      <c r="B93" s="337" t="s">
        <v>50</v>
      </c>
      <c r="C93" s="5" t="s">
        <v>8</v>
      </c>
      <c r="D93" s="296">
        <v>386</v>
      </c>
      <c r="E93" s="296">
        <f>365-35</f>
        <v>330</v>
      </c>
      <c r="F93" s="296">
        <v>250</v>
      </c>
      <c r="G93" s="296">
        <f>F93</f>
        <v>250</v>
      </c>
      <c r="H93" s="328">
        <f t="shared" si="35"/>
        <v>75.757575757575751</v>
      </c>
      <c r="I93" s="296"/>
      <c r="J93" s="267"/>
      <c r="K93" s="215"/>
      <c r="L93" s="320"/>
      <c r="M93" s="319"/>
      <c r="N93" s="231"/>
      <c r="O93" s="202"/>
      <c r="P93" s="202"/>
      <c r="Q93" s="202"/>
      <c r="R93" s="202"/>
      <c r="S93" s="202"/>
      <c r="T93" s="202"/>
    </row>
    <row r="94" spans="1:20" s="131" customFormat="1" ht="31.9" customHeight="1" x14ac:dyDescent="0.25">
      <c r="A94" s="3" t="s">
        <v>51</v>
      </c>
      <c r="B94" s="335" t="s">
        <v>52</v>
      </c>
      <c r="C94" s="3" t="s">
        <v>6</v>
      </c>
      <c r="D94" s="291">
        <f>D95</f>
        <v>0</v>
      </c>
      <c r="E94" s="291">
        <f t="shared" ref="E94:G94" si="40">E95</f>
        <v>0</v>
      </c>
      <c r="F94" s="291">
        <f t="shared" si="40"/>
        <v>0</v>
      </c>
      <c r="G94" s="291">
        <f t="shared" si="40"/>
        <v>0</v>
      </c>
      <c r="H94" s="292"/>
      <c r="I94" s="291"/>
      <c r="J94" s="130"/>
      <c r="K94" s="129"/>
      <c r="L94" s="129"/>
      <c r="M94" s="129"/>
      <c r="N94" s="129"/>
      <c r="O94" s="143"/>
      <c r="P94" s="143"/>
      <c r="Q94" s="143"/>
      <c r="R94" s="143"/>
      <c r="S94" s="143"/>
      <c r="T94" s="143"/>
    </row>
    <row r="95" spans="1:20" ht="31.9" customHeight="1" x14ac:dyDescent="0.25">
      <c r="A95" s="4" t="s">
        <v>18</v>
      </c>
      <c r="B95" s="389" t="s">
        <v>53</v>
      </c>
      <c r="C95" s="4" t="s">
        <v>6</v>
      </c>
      <c r="D95" s="296"/>
      <c r="E95" s="296"/>
      <c r="F95" s="296"/>
      <c r="G95" s="296"/>
      <c r="H95" s="292"/>
      <c r="I95" s="296"/>
      <c r="J95" s="214"/>
      <c r="K95" s="132"/>
      <c r="L95" s="132"/>
      <c r="M95" s="132"/>
      <c r="N95" s="132"/>
      <c r="O95" s="138"/>
      <c r="P95" s="138"/>
      <c r="Q95" s="138"/>
      <c r="R95" s="138"/>
      <c r="S95" s="138"/>
      <c r="T95" s="138"/>
    </row>
    <row r="96" spans="1:20" ht="31.9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0</v>
      </c>
      <c r="E96" s="291">
        <f t="shared" ref="E96:G96" si="41">E97+E98</f>
        <v>0</v>
      </c>
      <c r="F96" s="291">
        <f t="shared" si="41"/>
        <v>0</v>
      </c>
      <c r="G96" s="291">
        <f t="shared" si="41"/>
        <v>0</v>
      </c>
      <c r="H96" s="292"/>
      <c r="I96" s="291"/>
      <c r="J96" s="128"/>
      <c r="K96" s="132"/>
      <c r="L96" s="132"/>
      <c r="M96" s="132"/>
      <c r="N96" s="132"/>
      <c r="O96" s="138"/>
      <c r="P96" s="138"/>
      <c r="Q96" s="138"/>
      <c r="R96" s="138"/>
      <c r="S96" s="138"/>
      <c r="T96" s="138"/>
    </row>
    <row r="97" spans="1:20" ht="31.9" customHeight="1" x14ac:dyDescent="0.25">
      <c r="A97" s="5" t="s">
        <v>18</v>
      </c>
      <c r="B97" s="391" t="s">
        <v>213</v>
      </c>
      <c r="C97" s="4" t="s">
        <v>6</v>
      </c>
      <c r="D97" s="296"/>
      <c r="E97" s="296"/>
      <c r="F97" s="296"/>
      <c r="G97" s="296"/>
      <c r="H97" s="292"/>
      <c r="I97" s="296"/>
      <c r="J97" s="128"/>
      <c r="K97" s="132"/>
      <c r="L97" s="132"/>
      <c r="M97" s="132"/>
      <c r="N97" s="132"/>
      <c r="O97" s="138"/>
      <c r="P97" s="138"/>
      <c r="Q97" s="138"/>
      <c r="R97" s="138"/>
      <c r="S97" s="138"/>
      <c r="T97" s="138"/>
    </row>
    <row r="98" spans="1:20" ht="31.9" customHeight="1" x14ac:dyDescent="0.25">
      <c r="A98" s="395" t="s">
        <v>18</v>
      </c>
      <c r="B98" s="391" t="s">
        <v>56</v>
      </c>
      <c r="C98" s="4" t="s">
        <v>6</v>
      </c>
      <c r="D98" s="296"/>
      <c r="E98" s="296"/>
      <c r="F98" s="296"/>
      <c r="G98" s="296"/>
      <c r="H98" s="292"/>
      <c r="I98" s="296"/>
      <c r="J98" s="128"/>
      <c r="K98" s="132"/>
      <c r="L98" s="132"/>
      <c r="M98" s="132"/>
      <c r="N98" s="132"/>
      <c r="O98" s="138"/>
      <c r="P98" s="138"/>
      <c r="Q98" s="138"/>
      <c r="R98" s="138"/>
      <c r="S98" s="138"/>
      <c r="T98" s="138"/>
    </row>
    <row r="99" spans="1:20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55"/>
      <c r="L99" s="155"/>
      <c r="M99" s="155"/>
      <c r="N99" s="155"/>
      <c r="O99" s="138"/>
      <c r="P99" s="138"/>
      <c r="Q99" s="138"/>
      <c r="R99" s="138"/>
      <c r="S99" s="138"/>
      <c r="T99" s="138"/>
    </row>
    <row r="100" spans="1:20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55"/>
      <c r="L100" s="155"/>
      <c r="M100" s="155"/>
      <c r="N100" s="155"/>
      <c r="O100" s="138"/>
      <c r="P100" s="138"/>
      <c r="Q100" s="138"/>
      <c r="R100" s="138"/>
      <c r="S100" s="138"/>
      <c r="T100" s="138"/>
    </row>
    <row r="101" spans="1:20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55"/>
      <c r="L101" s="155"/>
      <c r="M101" s="155"/>
      <c r="N101" s="155"/>
      <c r="O101" s="138"/>
      <c r="P101" s="138"/>
      <c r="Q101" s="138"/>
      <c r="R101" s="138"/>
      <c r="S101" s="138"/>
      <c r="T101" s="138"/>
    </row>
    <row r="102" spans="1:20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55"/>
      <c r="L102" s="155"/>
      <c r="M102" s="155"/>
      <c r="N102" s="155"/>
      <c r="O102" s="138"/>
      <c r="P102" s="138"/>
      <c r="Q102" s="138"/>
      <c r="R102" s="138"/>
      <c r="S102" s="138"/>
      <c r="T102" s="138"/>
    </row>
    <row r="103" spans="1:20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55"/>
      <c r="L103" s="155"/>
      <c r="M103" s="155"/>
      <c r="N103" s="155"/>
      <c r="O103" s="138"/>
      <c r="P103" s="138"/>
      <c r="Q103" s="138"/>
      <c r="R103" s="138"/>
      <c r="S103" s="138"/>
      <c r="T103" s="138"/>
    </row>
    <row r="104" spans="1:20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55"/>
      <c r="L104" s="155"/>
      <c r="M104" s="155"/>
      <c r="N104" s="155"/>
      <c r="O104" s="138"/>
      <c r="P104" s="138"/>
      <c r="Q104" s="138"/>
      <c r="R104" s="138"/>
      <c r="S104" s="138"/>
      <c r="T104" s="138"/>
    </row>
    <row r="105" spans="1:20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55"/>
      <c r="L105" s="155"/>
      <c r="M105" s="155"/>
      <c r="N105" s="155"/>
      <c r="O105" s="138"/>
      <c r="P105" s="138"/>
      <c r="Q105" s="138"/>
      <c r="R105" s="138"/>
      <c r="S105" s="138"/>
      <c r="T105" s="138"/>
    </row>
    <row r="106" spans="1:20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55"/>
      <c r="L106" s="155"/>
      <c r="M106" s="155"/>
      <c r="N106" s="155"/>
      <c r="O106" s="138"/>
      <c r="P106" s="138"/>
      <c r="Q106" s="138"/>
      <c r="R106" s="138"/>
      <c r="S106" s="138"/>
      <c r="T106" s="138"/>
    </row>
    <row r="107" spans="1:20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55"/>
      <c r="L107" s="155"/>
      <c r="M107" s="155"/>
      <c r="N107" s="155"/>
      <c r="O107" s="138"/>
      <c r="P107" s="138"/>
      <c r="Q107" s="138"/>
      <c r="R107" s="138"/>
      <c r="S107" s="138"/>
      <c r="T107" s="138"/>
    </row>
    <row r="108" spans="1:20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55"/>
      <c r="L108" s="155"/>
      <c r="M108" s="155"/>
      <c r="N108" s="155"/>
      <c r="O108" s="138"/>
      <c r="P108" s="138"/>
      <c r="Q108" s="138"/>
      <c r="R108" s="138"/>
      <c r="S108" s="138"/>
      <c r="T108" s="138"/>
    </row>
    <row r="109" spans="1:20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  <c r="N109" s="127"/>
    </row>
    <row r="110" spans="1:20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  <c r="N110" s="127"/>
    </row>
    <row r="111" spans="1:20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  <c r="N111" s="127"/>
    </row>
    <row r="112" spans="1:20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  <c r="N112" s="127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I7:I8"/>
    <mergeCell ref="E7:H7"/>
    <mergeCell ref="A5:I5"/>
  </mergeCells>
  <pageMargins left="0.43307086614173229" right="0.35433070866141736" top="0.51181102362204722" bottom="0.43307086614173229" header="0" footer="0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84"/>
  <sheetViews>
    <sheetView zoomScaleNormal="100" workbookViewId="0">
      <pane ySplit="8" topLeftCell="A49" activePane="bottomLeft" state="frozen"/>
      <selection pane="bottomLeft" activeCell="B7" sqref="B7:B8"/>
    </sheetView>
  </sheetViews>
  <sheetFormatPr defaultColWidth="11.21875" defaultRowHeight="15" customHeight="1" x14ac:dyDescent="0.25"/>
  <cols>
    <col min="1" max="1" width="7.6640625" style="330" customWidth="1"/>
    <col min="2" max="2" width="30.33203125" style="330" customWidth="1"/>
    <col min="3" max="3" width="9.77734375" style="330" customWidth="1"/>
    <col min="4" max="5" width="18.109375" style="330" customWidth="1"/>
    <col min="6" max="8" width="12.6640625" style="330" customWidth="1"/>
    <col min="9" max="9" width="11.21875" style="330" customWidth="1"/>
    <col min="10" max="10" width="8.88671875" style="125" customWidth="1"/>
    <col min="11" max="11" width="19.33203125" style="125" customWidth="1"/>
    <col min="12" max="14" width="8.88671875" style="125" customWidth="1"/>
    <col min="15" max="16384" width="11.21875" style="125"/>
  </cols>
  <sheetData>
    <row r="1" spans="1:18" ht="15" customHeight="1" x14ac:dyDescent="0.25">
      <c r="H1" s="409"/>
      <c r="I1" s="409"/>
    </row>
    <row r="2" spans="1:18" ht="16.5" x14ac:dyDescent="0.25">
      <c r="A2" s="410"/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  <c r="N2" s="127"/>
    </row>
    <row r="3" spans="1:18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18" ht="16.5" x14ac:dyDescent="0.25">
      <c r="A4" s="405" t="s">
        <v>228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18" ht="16.5" x14ac:dyDescent="0.25">
      <c r="A5" s="417" t="str">
        <f>'TU CẤP(5)'!A5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18" ht="16.5" x14ac:dyDescent="0.25">
      <c r="A6" s="376"/>
      <c r="B6" s="376"/>
      <c r="C6" s="376"/>
      <c r="D6" s="377"/>
      <c r="E6" s="377"/>
      <c r="F6" s="377"/>
      <c r="G6" s="377"/>
      <c r="H6" s="377"/>
      <c r="I6" s="377"/>
      <c r="J6" s="127"/>
      <c r="K6" s="127"/>
      <c r="L6" s="127"/>
      <c r="M6" s="127"/>
      <c r="N6" s="127"/>
    </row>
    <row r="7" spans="1:18" ht="33.6" customHeight="1" x14ac:dyDescent="0.25">
      <c r="A7" s="412" t="s">
        <v>10</v>
      </c>
      <c r="B7" s="412" t="s">
        <v>1</v>
      </c>
      <c r="C7" s="412" t="s">
        <v>11</v>
      </c>
      <c r="D7" s="414" t="s">
        <v>222</v>
      </c>
      <c r="E7" s="416" t="s">
        <v>256</v>
      </c>
      <c r="F7" s="418"/>
      <c r="G7" s="418"/>
      <c r="H7" s="419"/>
      <c r="I7" s="407" t="s">
        <v>259</v>
      </c>
      <c r="J7" s="127"/>
      <c r="K7" s="153" t="s">
        <v>215</v>
      </c>
      <c r="L7" s="174">
        <v>38</v>
      </c>
      <c r="M7" s="127"/>
      <c r="N7" s="127"/>
    </row>
    <row r="8" spans="1:18" ht="33.6" customHeight="1" x14ac:dyDescent="0.25">
      <c r="A8" s="413"/>
      <c r="B8" s="413"/>
      <c r="C8" s="413"/>
      <c r="D8" s="415"/>
      <c r="E8" s="331" t="s">
        <v>257</v>
      </c>
      <c r="F8" s="331" t="s">
        <v>261</v>
      </c>
      <c r="G8" s="331" t="s">
        <v>263</v>
      </c>
      <c r="H8" s="331" t="s">
        <v>258</v>
      </c>
      <c r="I8" s="423"/>
      <c r="J8" s="127"/>
      <c r="K8" s="153" t="s">
        <v>216</v>
      </c>
      <c r="L8" s="174">
        <v>143</v>
      </c>
      <c r="M8" s="127"/>
      <c r="N8" s="127"/>
    </row>
    <row r="9" spans="1:18" s="131" customFormat="1" ht="31.9" customHeight="1" x14ac:dyDescent="0.25">
      <c r="A9" s="3" t="s">
        <v>12</v>
      </c>
      <c r="B9" s="335" t="s">
        <v>13</v>
      </c>
      <c r="C9" s="3" t="s">
        <v>6</v>
      </c>
      <c r="D9" s="291">
        <f>D13+D28+D37+D43+D46+D67</f>
        <v>71.73</v>
      </c>
      <c r="E9" s="291">
        <f t="shared" ref="E9:G9" si="0">E13+E28+E37+E43+E46+E67</f>
        <v>75.790000000000006</v>
      </c>
      <c r="F9" s="291">
        <f t="shared" si="0"/>
        <v>47.97</v>
      </c>
      <c r="G9" s="291">
        <f t="shared" si="0"/>
        <v>47.97</v>
      </c>
      <c r="H9" s="291">
        <f>F9/E9*100</f>
        <v>63.293310463121777</v>
      </c>
      <c r="I9" s="291"/>
      <c r="J9" s="213"/>
      <c r="K9" s="213"/>
      <c r="L9" s="213"/>
      <c r="M9" s="213"/>
      <c r="N9" s="213"/>
    </row>
    <row r="10" spans="1:18" s="131" customFormat="1" ht="31.9" customHeight="1" x14ac:dyDescent="0.25">
      <c r="A10" s="3">
        <v>1</v>
      </c>
      <c r="B10" s="335" t="s">
        <v>14</v>
      </c>
      <c r="C10" s="3" t="s">
        <v>6</v>
      </c>
      <c r="D10" s="291">
        <f>D13+D28</f>
        <v>1</v>
      </c>
      <c r="E10" s="291">
        <f t="shared" ref="E10:G10" si="1">E13+E28</f>
        <v>7.57</v>
      </c>
      <c r="F10" s="291">
        <f t="shared" si="1"/>
        <v>1.17</v>
      </c>
      <c r="G10" s="291">
        <f t="shared" si="1"/>
        <v>1.17</v>
      </c>
      <c r="H10" s="291">
        <f t="shared" ref="H10:H73" si="2">F10/E10*100</f>
        <v>15.455746367239101</v>
      </c>
      <c r="I10" s="291"/>
      <c r="J10" s="213"/>
      <c r="K10" s="213"/>
      <c r="L10" s="213"/>
      <c r="M10" s="213"/>
      <c r="N10" s="213"/>
    </row>
    <row r="11" spans="1:18" s="131" customFormat="1" ht="31.9" customHeight="1" x14ac:dyDescent="0.25">
      <c r="A11" s="3"/>
      <c r="B11" s="334" t="s">
        <v>16</v>
      </c>
      <c r="C11" s="3" t="s">
        <v>17</v>
      </c>
      <c r="D11" s="296">
        <f>D12+D30</f>
        <v>3.6850000000000001</v>
      </c>
      <c r="E11" s="296">
        <f t="shared" ref="E11:G11" si="3">E12+E30</f>
        <v>28.313100000000002</v>
      </c>
      <c r="F11" s="296">
        <f t="shared" si="3"/>
        <v>0</v>
      </c>
      <c r="G11" s="296">
        <f t="shared" si="3"/>
        <v>0</v>
      </c>
      <c r="H11" s="291">
        <f t="shared" si="2"/>
        <v>0</v>
      </c>
      <c r="I11" s="296"/>
      <c r="J11" s="213"/>
      <c r="K11" s="213"/>
      <c r="L11" s="213"/>
      <c r="M11" s="213"/>
      <c r="N11" s="213"/>
    </row>
    <row r="12" spans="1:18" s="131" customFormat="1" ht="31.9" customHeight="1" x14ac:dyDescent="0.25">
      <c r="A12" s="3"/>
      <c r="B12" s="335" t="s">
        <v>221</v>
      </c>
      <c r="C12" s="3" t="s">
        <v>17</v>
      </c>
      <c r="D12" s="296">
        <f>D15</f>
        <v>0</v>
      </c>
      <c r="E12" s="296">
        <f t="shared" ref="E12:G12" si="4">E15</f>
        <v>24.623100000000001</v>
      </c>
      <c r="F12" s="296">
        <f t="shared" si="4"/>
        <v>0</v>
      </c>
      <c r="G12" s="296">
        <f t="shared" si="4"/>
        <v>0</v>
      </c>
      <c r="H12" s="291">
        <f t="shared" si="2"/>
        <v>0</v>
      </c>
      <c r="I12" s="296"/>
      <c r="J12" s="213"/>
      <c r="K12" s="213"/>
      <c r="L12" s="213"/>
      <c r="M12" s="213"/>
      <c r="N12" s="213"/>
    </row>
    <row r="13" spans="1:18" ht="31.9" customHeight="1" x14ac:dyDescent="0.25">
      <c r="A13" s="3" t="s">
        <v>5</v>
      </c>
      <c r="B13" s="335" t="s">
        <v>19</v>
      </c>
      <c r="C13" s="3" t="s">
        <v>6</v>
      </c>
      <c r="D13" s="291">
        <f>D16+D19</f>
        <v>0</v>
      </c>
      <c r="E13" s="291">
        <f t="shared" ref="E13:G13" si="5">E16+E19</f>
        <v>6.57</v>
      </c>
      <c r="F13" s="291">
        <f t="shared" si="5"/>
        <v>1.17</v>
      </c>
      <c r="G13" s="291">
        <f t="shared" si="5"/>
        <v>1.17</v>
      </c>
      <c r="H13" s="291">
        <f t="shared" si="2"/>
        <v>17.80821917808219</v>
      </c>
      <c r="I13" s="291"/>
      <c r="J13" s="127"/>
      <c r="K13" s="243"/>
      <c r="L13" s="243"/>
      <c r="M13" s="243"/>
      <c r="N13" s="127"/>
    </row>
    <row r="14" spans="1:18" ht="31.9" customHeight="1" x14ac:dyDescent="0.25">
      <c r="A14" s="3"/>
      <c r="B14" s="337" t="s">
        <v>218</v>
      </c>
      <c r="C14" s="5" t="s">
        <v>219</v>
      </c>
      <c r="D14" s="296"/>
      <c r="E14" s="296">
        <f t="shared" ref="E14:G14" si="6">E15/E13*10</f>
        <v>37.478082191780821</v>
      </c>
      <c r="F14" s="296">
        <f t="shared" si="6"/>
        <v>0</v>
      </c>
      <c r="G14" s="296">
        <f t="shared" si="6"/>
        <v>0</v>
      </c>
      <c r="H14" s="291">
        <f t="shared" si="2"/>
        <v>0</v>
      </c>
      <c r="I14" s="296"/>
      <c r="J14" s="127"/>
      <c r="K14" s="127"/>
      <c r="L14" s="127"/>
      <c r="M14" s="127"/>
      <c r="N14" s="127"/>
    </row>
    <row r="15" spans="1:18" ht="31.9" customHeight="1" x14ac:dyDescent="0.25">
      <c r="A15" s="3"/>
      <c r="B15" s="337" t="s">
        <v>220</v>
      </c>
      <c r="C15" s="5" t="s">
        <v>17</v>
      </c>
      <c r="D15" s="296">
        <f>D18+D21</f>
        <v>0</v>
      </c>
      <c r="E15" s="296">
        <f t="shared" ref="E15:G15" si="7">E18+E21</f>
        <v>24.623100000000001</v>
      </c>
      <c r="F15" s="296">
        <f t="shared" si="7"/>
        <v>0</v>
      </c>
      <c r="G15" s="296">
        <f t="shared" si="7"/>
        <v>0</v>
      </c>
      <c r="H15" s="291">
        <f t="shared" si="2"/>
        <v>0</v>
      </c>
      <c r="I15" s="296"/>
      <c r="J15" s="127"/>
      <c r="K15" s="127"/>
      <c r="L15" s="127"/>
      <c r="M15" s="127"/>
      <c r="N15" s="127"/>
    </row>
    <row r="16" spans="1:18" ht="31.9" customHeight="1" x14ac:dyDescent="0.25">
      <c r="A16" s="3" t="s">
        <v>20</v>
      </c>
      <c r="B16" s="335" t="s">
        <v>21</v>
      </c>
      <c r="C16" s="3" t="s">
        <v>6</v>
      </c>
      <c r="D16" s="291"/>
      <c r="E16" s="291">
        <v>1.17</v>
      </c>
      <c r="F16" s="291">
        <v>1.17</v>
      </c>
      <c r="G16" s="291">
        <v>1.17</v>
      </c>
      <c r="H16" s="291">
        <f t="shared" si="2"/>
        <v>100</v>
      </c>
      <c r="I16" s="291"/>
      <c r="J16" s="214"/>
      <c r="K16" s="214"/>
      <c r="L16" s="214"/>
      <c r="M16" s="214"/>
      <c r="N16" s="214"/>
      <c r="O16" s="135"/>
      <c r="P16" s="135"/>
      <c r="Q16" s="135"/>
      <c r="R16" s="135"/>
    </row>
    <row r="17" spans="1:21" ht="31.9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/>
      <c r="G17" s="296">
        <v>0</v>
      </c>
      <c r="H17" s="291">
        <f t="shared" si="2"/>
        <v>0</v>
      </c>
      <c r="I17" s="296"/>
      <c r="J17" s="214"/>
      <c r="K17" s="214"/>
      <c r="L17" s="214"/>
      <c r="M17" s="214"/>
      <c r="N17" s="214"/>
      <c r="O17" s="135"/>
      <c r="P17" s="135"/>
      <c r="Q17" s="135"/>
      <c r="R17" s="135"/>
    </row>
    <row r="18" spans="1:21" ht="31.9" customHeight="1" x14ac:dyDescent="0.25">
      <c r="A18" s="3"/>
      <c r="B18" s="337" t="s">
        <v>220</v>
      </c>
      <c r="C18" s="5" t="s">
        <v>17</v>
      </c>
      <c r="D18" s="296">
        <f>D16*D17/10</f>
        <v>0</v>
      </c>
      <c r="E18" s="296">
        <f t="shared" ref="E18:G18" si="8">E16*E17/10</f>
        <v>3.9195000000000002</v>
      </c>
      <c r="F18" s="296">
        <f t="shared" si="8"/>
        <v>0</v>
      </c>
      <c r="G18" s="296">
        <f t="shared" si="8"/>
        <v>0</v>
      </c>
      <c r="H18" s="291">
        <f t="shared" si="2"/>
        <v>0</v>
      </c>
      <c r="I18" s="296"/>
      <c r="J18" s="214"/>
      <c r="K18" s="214"/>
      <c r="L18" s="214"/>
      <c r="M18" s="214"/>
      <c r="N18" s="214"/>
      <c r="O18" s="135"/>
      <c r="P18" s="135"/>
      <c r="Q18" s="135"/>
      <c r="R18" s="135"/>
    </row>
    <row r="19" spans="1:21" ht="31.9" customHeight="1" x14ac:dyDescent="0.25">
      <c r="A19" s="379" t="s">
        <v>22</v>
      </c>
      <c r="B19" s="380" t="s">
        <v>23</v>
      </c>
      <c r="C19" s="379" t="s">
        <v>6</v>
      </c>
      <c r="D19" s="291">
        <f t="shared" ref="D19:G19" si="9">D22+D25</f>
        <v>0</v>
      </c>
      <c r="E19" s="291">
        <f t="shared" si="9"/>
        <v>5.4</v>
      </c>
      <c r="F19" s="291">
        <f t="shared" si="9"/>
        <v>0</v>
      </c>
      <c r="G19" s="291">
        <f t="shared" si="9"/>
        <v>0</v>
      </c>
      <c r="H19" s="291">
        <f t="shared" si="2"/>
        <v>0</v>
      </c>
      <c r="I19" s="291"/>
      <c r="J19" s="128"/>
      <c r="K19" s="128"/>
      <c r="L19" s="128"/>
      <c r="M19" s="128"/>
      <c r="N19" s="223"/>
      <c r="O19" s="133"/>
      <c r="P19" s="133"/>
      <c r="Q19" s="133"/>
      <c r="R19" s="133"/>
      <c r="S19" s="133"/>
      <c r="T19" s="133"/>
      <c r="U19" s="133"/>
    </row>
    <row r="20" spans="1:21" ht="31.9" customHeight="1" x14ac:dyDescent="0.25">
      <c r="A20" s="379"/>
      <c r="B20" s="337" t="s">
        <v>218</v>
      </c>
      <c r="C20" s="5" t="s">
        <v>219</v>
      </c>
      <c r="D20" s="296"/>
      <c r="E20" s="296">
        <f t="shared" ref="E20" si="10">E21/E19*10</f>
        <v>38.340000000000003</v>
      </c>
      <c r="F20" s="296"/>
      <c r="G20" s="296">
        <v>0</v>
      </c>
      <c r="H20" s="291"/>
      <c r="I20" s="296"/>
      <c r="J20" s="128"/>
      <c r="K20" s="128"/>
      <c r="L20" s="128"/>
      <c r="M20" s="128"/>
      <c r="N20" s="223"/>
      <c r="O20" s="133"/>
      <c r="P20" s="133"/>
      <c r="Q20" s="133"/>
      <c r="R20" s="133"/>
      <c r="S20" s="133"/>
      <c r="T20" s="133"/>
      <c r="U20" s="133"/>
    </row>
    <row r="21" spans="1:21" ht="31.9" customHeight="1" x14ac:dyDescent="0.25">
      <c r="A21" s="379"/>
      <c r="B21" s="337" t="s">
        <v>220</v>
      </c>
      <c r="C21" s="5" t="s">
        <v>17</v>
      </c>
      <c r="D21" s="296">
        <f>D24+D27</f>
        <v>0</v>
      </c>
      <c r="E21" s="296">
        <f t="shared" ref="E21:G21" si="11">E24+E27</f>
        <v>20.703600000000002</v>
      </c>
      <c r="F21" s="296">
        <f t="shared" si="11"/>
        <v>0</v>
      </c>
      <c r="G21" s="296">
        <f t="shared" si="11"/>
        <v>0</v>
      </c>
      <c r="H21" s="291">
        <f t="shared" si="2"/>
        <v>0</v>
      </c>
      <c r="I21" s="296"/>
      <c r="J21" s="128"/>
      <c r="K21" s="128"/>
      <c r="L21" s="128"/>
      <c r="M21" s="128"/>
      <c r="N21" s="223"/>
      <c r="O21" s="133"/>
      <c r="P21" s="133"/>
      <c r="Q21" s="133"/>
      <c r="R21" s="133"/>
      <c r="S21" s="133"/>
      <c r="T21" s="133"/>
      <c r="U21" s="133"/>
    </row>
    <row r="22" spans="1:21" ht="31.9" customHeight="1" x14ac:dyDescent="0.25">
      <c r="A22" s="379" t="s">
        <v>24</v>
      </c>
      <c r="B22" s="380" t="s">
        <v>25</v>
      </c>
      <c r="C22" s="379" t="s">
        <v>6</v>
      </c>
      <c r="D22" s="291"/>
      <c r="E22" s="291">
        <v>5.4</v>
      </c>
      <c r="F22" s="296">
        <v>0</v>
      </c>
      <c r="G22" s="291">
        <v>0</v>
      </c>
      <c r="H22" s="291">
        <f t="shared" si="2"/>
        <v>0</v>
      </c>
      <c r="I22" s="296"/>
      <c r="J22" s="121"/>
      <c r="K22" s="121"/>
      <c r="L22" s="121"/>
      <c r="M22" s="121"/>
      <c r="N22" s="145"/>
      <c r="O22" s="146"/>
      <c r="P22" s="146"/>
      <c r="Q22" s="146"/>
      <c r="R22" s="146"/>
      <c r="S22" s="146"/>
      <c r="T22" s="146"/>
      <c r="U22" s="146"/>
    </row>
    <row r="23" spans="1:21" ht="31.9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>
        <v>0</v>
      </c>
      <c r="G23" s="296"/>
      <c r="H23" s="291">
        <f t="shared" si="2"/>
        <v>0</v>
      </c>
      <c r="I23" s="296"/>
      <c r="J23" s="121"/>
      <c r="K23" s="121"/>
      <c r="L23" s="121"/>
      <c r="M23" s="121"/>
      <c r="N23" s="145"/>
      <c r="O23" s="146"/>
      <c r="P23" s="146"/>
      <c r="Q23" s="146"/>
      <c r="R23" s="146"/>
      <c r="S23" s="146"/>
      <c r="T23" s="146"/>
      <c r="U23" s="146"/>
    </row>
    <row r="24" spans="1:21" ht="31.9" customHeight="1" x14ac:dyDescent="0.25">
      <c r="A24" s="379"/>
      <c r="B24" s="337" t="s">
        <v>220</v>
      </c>
      <c r="C24" s="5" t="s">
        <v>17</v>
      </c>
      <c r="D24" s="296">
        <f>D22*D23/10</f>
        <v>0</v>
      </c>
      <c r="E24" s="296">
        <f t="shared" ref="E24:G24" si="12">E22*E23/10</f>
        <v>20.703600000000002</v>
      </c>
      <c r="F24" s="296">
        <f t="shared" si="12"/>
        <v>0</v>
      </c>
      <c r="G24" s="296">
        <f t="shared" si="12"/>
        <v>0</v>
      </c>
      <c r="H24" s="291">
        <f t="shared" si="2"/>
        <v>0</v>
      </c>
      <c r="I24" s="296"/>
      <c r="J24" s="121"/>
      <c r="K24" s="121"/>
      <c r="L24" s="121"/>
      <c r="M24" s="121"/>
      <c r="N24" s="145"/>
      <c r="O24" s="146"/>
      <c r="P24" s="146"/>
      <c r="Q24" s="146"/>
      <c r="R24" s="146"/>
      <c r="S24" s="146"/>
      <c r="T24" s="146"/>
      <c r="U24" s="146"/>
    </row>
    <row r="25" spans="1:21" ht="31.9" customHeight="1" x14ac:dyDescent="0.25">
      <c r="A25" s="379" t="s">
        <v>24</v>
      </c>
      <c r="B25" s="380" t="s">
        <v>26</v>
      </c>
      <c r="C25" s="379" t="s">
        <v>6</v>
      </c>
      <c r="D25" s="291"/>
      <c r="E25" s="291"/>
      <c r="F25" s="296">
        <v>0</v>
      </c>
      <c r="G25" s="296">
        <v>0</v>
      </c>
      <c r="H25" s="291"/>
      <c r="I25" s="296"/>
      <c r="J25" s="121"/>
      <c r="K25" s="121"/>
      <c r="L25" s="121"/>
      <c r="M25" s="121"/>
      <c r="N25" s="121"/>
      <c r="O25" s="122"/>
      <c r="P25" s="122"/>
      <c r="Q25" s="123"/>
      <c r="R25" s="123"/>
      <c r="S25" s="123"/>
      <c r="T25" s="123"/>
      <c r="U25" s="123"/>
    </row>
    <row r="26" spans="1:21" ht="31.9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0</v>
      </c>
      <c r="F26" s="296">
        <v>0</v>
      </c>
      <c r="G26" s="296">
        <v>0</v>
      </c>
      <c r="H26" s="291"/>
      <c r="I26" s="296"/>
      <c r="J26" s="121"/>
      <c r="K26" s="121"/>
      <c r="L26" s="121"/>
      <c r="M26" s="121"/>
      <c r="N26" s="121"/>
      <c r="O26" s="122"/>
      <c r="P26" s="122"/>
      <c r="Q26" s="123"/>
      <c r="R26" s="123"/>
      <c r="S26" s="123"/>
      <c r="T26" s="123"/>
      <c r="U26" s="123"/>
    </row>
    <row r="27" spans="1:21" ht="31.9" customHeight="1" x14ac:dyDescent="0.25">
      <c r="A27" s="379"/>
      <c r="B27" s="337" t="s">
        <v>220</v>
      </c>
      <c r="C27" s="5" t="s">
        <v>17</v>
      </c>
      <c r="D27" s="296">
        <f>D25*D26/10</f>
        <v>0</v>
      </c>
      <c r="E27" s="296">
        <f t="shared" ref="E27" si="13">E25*E26/10</f>
        <v>0</v>
      </c>
      <c r="F27" s="296">
        <v>0</v>
      </c>
      <c r="G27" s="296">
        <v>0</v>
      </c>
      <c r="H27" s="291"/>
      <c r="I27" s="296"/>
      <c r="J27" s="121"/>
      <c r="K27" s="121"/>
      <c r="L27" s="121"/>
      <c r="M27" s="121"/>
      <c r="N27" s="121"/>
      <c r="O27" s="122"/>
      <c r="P27" s="122"/>
      <c r="Q27" s="123"/>
      <c r="R27" s="123"/>
      <c r="S27" s="123"/>
      <c r="T27" s="123"/>
      <c r="U27" s="123"/>
    </row>
    <row r="28" spans="1:21" ht="31.9" customHeight="1" x14ac:dyDescent="0.25">
      <c r="A28" s="3" t="s">
        <v>7</v>
      </c>
      <c r="B28" s="335" t="s">
        <v>27</v>
      </c>
      <c r="C28" s="3" t="s">
        <v>6</v>
      </c>
      <c r="D28" s="291">
        <f t="shared" ref="D28:G28" si="14">D31+D34</f>
        <v>1</v>
      </c>
      <c r="E28" s="291">
        <f t="shared" si="14"/>
        <v>1</v>
      </c>
      <c r="F28" s="291">
        <f t="shared" si="14"/>
        <v>0</v>
      </c>
      <c r="G28" s="291">
        <f t="shared" si="14"/>
        <v>0</v>
      </c>
      <c r="H28" s="291">
        <f t="shared" si="2"/>
        <v>0</v>
      </c>
      <c r="I28" s="291"/>
      <c r="J28" s="124"/>
      <c r="K28" s="124"/>
      <c r="L28" s="124"/>
      <c r="M28" s="124"/>
      <c r="N28" s="124"/>
      <c r="O28" s="123"/>
      <c r="P28" s="123"/>
      <c r="Q28" s="123"/>
      <c r="R28" s="123"/>
      <c r="S28" s="123"/>
      <c r="T28" s="123"/>
      <c r="U28" s="123"/>
    </row>
    <row r="29" spans="1:21" ht="31.9" customHeight="1" x14ac:dyDescent="0.25">
      <c r="A29" s="3"/>
      <c r="B29" s="337" t="s">
        <v>218</v>
      </c>
      <c r="C29" s="5" t="s">
        <v>219</v>
      </c>
      <c r="D29" s="296">
        <f>D30/D28*10</f>
        <v>36.85</v>
      </c>
      <c r="E29" s="296">
        <f t="shared" ref="E29:G29" si="15">E30/E28*10</f>
        <v>36.9</v>
      </c>
      <c r="F29" s="296"/>
      <c r="G29" s="296" t="e">
        <f t="shared" si="15"/>
        <v>#DIV/0!</v>
      </c>
      <c r="H29" s="291">
        <f t="shared" si="2"/>
        <v>0</v>
      </c>
      <c r="I29" s="296"/>
      <c r="J29" s="124"/>
      <c r="K29" s="124"/>
      <c r="L29" s="124"/>
      <c r="M29" s="124"/>
      <c r="N29" s="124"/>
      <c r="O29" s="123"/>
      <c r="P29" s="123"/>
      <c r="Q29" s="123"/>
      <c r="R29" s="123"/>
      <c r="S29" s="123"/>
      <c r="T29" s="123"/>
      <c r="U29" s="123"/>
    </row>
    <row r="30" spans="1:21" ht="31.9" customHeight="1" x14ac:dyDescent="0.25">
      <c r="A30" s="3"/>
      <c r="B30" s="337" t="s">
        <v>220</v>
      </c>
      <c r="C30" s="5" t="s">
        <v>17</v>
      </c>
      <c r="D30" s="296">
        <f>D33+D36</f>
        <v>3.6850000000000001</v>
      </c>
      <c r="E30" s="296">
        <f t="shared" ref="E30:G30" si="16">E33+E36</f>
        <v>3.69</v>
      </c>
      <c r="F30" s="296">
        <f t="shared" si="16"/>
        <v>0</v>
      </c>
      <c r="G30" s="296">
        <f t="shared" si="16"/>
        <v>0</v>
      </c>
      <c r="H30" s="291">
        <f t="shared" si="2"/>
        <v>0</v>
      </c>
      <c r="I30" s="296"/>
      <c r="J30" s="124"/>
      <c r="K30" s="124"/>
      <c r="L30" s="124"/>
      <c r="M30" s="124"/>
      <c r="N30" s="124"/>
      <c r="O30" s="123"/>
      <c r="P30" s="123"/>
      <c r="Q30" s="123"/>
      <c r="R30" s="123"/>
      <c r="S30" s="123"/>
      <c r="T30" s="123"/>
      <c r="U30" s="123"/>
    </row>
    <row r="31" spans="1:21" ht="31.9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>
        <v>0</v>
      </c>
      <c r="G31" s="291">
        <v>0</v>
      </c>
      <c r="H31" s="291"/>
      <c r="I31" s="291"/>
      <c r="J31" s="124"/>
      <c r="K31" s="124"/>
      <c r="L31" s="124"/>
      <c r="M31" s="124"/>
      <c r="N31" s="124"/>
      <c r="O31" s="123"/>
      <c r="P31" s="123"/>
      <c r="Q31" s="123"/>
      <c r="R31" s="123"/>
      <c r="S31" s="123"/>
      <c r="T31" s="123"/>
      <c r="U31" s="123"/>
    </row>
    <row r="32" spans="1:21" ht="31.9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1"/>
      <c r="H32" s="291"/>
      <c r="I32" s="291"/>
      <c r="J32" s="124"/>
      <c r="K32" s="124"/>
      <c r="L32" s="124"/>
      <c r="M32" s="124"/>
      <c r="N32" s="124"/>
      <c r="O32" s="123"/>
      <c r="P32" s="123"/>
      <c r="Q32" s="123"/>
      <c r="R32" s="123"/>
      <c r="S32" s="123"/>
      <c r="T32" s="123"/>
      <c r="U32" s="123"/>
    </row>
    <row r="33" spans="1:24" ht="31.9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1"/>
      <c r="H33" s="291"/>
      <c r="I33" s="291"/>
      <c r="J33" s="124"/>
      <c r="K33" s="124"/>
      <c r="L33" s="124"/>
      <c r="M33" s="124"/>
      <c r="N33" s="124"/>
      <c r="O33" s="123"/>
      <c r="P33" s="123"/>
      <c r="Q33" s="123"/>
      <c r="R33" s="123"/>
      <c r="S33" s="123"/>
      <c r="T33" s="123"/>
      <c r="U33" s="123"/>
    </row>
    <row r="34" spans="1:24" ht="31.9" customHeight="1" x14ac:dyDescent="0.25">
      <c r="A34" s="379" t="s">
        <v>22</v>
      </c>
      <c r="B34" s="380" t="s">
        <v>29</v>
      </c>
      <c r="C34" s="379" t="s">
        <v>6</v>
      </c>
      <c r="D34" s="313">
        <v>1</v>
      </c>
      <c r="E34" s="313">
        <v>1</v>
      </c>
      <c r="F34" s="313"/>
      <c r="G34" s="313">
        <v>0</v>
      </c>
      <c r="H34" s="291">
        <f t="shared" si="2"/>
        <v>0</v>
      </c>
      <c r="I34" s="296"/>
      <c r="J34" s="124"/>
      <c r="K34" s="124"/>
      <c r="L34" s="124"/>
      <c r="M34" s="124"/>
      <c r="N34" s="124"/>
      <c r="O34" s="123"/>
      <c r="P34" s="123"/>
      <c r="Q34" s="123"/>
      <c r="R34" s="123"/>
      <c r="S34" s="123"/>
      <c r="T34" s="123"/>
      <c r="U34" s="123"/>
    </row>
    <row r="35" spans="1:24" ht="31.9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/>
      <c r="G35" s="296"/>
      <c r="H35" s="291">
        <f t="shared" si="2"/>
        <v>0</v>
      </c>
      <c r="I35" s="296"/>
      <c r="J35" s="124"/>
      <c r="K35" s="124"/>
      <c r="L35" s="124"/>
      <c r="M35" s="124"/>
      <c r="N35" s="124"/>
      <c r="O35" s="123"/>
      <c r="P35" s="123"/>
      <c r="Q35" s="123"/>
      <c r="R35" s="123"/>
      <c r="S35" s="123"/>
      <c r="T35" s="123"/>
      <c r="U35" s="123"/>
    </row>
    <row r="36" spans="1:24" ht="31.9" customHeight="1" x14ac:dyDescent="0.25">
      <c r="A36" s="379"/>
      <c r="B36" s="337" t="s">
        <v>220</v>
      </c>
      <c r="C36" s="5" t="s">
        <v>17</v>
      </c>
      <c r="D36" s="296">
        <f>D34*D35/10</f>
        <v>3.6850000000000001</v>
      </c>
      <c r="E36" s="296">
        <f t="shared" ref="E36:G36" si="17">E34*E35/10</f>
        <v>3.69</v>
      </c>
      <c r="F36" s="296">
        <f t="shared" si="17"/>
        <v>0</v>
      </c>
      <c r="G36" s="296">
        <f t="shared" si="17"/>
        <v>0</v>
      </c>
      <c r="H36" s="291">
        <f t="shared" si="2"/>
        <v>0</v>
      </c>
      <c r="I36" s="296"/>
      <c r="J36" s="124"/>
      <c r="K36" s="204"/>
      <c r="L36" s="170"/>
      <c r="M36" s="170"/>
      <c r="N36" s="170"/>
      <c r="O36" s="170"/>
      <c r="P36" s="123"/>
      <c r="Q36" s="123"/>
      <c r="R36" s="123"/>
      <c r="S36" s="123"/>
      <c r="T36" s="123"/>
      <c r="U36" s="123"/>
    </row>
    <row r="37" spans="1:24" ht="31.9" customHeight="1" x14ac:dyDescent="0.25">
      <c r="A37" s="3">
        <v>2</v>
      </c>
      <c r="B37" s="335" t="s">
        <v>30</v>
      </c>
      <c r="C37" s="3" t="s">
        <v>6</v>
      </c>
      <c r="D37" s="291">
        <v>24</v>
      </c>
      <c r="E37" s="291">
        <v>10.57</v>
      </c>
      <c r="F37" s="291">
        <v>0</v>
      </c>
      <c r="G37" s="291">
        <v>0</v>
      </c>
      <c r="H37" s="291">
        <f t="shared" si="2"/>
        <v>0</v>
      </c>
      <c r="I37" s="296"/>
      <c r="J37" s="121"/>
      <c r="K37" s="244"/>
      <c r="L37" s="244"/>
      <c r="M37" s="199"/>
      <c r="N37" s="137"/>
      <c r="O37" s="137"/>
      <c r="P37" s="122"/>
      <c r="Q37" s="122"/>
      <c r="R37" s="122"/>
      <c r="S37" s="122"/>
      <c r="T37" s="122"/>
      <c r="U37" s="122"/>
      <c r="V37" s="122"/>
      <c r="W37" s="122"/>
      <c r="X37" s="122"/>
    </row>
    <row r="38" spans="1:24" ht="31.9" customHeight="1" x14ac:dyDescent="0.25">
      <c r="A38" s="3"/>
      <c r="B38" s="337" t="s">
        <v>218</v>
      </c>
      <c r="C38" s="5" t="s">
        <v>219</v>
      </c>
      <c r="D38" s="296">
        <v>137.5</v>
      </c>
      <c r="E38" s="296">
        <v>140</v>
      </c>
      <c r="F38" s="296"/>
      <c r="G38" s="296"/>
      <c r="H38" s="291">
        <f t="shared" si="2"/>
        <v>0</v>
      </c>
      <c r="I38" s="296"/>
      <c r="J38" s="121"/>
      <c r="K38" s="168"/>
      <c r="L38" s="168"/>
      <c r="M38" s="137"/>
      <c r="N38" s="137"/>
      <c r="O38" s="137"/>
      <c r="P38" s="122"/>
      <c r="Q38" s="122"/>
      <c r="R38" s="122"/>
      <c r="S38" s="122"/>
      <c r="T38" s="122"/>
      <c r="U38" s="122"/>
      <c r="V38" s="122"/>
      <c r="W38" s="122"/>
      <c r="X38" s="122"/>
    </row>
    <row r="39" spans="1:24" ht="31.9" customHeight="1" x14ac:dyDescent="0.25">
      <c r="A39" s="3"/>
      <c r="B39" s="337" t="s">
        <v>220</v>
      </c>
      <c r="C39" s="5" t="s">
        <v>17</v>
      </c>
      <c r="D39" s="296">
        <f>D37*D38/10</f>
        <v>330</v>
      </c>
      <c r="E39" s="296">
        <f>E37*E38/10</f>
        <v>147.97999999999999</v>
      </c>
      <c r="F39" s="296">
        <f t="shared" ref="F39:G39" si="18">F37*F38/10</f>
        <v>0</v>
      </c>
      <c r="G39" s="296">
        <f t="shared" si="18"/>
        <v>0</v>
      </c>
      <c r="H39" s="291">
        <f t="shared" si="2"/>
        <v>0</v>
      </c>
      <c r="I39" s="296"/>
      <c r="J39" s="121"/>
      <c r="K39" s="168"/>
      <c r="L39" s="168"/>
      <c r="M39" s="137"/>
      <c r="N39" s="137"/>
      <c r="O39" s="137"/>
      <c r="P39" s="122"/>
      <c r="Q39" s="122"/>
      <c r="R39" s="122"/>
      <c r="S39" s="122"/>
      <c r="T39" s="122"/>
      <c r="U39" s="122"/>
      <c r="V39" s="122"/>
      <c r="W39" s="122"/>
      <c r="X39" s="122"/>
    </row>
    <row r="40" spans="1:24" ht="31.9" customHeight="1" x14ac:dyDescent="0.25">
      <c r="A40" s="3">
        <v>3</v>
      </c>
      <c r="B40" s="333" t="s">
        <v>241</v>
      </c>
      <c r="C40" s="332" t="s">
        <v>6</v>
      </c>
      <c r="D40" s="294"/>
      <c r="E40" s="294">
        <v>0</v>
      </c>
      <c r="F40" s="296"/>
      <c r="G40" s="296"/>
      <c r="H40" s="291"/>
      <c r="I40" s="296"/>
      <c r="J40" s="121"/>
      <c r="K40" s="168"/>
      <c r="L40" s="168"/>
      <c r="M40" s="137"/>
      <c r="N40" s="137"/>
      <c r="O40" s="137"/>
      <c r="P40" s="122"/>
      <c r="Q40" s="122"/>
      <c r="R40" s="122"/>
      <c r="S40" s="122"/>
      <c r="T40" s="122"/>
      <c r="U40" s="122"/>
      <c r="V40" s="122"/>
      <c r="W40" s="122"/>
      <c r="X40" s="122"/>
    </row>
    <row r="41" spans="1:24" ht="31.9" customHeight="1" x14ac:dyDescent="0.25">
      <c r="A41" s="3"/>
      <c r="B41" s="336" t="s">
        <v>218</v>
      </c>
      <c r="C41" s="343" t="s">
        <v>219</v>
      </c>
      <c r="D41" s="298"/>
      <c r="E41" s="298">
        <v>24.1</v>
      </c>
      <c r="F41" s="296"/>
      <c r="G41" s="296"/>
      <c r="H41" s="291">
        <f t="shared" si="2"/>
        <v>0</v>
      </c>
      <c r="I41" s="296"/>
      <c r="J41" s="121"/>
      <c r="K41" s="168"/>
      <c r="L41" s="168"/>
      <c r="M41" s="137"/>
      <c r="N41" s="137"/>
      <c r="O41" s="137"/>
      <c r="P41" s="122"/>
      <c r="Q41" s="122"/>
      <c r="R41" s="122"/>
      <c r="S41" s="122"/>
      <c r="T41" s="122"/>
      <c r="U41" s="122"/>
      <c r="V41" s="122"/>
      <c r="W41" s="122"/>
      <c r="X41" s="122"/>
    </row>
    <row r="42" spans="1:24" ht="31.9" customHeight="1" x14ac:dyDescent="0.25">
      <c r="A42" s="3"/>
      <c r="B42" s="336" t="s">
        <v>220</v>
      </c>
      <c r="C42" s="343" t="s">
        <v>17</v>
      </c>
      <c r="D42" s="298"/>
      <c r="E42" s="298">
        <f>E40*E41/10</f>
        <v>0</v>
      </c>
      <c r="F42" s="298">
        <f t="shared" ref="F42:G42" si="19">F40*F41/10</f>
        <v>0</v>
      </c>
      <c r="G42" s="298">
        <f t="shared" si="19"/>
        <v>0</v>
      </c>
      <c r="H42" s="291"/>
      <c r="I42" s="296"/>
      <c r="J42" s="121"/>
      <c r="K42" s="168"/>
      <c r="L42" s="168"/>
      <c r="M42" s="137"/>
      <c r="N42" s="137"/>
      <c r="O42" s="137"/>
      <c r="P42" s="122"/>
      <c r="Q42" s="122"/>
      <c r="R42" s="122"/>
      <c r="S42" s="122"/>
      <c r="T42" s="122"/>
      <c r="U42" s="122"/>
      <c r="V42" s="122"/>
      <c r="W42" s="122"/>
      <c r="X42" s="122"/>
    </row>
    <row r="43" spans="1:24" ht="31.9" customHeight="1" x14ac:dyDescent="0.25">
      <c r="A43" s="3">
        <v>4</v>
      </c>
      <c r="B43" s="335" t="s">
        <v>242</v>
      </c>
      <c r="C43" s="3" t="s">
        <v>6</v>
      </c>
      <c r="D43" s="291">
        <v>0.5</v>
      </c>
      <c r="E43" s="291">
        <v>0.5</v>
      </c>
      <c r="F43" s="291">
        <v>0.27</v>
      </c>
      <c r="G43" s="291">
        <f>F43</f>
        <v>0.27</v>
      </c>
      <c r="H43" s="291">
        <f t="shared" si="2"/>
        <v>54</v>
      </c>
      <c r="I43" s="291"/>
      <c r="J43" s="127"/>
      <c r="K43" s="168"/>
      <c r="L43" s="168"/>
      <c r="M43" s="168"/>
      <c r="N43" s="168"/>
      <c r="O43" s="168"/>
    </row>
    <row r="44" spans="1:24" ht="31.9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1">
        <f t="shared" si="2"/>
        <v>0</v>
      </c>
      <c r="I44" s="296"/>
      <c r="J44" s="127"/>
      <c r="K44" s="168"/>
      <c r="L44" s="237"/>
      <c r="M44" s="237"/>
      <c r="N44" s="237"/>
      <c r="O44" s="237"/>
    </row>
    <row r="45" spans="1:24" ht="31.9" customHeight="1" x14ac:dyDescent="0.25">
      <c r="A45" s="5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20">F43*F44/10</f>
        <v>0</v>
      </c>
      <c r="G45" s="296">
        <f t="shared" si="20"/>
        <v>0</v>
      </c>
      <c r="H45" s="291">
        <f t="shared" si="2"/>
        <v>0</v>
      </c>
      <c r="I45" s="296"/>
      <c r="J45" s="127"/>
      <c r="K45" s="224"/>
      <c r="L45" s="127"/>
      <c r="M45" s="127"/>
      <c r="N45" s="127"/>
    </row>
    <row r="46" spans="1:24" ht="31.9" customHeight="1" x14ac:dyDescent="0.25">
      <c r="A46" s="3">
        <v>5</v>
      </c>
      <c r="B46" s="335" t="s">
        <v>32</v>
      </c>
      <c r="C46" s="3" t="s">
        <v>6</v>
      </c>
      <c r="D46" s="291">
        <f>D47+D55+D64</f>
        <v>31.87</v>
      </c>
      <c r="E46" s="291">
        <f t="shared" ref="E46:G46" si="21">E47+E55+E64</f>
        <v>42.67</v>
      </c>
      <c r="F46" s="291">
        <f t="shared" si="21"/>
        <v>32.17</v>
      </c>
      <c r="G46" s="291">
        <f t="shared" si="21"/>
        <v>32.17</v>
      </c>
      <c r="H46" s="291">
        <f t="shared" si="2"/>
        <v>75.392547457229909</v>
      </c>
      <c r="I46" s="291"/>
      <c r="J46" s="127"/>
      <c r="K46" s="127"/>
      <c r="L46" s="127"/>
      <c r="M46" s="127"/>
      <c r="N46" s="127"/>
    </row>
    <row r="47" spans="1:24" ht="31.9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27.37</v>
      </c>
      <c r="E47" s="291">
        <f t="shared" ref="E47:G47" si="22">E48+E49</f>
        <v>37.370000000000005</v>
      </c>
      <c r="F47" s="291">
        <f t="shared" si="22"/>
        <v>27.37</v>
      </c>
      <c r="G47" s="291">
        <f t="shared" si="22"/>
        <v>27.37</v>
      </c>
      <c r="H47" s="291">
        <f t="shared" si="2"/>
        <v>73.240567299973236</v>
      </c>
      <c r="I47" s="291"/>
      <c r="J47" s="127"/>
      <c r="K47" s="127"/>
      <c r="L47" s="127"/>
      <c r="M47" s="127"/>
      <c r="N47" s="127"/>
    </row>
    <row r="48" spans="1:24" ht="31.9" customHeight="1" x14ac:dyDescent="0.25">
      <c r="A48" s="7" t="s">
        <v>24</v>
      </c>
      <c r="B48" s="383" t="s">
        <v>196</v>
      </c>
      <c r="C48" s="384" t="s">
        <v>6</v>
      </c>
      <c r="D48" s="296">
        <v>11.25</v>
      </c>
      <c r="E48" s="296">
        <f>D48+D49</f>
        <v>27.37</v>
      </c>
      <c r="F48" s="296">
        <v>27.37</v>
      </c>
      <c r="G48" s="296">
        <v>27.37</v>
      </c>
      <c r="H48" s="296">
        <f t="shared" si="2"/>
        <v>100</v>
      </c>
      <c r="I48" s="296"/>
      <c r="J48" s="121"/>
      <c r="K48" s="121"/>
      <c r="L48" s="121"/>
      <c r="M48" s="121"/>
      <c r="N48" s="121"/>
      <c r="O48" s="122"/>
    </row>
    <row r="49" spans="1:17" s="131" customFormat="1" ht="31.9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16.12</v>
      </c>
      <c r="E49" s="291">
        <f t="shared" ref="E49:G49" si="23">E50+E51</f>
        <v>10</v>
      </c>
      <c r="F49" s="291">
        <f t="shared" si="23"/>
        <v>0</v>
      </c>
      <c r="G49" s="291">
        <f t="shared" si="23"/>
        <v>0</v>
      </c>
      <c r="H49" s="291">
        <f t="shared" si="2"/>
        <v>0</v>
      </c>
      <c r="I49" s="291"/>
      <c r="J49" s="213"/>
      <c r="K49" s="213"/>
      <c r="L49" s="213"/>
      <c r="M49" s="213"/>
      <c r="N49" s="213"/>
    </row>
    <row r="50" spans="1:17" ht="31.9" customHeight="1" x14ac:dyDescent="0.25">
      <c r="A50" s="384" t="s">
        <v>18</v>
      </c>
      <c r="B50" s="386" t="s">
        <v>194</v>
      </c>
      <c r="C50" s="384" t="s">
        <v>6</v>
      </c>
      <c r="D50" s="296">
        <v>16.12</v>
      </c>
      <c r="E50" s="296">
        <v>10</v>
      </c>
      <c r="F50" s="296">
        <v>0</v>
      </c>
      <c r="G50" s="296">
        <v>0</v>
      </c>
      <c r="H50" s="291">
        <f t="shared" si="2"/>
        <v>0</v>
      </c>
      <c r="I50" s="296"/>
      <c r="J50" s="214"/>
      <c r="K50" s="226"/>
      <c r="L50" s="226"/>
      <c r="M50" s="226"/>
      <c r="N50" s="127"/>
    </row>
    <row r="51" spans="1:17" ht="31.9" customHeight="1" x14ac:dyDescent="0.25">
      <c r="A51" s="384" t="s">
        <v>18</v>
      </c>
      <c r="B51" s="386" t="s">
        <v>35</v>
      </c>
      <c r="C51" s="5" t="s">
        <v>6</v>
      </c>
      <c r="D51" s="296"/>
      <c r="E51" s="296"/>
      <c r="F51" s="296"/>
      <c r="G51" s="296"/>
      <c r="H51" s="291"/>
      <c r="I51" s="296"/>
      <c r="J51" s="127"/>
      <c r="K51" s="127"/>
      <c r="L51" s="127"/>
      <c r="M51" s="127"/>
      <c r="N51" s="127"/>
    </row>
    <row r="52" spans="1:17" s="131" customFormat="1" ht="31.9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9.3099999999999987</v>
      </c>
      <c r="E52" s="291">
        <f t="shared" ref="E52:G52" si="24">E53+E54</f>
        <v>9.5625</v>
      </c>
      <c r="F52" s="291">
        <f t="shared" si="24"/>
        <v>9.56</v>
      </c>
      <c r="G52" s="291">
        <f t="shared" si="24"/>
        <v>9.56</v>
      </c>
      <c r="H52" s="291">
        <f t="shared" si="2"/>
        <v>99.973856209150341</v>
      </c>
      <c r="I52" s="291"/>
      <c r="J52" s="213"/>
      <c r="K52" s="213"/>
      <c r="L52" s="213"/>
      <c r="M52" s="213"/>
      <c r="N52" s="213"/>
    </row>
    <row r="53" spans="1:17" ht="31.9" customHeight="1" x14ac:dyDescent="0.25">
      <c r="A53" s="387" t="s">
        <v>18</v>
      </c>
      <c r="B53" s="386" t="s">
        <v>198</v>
      </c>
      <c r="C53" s="5" t="s">
        <v>6</v>
      </c>
      <c r="D53" s="296">
        <f>7.31-1</f>
        <v>6.31</v>
      </c>
      <c r="E53" s="296">
        <f>D48*85%</f>
        <v>9.5625</v>
      </c>
      <c r="F53" s="296">
        <v>9.56</v>
      </c>
      <c r="G53" s="296">
        <v>9.56</v>
      </c>
      <c r="H53" s="296">
        <f t="shared" si="2"/>
        <v>99.973856209150341</v>
      </c>
      <c r="I53" s="296"/>
      <c r="J53" s="127"/>
      <c r="K53" s="127"/>
      <c r="L53" s="127"/>
      <c r="M53" s="224"/>
      <c r="N53" s="127"/>
    </row>
    <row r="54" spans="1:17" ht="31.9" customHeight="1" x14ac:dyDescent="0.25">
      <c r="A54" s="5"/>
      <c r="B54" s="386" t="s">
        <v>199</v>
      </c>
      <c r="C54" s="5" t="s">
        <v>6</v>
      </c>
      <c r="D54" s="296">
        <v>3</v>
      </c>
      <c r="E54" s="296"/>
      <c r="F54" s="296"/>
      <c r="G54" s="296"/>
      <c r="H54" s="291"/>
      <c r="I54" s="296"/>
      <c r="J54" s="127"/>
      <c r="K54" s="127"/>
      <c r="L54" s="127"/>
      <c r="M54" s="127"/>
      <c r="N54" s="127"/>
    </row>
    <row r="55" spans="1:17" ht="31.9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4.5</v>
      </c>
      <c r="E55" s="291">
        <f t="shared" ref="E55:G55" si="25">E56+E57</f>
        <v>5.3</v>
      </c>
      <c r="F55" s="291">
        <f t="shared" si="25"/>
        <v>4.8</v>
      </c>
      <c r="G55" s="291">
        <f t="shared" si="25"/>
        <v>4.8</v>
      </c>
      <c r="H55" s="291">
        <f t="shared" si="2"/>
        <v>90.566037735849065</v>
      </c>
      <c r="I55" s="291"/>
      <c r="J55" s="127"/>
      <c r="K55" s="127"/>
      <c r="L55" s="127"/>
      <c r="M55" s="127"/>
      <c r="N55" s="127"/>
    </row>
    <row r="56" spans="1:17" ht="31.9" customHeight="1" x14ac:dyDescent="0.25">
      <c r="A56" s="5" t="s">
        <v>24</v>
      </c>
      <c r="B56" s="383" t="s">
        <v>197</v>
      </c>
      <c r="C56" s="5" t="s">
        <v>6</v>
      </c>
      <c r="D56" s="296">
        <v>4.5</v>
      </c>
      <c r="E56" s="296">
        <f>D56+E58</f>
        <v>4.8</v>
      </c>
      <c r="F56" s="296">
        <v>4.8</v>
      </c>
      <c r="G56" s="296">
        <v>4.8</v>
      </c>
      <c r="H56" s="296">
        <f t="shared" si="2"/>
        <v>100</v>
      </c>
      <c r="I56" s="296"/>
      <c r="J56" s="127"/>
      <c r="K56" s="127"/>
      <c r="L56" s="127"/>
      <c r="M56" s="127"/>
      <c r="N56" s="127"/>
    </row>
    <row r="57" spans="1:17" ht="31.9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0</v>
      </c>
      <c r="E57" s="296">
        <f t="shared" ref="E57:G57" si="26">E58+E61</f>
        <v>0.5</v>
      </c>
      <c r="F57" s="296">
        <f t="shared" si="26"/>
        <v>0</v>
      </c>
      <c r="G57" s="296">
        <f t="shared" si="26"/>
        <v>0</v>
      </c>
      <c r="H57" s="291">
        <f t="shared" si="2"/>
        <v>0</v>
      </c>
      <c r="I57" s="296"/>
      <c r="J57" s="127"/>
      <c r="K57" s="127"/>
      <c r="L57" s="127"/>
      <c r="M57" s="127"/>
      <c r="N57" s="127"/>
    </row>
    <row r="58" spans="1:17" s="149" customFormat="1" ht="31.9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</v>
      </c>
      <c r="E58" s="299">
        <f t="shared" ref="E58:G58" si="27">E59+E60</f>
        <v>0.30000000000000004</v>
      </c>
      <c r="F58" s="299">
        <f t="shared" si="27"/>
        <v>0</v>
      </c>
      <c r="G58" s="299">
        <f t="shared" si="27"/>
        <v>0</v>
      </c>
      <c r="H58" s="291">
        <f t="shared" si="2"/>
        <v>0</v>
      </c>
      <c r="I58" s="299"/>
      <c r="J58" s="217"/>
      <c r="K58" s="142"/>
      <c r="L58" s="142"/>
      <c r="M58" s="142"/>
      <c r="N58" s="142"/>
      <c r="O58" s="142"/>
      <c r="P58" s="156"/>
      <c r="Q58" s="156"/>
    </row>
    <row r="59" spans="1:17" ht="31.9" customHeight="1" x14ac:dyDescent="0.25">
      <c r="A59" s="5" t="s">
        <v>18</v>
      </c>
      <c r="B59" s="383" t="s">
        <v>202</v>
      </c>
      <c r="C59" s="5" t="s">
        <v>6</v>
      </c>
      <c r="D59" s="296"/>
      <c r="E59" s="296">
        <v>0.2</v>
      </c>
      <c r="F59" s="296">
        <v>0</v>
      </c>
      <c r="G59" s="296">
        <v>0</v>
      </c>
      <c r="H59" s="291">
        <f t="shared" si="2"/>
        <v>0</v>
      </c>
      <c r="I59" s="296"/>
      <c r="J59" s="214"/>
      <c r="K59" s="114"/>
      <c r="L59" s="114"/>
      <c r="M59" s="114"/>
      <c r="N59" s="114"/>
      <c r="O59" s="114"/>
      <c r="P59" s="138"/>
      <c r="Q59" s="138"/>
    </row>
    <row r="60" spans="1:17" ht="31.9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0.1</v>
      </c>
      <c r="F60" s="296">
        <v>0</v>
      </c>
      <c r="G60" s="296">
        <v>0</v>
      </c>
      <c r="H60" s="291">
        <f t="shared" si="2"/>
        <v>0</v>
      </c>
      <c r="I60" s="296"/>
      <c r="J60" s="214"/>
      <c r="K60" s="114"/>
      <c r="L60" s="114"/>
      <c r="M60" s="114"/>
      <c r="N60" s="114"/>
      <c r="O60" s="114"/>
      <c r="P60" s="138"/>
      <c r="Q60" s="138"/>
    </row>
    <row r="61" spans="1:17" s="149" customFormat="1" ht="31.9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0</v>
      </c>
      <c r="E61" s="299">
        <f t="shared" ref="E61:G61" si="28">E62+E63</f>
        <v>0.2</v>
      </c>
      <c r="F61" s="299">
        <f t="shared" si="28"/>
        <v>0</v>
      </c>
      <c r="G61" s="299">
        <f t="shared" si="28"/>
        <v>0</v>
      </c>
      <c r="H61" s="291">
        <f t="shared" si="2"/>
        <v>0</v>
      </c>
      <c r="I61" s="299"/>
      <c r="J61" s="214"/>
      <c r="K61" s="142"/>
      <c r="L61" s="218"/>
      <c r="M61" s="218"/>
      <c r="N61" s="218"/>
      <c r="O61" s="156"/>
      <c r="P61" s="156"/>
      <c r="Q61" s="156"/>
    </row>
    <row r="62" spans="1:17" ht="31.9" customHeight="1" x14ac:dyDescent="0.25">
      <c r="A62" s="5" t="s">
        <v>18</v>
      </c>
      <c r="B62" s="383" t="s">
        <v>203</v>
      </c>
      <c r="C62" s="5" t="s">
        <v>6</v>
      </c>
      <c r="D62" s="296"/>
      <c r="E62" s="296">
        <v>0.1</v>
      </c>
      <c r="F62" s="296">
        <v>0</v>
      </c>
      <c r="G62" s="296">
        <v>0</v>
      </c>
      <c r="H62" s="291">
        <f t="shared" si="2"/>
        <v>0</v>
      </c>
      <c r="I62" s="296"/>
      <c r="J62" s="214"/>
      <c r="K62" s="114"/>
      <c r="L62" s="114"/>
      <c r="M62" s="114"/>
      <c r="N62" s="114"/>
      <c r="O62" s="114"/>
      <c r="P62" s="138"/>
      <c r="Q62" s="138"/>
    </row>
    <row r="63" spans="1:17" ht="31.9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0.1</v>
      </c>
      <c r="F63" s="296">
        <v>0</v>
      </c>
      <c r="G63" s="296">
        <v>0</v>
      </c>
      <c r="H63" s="291">
        <f t="shared" si="2"/>
        <v>0</v>
      </c>
      <c r="I63" s="296"/>
      <c r="J63" s="214"/>
      <c r="K63" s="114"/>
      <c r="L63" s="114"/>
      <c r="M63" s="114"/>
      <c r="N63" s="114"/>
      <c r="O63" s="114"/>
      <c r="P63" s="138"/>
      <c r="Q63" s="138"/>
    </row>
    <row r="64" spans="1:17" ht="31.9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0</v>
      </c>
      <c r="E64" s="291">
        <f t="shared" ref="E64:G64" si="29">E65+E66</f>
        <v>0</v>
      </c>
      <c r="F64" s="291">
        <f t="shared" si="29"/>
        <v>0</v>
      </c>
      <c r="G64" s="291">
        <f t="shared" si="29"/>
        <v>0</v>
      </c>
      <c r="H64" s="291"/>
      <c r="I64" s="291"/>
      <c r="J64" s="214"/>
      <c r="K64" s="155"/>
      <c r="L64" s="155"/>
      <c r="M64" s="155"/>
      <c r="N64" s="155"/>
      <c r="O64" s="138"/>
      <c r="P64" s="138"/>
      <c r="Q64" s="138"/>
    </row>
    <row r="65" spans="1:17" ht="31.9" customHeight="1" x14ac:dyDescent="0.25">
      <c r="A65" s="5" t="s">
        <v>18</v>
      </c>
      <c r="B65" s="383" t="s">
        <v>196</v>
      </c>
      <c r="C65" s="5" t="s">
        <v>6</v>
      </c>
      <c r="D65" s="296"/>
      <c r="E65" s="296"/>
      <c r="F65" s="296"/>
      <c r="G65" s="296"/>
      <c r="H65" s="291"/>
      <c r="I65" s="296"/>
      <c r="J65" s="127"/>
      <c r="K65" s="155"/>
      <c r="L65" s="155"/>
      <c r="M65" s="155"/>
      <c r="N65" s="155"/>
      <c r="O65" s="138"/>
      <c r="P65" s="138"/>
      <c r="Q65" s="138"/>
    </row>
    <row r="66" spans="1:17" ht="31.9" customHeight="1" x14ac:dyDescent="0.25">
      <c r="A66" s="5" t="s">
        <v>18</v>
      </c>
      <c r="B66" s="337" t="s">
        <v>31</v>
      </c>
      <c r="C66" s="5" t="s">
        <v>6</v>
      </c>
      <c r="D66" s="296"/>
      <c r="E66" s="296"/>
      <c r="F66" s="296"/>
      <c r="G66" s="296"/>
      <c r="H66" s="291"/>
      <c r="I66" s="296"/>
      <c r="J66" s="127"/>
      <c r="K66" s="127"/>
      <c r="L66" s="127"/>
      <c r="M66" s="127"/>
      <c r="N66" s="127"/>
    </row>
    <row r="67" spans="1:17" ht="31.9" customHeight="1" x14ac:dyDescent="0.25">
      <c r="A67" s="3">
        <v>6</v>
      </c>
      <c r="B67" s="335" t="s">
        <v>38</v>
      </c>
      <c r="C67" s="3" t="s">
        <v>6</v>
      </c>
      <c r="D67" s="291">
        <f>D68+D71</f>
        <v>14.360000000000001</v>
      </c>
      <c r="E67" s="291">
        <f t="shared" ref="E67:G67" si="30">E68+E71</f>
        <v>14.48</v>
      </c>
      <c r="F67" s="291">
        <f t="shared" si="30"/>
        <v>14.360000000000001</v>
      </c>
      <c r="G67" s="291">
        <f t="shared" si="30"/>
        <v>14.360000000000001</v>
      </c>
      <c r="H67" s="291">
        <f t="shared" si="2"/>
        <v>99.171270718232051</v>
      </c>
      <c r="I67" s="291"/>
      <c r="J67" s="127"/>
      <c r="K67" s="127"/>
      <c r="L67" s="127"/>
      <c r="M67" s="127"/>
      <c r="N67" s="127"/>
    </row>
    <row r="68" spans="1:17" ht="31.9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0.55000000000000004</v>
      </c>
      <c r="E68" s="291">
        <f t="shared" ref="E68:G68" si="31">E69+E70</f>
        <v>0.55000000000000004</v>
      </c>
      <c r="F68" s="291">
        <f t="shared" si="31"/>
        <v>0.55000000000000004</v>
      </c>
      <c r="G68" s="291">
        <f t="shared" si="31"/>
        <v>0.55000000000000004</v>
      </c>
      <c r="H68" s="291">
        <f t="shared" si="2"/>
        <v>100</v>
      </c>
      <c r="I68" s="291"/>
      <c r="J68" s="127"/>
      <c r="K68" s="127"/>
      <c r="L68" s="127"/>
      <c r="M68" s="127"/>
      <c r="N68" s="127"/>
    </row>
    <row r="69" spans="1:17" ht="31.9" customHeight="1" x14ac:dyDescent="0.25">
      <c r="A69" s="5" t="s">
        <v>18</v>
      </c>
      <c r="B69" s="383" t="s">
        <v>205</v>
      </c>
      <c r="C69" s="5" t="s">
        <v>6</v>
      </c>
      <c r="D69" s="296">
        <v>0.5</v>
      </c>
      <c r="E69" s="296">
        <f>D69+D70</f>
        <v>0.55000000000000004</v>
      </c>
      <c r="F69" s="296">
        <v>0.55000000000000004</v>
      </c>
      <c r="G69" s="296">
        <v>0.55000000000000004</v>
      </c>
      <c r="H69" s="296">
        <f t="shared" si="2"/>
        <v>100</v>
      </c>
      <c r="I69" s="296"/>
      <c r="J69" s="127"/>
      <c r="K69" s="127"/>
      <c r="L69" s="127"/>
      <c r="M69" s="127"/>
      <c r="N69" s="127"/>
    </row>
    <row r="70" spans="1:17" ht="31.9" customHeight="1" x14ac:dyDescent="0.25">
      <c r="A70" s="5" t="s">
        <v>18</v>
      </c>
      <c r="B70" s="383" t="s">
        <v>206</v>
      </c>
      <c r="C70" s="5" t="s">
        <v>6</v>
      </c>
      <c r="D70" s="296">
        <v>0.05</v>
      </c>
      <c r="E70" s="296">
        <v>0</v>
      </c>
      <c r="F70" s="296"/>
      <c r="G70" s="296"/>
      <c r="H70" s="291"/>
      <c r="I70" s="296"/>
      <c r="J70" s="127"/>
      <c r="K70" s="121"/>
      <c r="L70" s="121"/>
      <c r="M70" s="121"/>
      <c r="N70" s="127"/>
    </row>
    <row r="71" spans="1:17" ht="31.9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13.81</v>
      </c>
      <c r="E71" s="291">
        <f t="shared" ref="E71:G71" si="32">E72+E73</f>
        <v>13.93</v>
      </c>
      <c r="F71" s="291">
        <f t="shared" si="32"/>
        <v>13.81</v>
      </c>
      <c r="G71" s="291">
        <f t="shared" si="32"/>
        <v>13.81</v>
      </c>
      <c r="H71" s="291">
        <f t="shared" si="2"/>
        <v>99.138549892318736</v>
      </c>
      <c r="I71" s="291"/>
      <c r="J71" s="127"/>
      <c r="K71" s="127"/>
      <c r="L71" s="127"/>
      <c r="M71" s="127"/>
      <c r="N71" s="127"/>
    </row>
    <row r="72" spans="1:17" ht="31.9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12.31</v>
      </c>
      <c r="E72" s="302">
        <f t="shared" ref="E72:G73" si="33">E75+E82</f>
        <v>13.81</v>
      </c>
      <c r="F72" s="302">
        <f t="shared" si="33"/>
        <v>13.81</v>
      </c>
      <c r="G72" s="302">
        <f t="shared" si="33"/>
        <v>13.81</v>
      </c>
      <c r="H72" s="291">
        <f t="shared" si="2"/>
        <v>100</v>
      </c>
      <c r="I72" s="302"/>
      <c r="J72" s="127"/>
      <c r="K72" s="127"/>
      <c r="L72" s="127"/>
      <c r="M72" s="127"/>
      <c r="N72" s="127"/>
    </row>
    <row r="73" spans="1:17" ht="31.9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1.5</v>
      </c>
      <c r="E73" s="291">
        <f t="shared" si="33"/>
        <v>0.12</v>
      </c>
      <c r="F73" s="291">
        <f t="shared" si="33"/>
        <v>0</v>
      </c>
      <c r="G73" s="291">
        <f t="shared" si="33"/>
        <v>0</v>
      </c>
      <c r="H73" s="291">
        <f t="shared" si="2"/>
        <v>0</v>
      </c>
      <c r="I73" s="291"/>
      <c r="J73" s="213"/>
      <c r="K73" s="213"/>
      <c r="L73" s="213"/>
      <c r="M73" s="213"/>
      <c r="N73" s="213"/>
    </row>
    <row r="74" spans="1:17" ht="31.9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11.34</v>
      </c>
      <c r="E74" s="304">
        <f t="shared" ref="E74:G74" si="34">E75+E76</f>
        <v>11.34</v>
      </c>
      <c r="F74" s="304">
        <f t="shared" si="34"/>
        <v>11.34</v>
      </c>
      <c r="G74" s="304">
        <f t="shared" si="34"/>
        <v>11.34</v>
      </c>
      <c r="H74" s="291">
        <f t="shared" ref="H74:H98" si="35">F74/E74*100</f>
        <v>100</v>
      </c>
      <c r="I74" s="304"/>
      <c r="J74" s="144"/>
      <c r="K74" s="144"/>
      <c r="L74" s="151"/>
      <c r="M74" s="151"/>
      <c r="N74" s="151"/>
      <c r="O74" s="151"/>
      <c r="P74" s="151"/>
      <c r="Q74" s="151"/>
    </row>
    <row r="75" spans="1:17" ht="31.9" customHeight="1" x14ac:dyDescent="0.25">
      <c r="A75" s="7" t="s">
        <v>24</v>
      </c>
      <c r="B75" s="391" t="s">
        <v>196</v>
      </c>
      <c r="C75" s="5" t="s">
        <v>6</v>
      </c>
      <c r="D75" s="306">
        <f>6.84+3</f>
        <v>9.84</v>
      </c>
      <c r="E75" s="306">
        <f>D75+D76</f>
        <v>11.34</v>
      </c>
      <c r="F75" s="306">
        <v>11.34</v>
      </c>
      <c r="G75" s="306">
        <v>11.34</v>
      </c>
      <c r="H75" s="296">
        <f t="shared" si="35"/>
        <v>100</v>
      </c>
      <c r="I75" s="296"/>
      <c r="J75" s="127"/>
      <c r="K75" s="127"/>
      <c r="L75" s="128"/>
      <c r="M75" s="128"/>
      <c r="N75" s="128"/>
      <c r="O75" s="126"/>
      <c r="P75" s="126"/>
      <c r="Q75" s="126"/>
    </row>
    <row r="76" spans="1:17" ht="31.9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1.5</v>
      </c>
      <c r="E76" s="307">
        <f>SUM(E77:E80)</f>
        <v>0</v>
      </c>
      <c r="F76" s="307">
        <f t="shared" ref="F76" si="36">SUM(F77:F80)</f>
        <v>0</v>
      </c>
      <c r="G76" s="307"/>
      <c r="H76" s="296"/>
      <c r="I76" s="307"/>
      <c r="J76" s="217"/>
      <c r="K76" s="217"/>
      <c r="L76" s="219"/>
      <c r="M76" s="219"/>
      <c r="N76" s="219"/>
      <c r="O76" s="126"/>
      <c r="P76" s="126"/>
      <c r="Q76" s="126"/>
    </row>
    <row r="77" spans="1:17" ht="31.9" customHeight="1" x14ac:dyDescent="0.25">
      <c r="A77" s="4" t="s">
        <v>18</v>
      </c>
      <c r="B77" s="393" t="s">
        <v>212</v>
      </c>
      <c r="C77" s="4" t="s">
        <v>6</v>
      </c>
      <c r="D77" s="296"/>
      <c r="E77" s="296">
        <v>0</v>
      </c>
      <c r="F77" s="296"/>
      <c r="G77" s="296"/>
      <c r="H77" s="296"/>
      <c r="I77" s="296"/>
      <c r="J77" s="217"/>
      <c r="K77" s="217"/>
      <c r="L77" s="219"/>
      <c r="M77" s="220"/>
      <c r="N77" s="220"/>
      <c r="O77" s="126"/>
      <c r="P77" s="164"/>
      <c r="Q77" s="164"/>
    </row>
    <row r="78" spans="1:17" ht="31.9" customHeight="1" x14ac:dyDescent="0.25">
      <c r="A78" s="4" t="s">
        <v>18</v>
      </c>
      <c r="B78" s="393" t="s">
        <v>189</v>
      </c>
      <c r="C78" s="4" t="s">
        <v>6</v>
      </c>
      <c r="D78" s="296"/>
      <c r="E78" s="296">
        <v>0</v>
      </c>
      <c r="F78" s="296"/>
      <c r="G78" s="299"/>
      <c r="H78" s="299"/>
      <c r="I78" s="296"/>
      <c r="J78" s="217"/>
      <c r="K78" s="217"/>
      <c r="L78" s="219"/>
      <c r="M78" s="219"/>
      <c r="N78" s="219"/>
      <c r="O78" s="126"/>
      <c r="P78" s="126"/>
      <c r="Q78" s="126"/>
    </row>
    <row r="79" spans="1:17" ht="31.9" customHeight="1" x14ac:dyDescent="0.25">
      <c r="A79" s="4" t="s">
        <v>18</v>
      </c>
      <c r="B79" s="393" t="s">
        <v>190</v>
      </c>
      <c r="C79" s="4" t="s">
        <v>6</v>
      </c>
      <c r="D79" s="296"/>
      <c r="E79" s="296"/>
      <c r="F79" s="296"/>
      <c r="G79" s="299"/>
      <c r="H79" s="299"/>
      <c r="I79" s="296"/>
      <c r="J79" s="217"/>
      <c r="K79" s="217"/>
      <c r="L79" s="219"/>
      <c r="M79" s="219"/>
      <c r="N79" s="219"/>
      <c r="O79" s="126"/>
      <c r="P79" s="126"/>
      <c r="Q79" s="126"/>
    </row>
    <row r="80" spans="1:17" ht="31.9" customHeight="1" x14ac:dyDescent="0.25">
      <c r="A80" s="4" t="s">
        <v>18</v>
      </c>
      <c r="B80" s="394" t="s">
        <v>208</v>
      </c>
      <c r="C80" s="4" t="s">
        <v>6</v>
      </c>
      <c r="D80" s="296">
        <v>1.5</v>
      </c>
      <c r="E80" s="296"/>
      <c r="F80" s="296"/>
      <c r="G80" s="299"/>
      <c r="H80" s="299"/>
      <c r="I80" s="296"/>
      <c r="J80" s="217"/>
      <c r="K80" s="217"/>
      <c r="L80" s="219"/>
      <c r="M80" s="219"/>
      <c r="N80" s="219"/>
      <c r="O80" s="126"/>
      <c r="P80" s="126"/>
      <c r="Q80" s="126"/>
    </row>
    <row r="81" spans="1:18" s="152" customFormat="1" ht="31.9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2.4700000000000002</v>
      </c>
      <c r="E81" s="304">
        <f t="shared" ref="E81:G81" si="37">E82+E83</f>
        <v>2.5900000000000003</v>
      </c>
      <c r="F81" s="304">
        <f t="shared" si="37"/>
        <v>2.4700000000000002</v>
      </c>
      <c r="G81" s="304">
        <f t="shared" si="37"/>
        <v>2.4700000000000002</v>
      </c>
      <c r="H81" s="313">
        <f t="shared" si="35"/>
        <v>95.366795366795358</v>
      </c>
      <c r="I81" s="304"/>
      <c r="J81" s="144"/>
      <c r="K81" s="144"/>
      <c r="L81" s="151"/>
      <c r="M81" s="151"/>
      <c r="N81" s="151"/>
      <c r="O81" s="151"/>
      <c r="P81" s="151"/>
      <c r="Q81" s="151"/>
    </row>
    <row r="82" spans="1:18" s="149" customFormat="1" ht="31.9" customHeight="1" x14ac:dyDescent="0.25">
      <c r="A82" s="392" t="s">
        <v>18</v>
      </c>
      <c r="B82" s="393" t="s">
        <v>188</v>
      </c>
      <c r="C82" s="4" t="s">
        <v>6</v>
      </c>
      <c r="D82" s="299">
        <v>2.4700000000000002</v>
      </c>
      <c r="E82" s="299">
        <f>D82+D83</f>
        <v>2.4700000000000002</v>
      </c>
      <c r="F82" s="299">
        <v>2.4700000000000002</v>
      </c>
      <c r="G82" s="299">
        <v>2.4700000000000002</v>
      </c>
      <c r="H82" s="299">
        <f t="shared" si="35"/>
        <v>100</v>
      </c>
      <c r="I82" s="299"/>
      <c r="J82" s="217"/>
      <c r="K82" s="217"/>
      <c r="L82" s="219"/>
      <c r="M82" s="219"/>
      <c r="N82" s="219"/>
      <c r="O82" s="148"/>
      <c r="P82" s="148"/>
      <c r="Q82" s="148"/>
    </row>
    <row r="83" spans="1:18" ht="31.9" customHeight="1" x14ac:dyDescent="0.25">
      <c r="A83" s="392" t="s">
        <v>15</v>
      </c>
      <c r="B83" s="389" t="s">
        <v>210</v>
      </c>
      <c r="C83" s="5" t="s">
        <v>6</v>
      </c>
      <c r="D83" s="306">
        <f t="shared" ref="D83" si="38">SUM(D84:D87)</f>
        <v>0</v>
      </c>
      <c r="E83" s="306">
        <f>SUM(E84:E87)</f>
        <v>0.12</v>
      </c>
      <c r="F83" s="306">
        <f t="shared" ref="F83:G83" si="39">SUM(F84:F87)</f>
        <v>0</v>
      </c>
      <c r="G83" s="306">
        <f t="shared" si="39"/>
        <v>0</v>
      </c>
      <c r="H83" s="291">
        <f t="shared" si="35"/>
        <v>0</v>
      </c>
      <c r="I83" s="306"/>
      <c r="J83" s="217"/>
      <c r="K83" s="217"/>
      <c r="L83" s="219"/>
      <c r="M83" s="219"/>
      <c r="N83" s="219"/>
      <c r="O83" s="126"/>
      <c r="P83" s="126"/>
      <c r="Q83" s="126"/>
    </row>
    <row r="84" spans="1:18" ht="31.9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296"/>
      <c r="I84" s="296"/>
      <c r="J84" s="219"/>
      <c r="K84" s="219"/>
      <c r="L84" s="219"/>
      <c r="M84" s="219"/>
      <c r="N84" s="219"/>
      <c r="O84" s="126"/>
      <c r="P84" s="126"/>
      <c r="Q84" s="126"/>
    </row>
    <row r="85" spans="1:18" ht="31.9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296"/>
      <c r="I85" s="296"/>
      <c r="J85" s="219"/>
      <c r="K85" s="219"/>
      <c r="L85" s="219"/>
      <c r="M85" s="219"/>
      <c r="N85" s="219"/>
    </row>
    <row r="86" spans="1:18" ht="31.9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296"/>
      <c r="I86" s="296"/>
      <c r="J86" s="219"/>
      <c r="K86" s="219"/>
      <c r="L86" s="219"/>
      <c r="M86" s="219"/>
      <c r="N86" s="126"/>
      <c r="O86" s="126"/>
      <c r="P86" s="126"/>
      <c r="Q86" s="126"/>
    </row>
    <row r="87" spans="1:18" ht="31.9" customHeight="1" x14ac:dyDescent="0.25">
      <c r="A87" s="392" t="s">
        <v>18</v>
      </c>
      <c r="B87" s="393" t="s">
        <v>193</v>
      </c>
      <c r="C87" s="4" t="s">
        <v>6</v>
      </c>
      <c r="D87" s="296"/>
      <c r="E87" s="296">
        <v>0.12</v>
      </c>
      <c r="F87" s="296">
        <v>0</v>
      </c>
      <c r="G87" s="296">
        <v>0</v>
      </c>
      <c r="H87" s="291">
        <f t="shared" si="35"/>
        <v>0</v>
      </c>
      <c r="I87" s="296"/>
      <c r="J87" s="219"/>
      <c r="K87" s="219"/>
      <c r="L87" s="219"/>
      <c r="M87" s="220"/>
      <c r="N87" s="220"/>
      <c r="O87" s="164"/>
      <c r="P87" s="164"/>
      <c r="Q87" s="164"/>
      <c r="R87" s="164"/>
    </row>
    <row r="88" spans="1:18" ht="31.9" customHeight="1" x14ac:dyDescent="0.25">
      <c r="A88" s="3" t="s">
        <v>44</v>
      </c>
      <c r="B88" s="334" t="s">
        <v>45</v>
      </c>
      <c r="C88" s="3"/>
      <c r="D88" s="291">
        <f>SUM(D89:D93)</f>
        <v>309</v>
      </c>
      <c r="E88" s="291">
        <f t="shared" ref="E88:G88" si="40">SUM(E89:E93)</f>
        <v>283</v>
      </c>
      <c r="F88" s="291">
        <f t="shared" si="40"/>
        <v>266</v>
      </c>
      <c r="G88" s="291">
        <f t="shared" si="40"/>
        <v>266</v>
      </c>
      <c r="H88" s="291">
        <f t="shared" si="35"/>
        <v>93.992932862190813</v>
      </c>
      <c r="I88" s="291"/>
      <c r="J88" s="128"/>
      <c r="K88" s="128"/>
      <c r="L88" s="136"/>
      <c r="M88" s="136"/>
      <c r="N88" s="128"/>
    </row>
    <row r="89" spans="1:18" s="194" customFormat="1" ht="31.9" customHeight="1" x14ac:dyDescent="0.25">
      <c r="A89" s="5">
        <v>1</v>
      </c>
      <c r="B89" s="337" t="s">
        <v>46</v>
      </c>
      <c r="C89" s="5" t="s">
        <v>8</v>
      </c>
      <c r="D89" s="296">
        <f>26+5</f>
        <v>31</v>
      </c>
      <c r="E89" s="296">
        <f>26+14</f>
        <v>40</v>
      </c>
      <c r="F89" s="296">
        <v>39</v>
      </c>
      <c r="G89" s="296">
        <f>F89</f>
        <v>39</v>
      </c>
      <c r="H89" s="296">
        <f t="shared" si="35"/>
        <v>97.5</v>
      </c>
      <c r="I89" s="296"/>
      <c r="J89" s="222"/>
      <c r="K89" s="267"/>
      <c r="L89" s="318"/>
      <c r="M89" s="319"/>
      <c r="N89" s="222"/>
    </row>
    <row r="90" spans="1:18" s="194" customFormat="1" ht="31.9" customHeight="1" x14ac:dyDescent="0.25">
      <c r="A90" s="5">
        <v>2</v>
      </c>
      <c r="B90" s="337" t="s">
        <v>47</v>
      </c>
      <c r="C90" s="5" t="s">
        <v>8</v>
      </c>
      <c r="D90" s="296">
        <f>43+5</f>
        <v>48</v>
      </c>
      <c r="E90" s="296">
        <f>42+7</f>
        <v>49</v>
      </c>
      <c r="F90" s="296">
        <v>46</v>
      </c>
      <c r="G90" s="296">
        <f>F90</f>
        <v>46</v>
      </c>
      <c r="H90" s="296">
        <f t="shared" si="35"/>
        <v>93.877551020408163</v>
      </c>
      <c r="I90" s="296"/>
      <c r="J90" s="222"/>
      <c r="K90" s="267"/>
      <c r="L90" s="318"/>
      <c r="M90" s="319"/>
      <c r="N90" s="222"/>
    </row>
    <row r="91" spans="1:18" s="194" customFormat="1" ht="31.9" customHeight="1" x14ac:dyDescent="0.25">
      <c r="A91" s="5">
        <v>3</v>
      </c>
      <c r="B91" s="337" t="s">
        <v>48</v>
      </c>
      <c r="C91" s="5" t="s">
        <v>8</v>
      </c>
      <c r="D91" s="296">
        <f>35-5</f>
        <v>30</v>
      </c>
      <c r="E91" s="296">
        <f>25+8</f>
        <v>33</v>
      </c>
      <c r="F91" s="296">
        <v>30</v>
      </c>
      <c r="G91" s="296">
        <f>F91</f>
        <v>30</v>
      </c>
      <c r="H91" s="296">
        <f t="shared" si="35"/>
        <v>90.909090909090907</v>
      </c>
      <c r="I91" s="296"/>
      <c r="J91" s="222"/>
      <c r="K91" s="267"/>
      <c r="L91" s="318"/>
      <c r="M91" s="319"/>
      <c r="N91" s="222"/>
    </row>
    <row r="92" spans="1:18" ht="31.9" customHeight="1" x14ac:dyDescent="0.25">
      <c r="A92" s="5">
        <v>4</v>
      </c>
      <c r="B92" s="337" t="s">
        <v>49</v>
      </c>
      <c r="C92" s="5" t="s">
        <v>8</v>
      </c>
      <c r="D92" s="296">
        <v>3</v>
      </c>
      <c r="E92" s="296"/>
      <c r="F92" s="296"/>
      <c r="G92" s="296"/>
      <c r="H92" s="291"/>
      <c r="I92" s="296"/>
      <c r="J92" s="128"/>
      <c r="K92" s="128"/>
      <c r="L92" s="320"/>
      <c r="M92" s="319"/>
      <c r="N92" s="128"/>
    </row>
    <row r="93" spans="1:18" s="194" customFormat="1" ht="31.9" customHeight="1" x14ac:dyDescent="0.25">
      <c r="A93" s="5">
        <v>5</v>
      </c>
      <c r="B93" s="337" t="s">
        <v>50</v>
      </c>
      <c r="C93" s="5" t="s">
        <v>8</v>
      </c>
      <c r="D93" s="296">
        <f>188+9</f>
        <v>197</v>
      </c>
      <c r="E93" s="296">
        <f>178-17</f>
        <v>161</v>
      </c>
      <c r="F93" s="296">
        <v>151</v>
      </c>
      <c r="G93" s="296">
        <f>F93</f>
        <v>151</v>
      </c>
      <c r="H93" s="296">
        <f t="shared" si="35"/>
        <v>93.788819875776397</v>
      </c>
      <c r="I93" s="296"/>
      <c r="J93" s="267"/>
      <c r="K93" s="267"/>
      <c r="L93" s="320"/>
      <c r="M93" s="319"/>
      <c r="N93" s="222"/>
    </row>
    <row r="94" spans="1:18" s="131" customFormat="1" ht="31.9" customHeight="1" x14ac:dyDescent="0.25">
      <c r="A94" s="3" t="s">
        <v>51</v>
      </c>
      <c r="B94" s="335" t="s">
        <v>52</v>
      </c>
      <c r="C94" s="3" t="s">
        <v>6</v>
      </c>
      <c r="D94" s="291">
        <f>D95</f>
        <v>0</v>
      </c>
      <c r="E94" s="291">
        <f t="shared" ref="E94:G94" si="41">E95</f>
        <v>0</v>
      </c>
      <c r="F94" s="291">
        <f t="shared" si="41"/>
        <v>0</v>
      </c>
      <c r="G94" s="291">
        <f t="shared" si="41"/>
        <v>0</v>
      </c>
      <c r="H94" s="291"/>
      <c r="I94" s="291"/>
      <c r="J94" s="130"/>
      <c r="K94" s="130"/>
      <c r="L94" s="130"/>
      <c r="M94" s="130"/>
      <c r="N94" s="130"/>
    </row>
    <row r="95" spans="1:18" ht="31.9" customHeight="1" x14ac:dyDescent="0.25">
      <c r="A95" s="4" t="s">
        <v>18</v>
      </c>
      <c r="B95" s="389" t="s">
        <v>53</v>
      </c>
      <c r="C95" s="4" t="s">
        <v>6</v>
      </c>
      <c r="D95" s="296"/>
      <c r="E95" s="296"/>
      <c r="F95" s="296"/>
      <c r="G95" s="296"/>
      <c r="H95" s="291"/>
      <c r="I95" s="296"/>
      <c r="J95" s="128"/>
      <c r="K95" s="128"/>
      <c r="L95" s="128"/>
      <c r="M95" s="128"/>
      <c r="N95" s="128"/>
    </row>
    <row r="96" spans="1:18" ht="31.9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2.8</v>
      </c>
      <c r="E96" s="291">
        <f t="shared" ref="E96:G96" si="42">E97+E98</f>
        <v>0.65</v>
      </c>
      <c r="F96" s="291">
        <f t="shared" si="42"/>
        <v>0</v>
      </c>
      <c r="G96" s="291">
        <f t="shared" si="42"/>
        <v>0</v>
      </c>
      <c r="H96" s="291">
        <f t="shared" si="35"/>
        <v>0</v>
      </c>
      <c r="I96" s="291"/>
      <c r="J96" s="128"/>
      <c r="K96" s="128"/>
      <c r="L96" s="128"/>
      <c r="M96" s="128"/>
      <c r="N96" s="128"/>
    </row>
    <row r="97" spans="1:14" ht="31.9" customHeight="1" x14ac:dyDescent="0.25">
      <c r="A97" s="5" t="s">
        <v>18</v>
      </c>
      <c r="B97" s="391" t="s">
        <v>213</v>
      </c>
      <c r="C97" s="4" t="s">
        <v>6</v>
      </c>
      <c r="D97" s="296"/>
      <c r="E97" s="296"/>
      <c r="F97" s="296"/>
      <c r="G97" s="296"/>
      <c r="H97" s="291"/>
      <c r="I97" s="296"/>
      <c r="J97" s="128"/>
      <c r="K97" s="128"/>
      <c r="L97" s="128"/>
      <c r="M97" s="128"/>
      <c r="N97" s="128"/>
    </row>
    <row r="98" spans="1:14" ht="31.9" customHeight="1" x14ac:dyDescent="0.25">
      <c r="A98" s="395" t="s">
        <v>18</v>
      </c>
      <c r="B98" s="391" t="s">
        <v>56</v>
      </c>
      <c r="C98" s="4" t="s">
        <v>6</v>
      </c>
      <c r="D98" s="296">
        <v>2.8</v>
      </c>
      <c r="E98" s="296">
        <v>0.65</v>
      </c>
      <c r="F98" s="296"/>
      <c r="G98" s="296"/>
      <c r="H98" s="291">
        <f t="shared" si="35"/>
        <v>0</v>
      </c>
      <c r="I98" s="296"/>
      <c r="J98" s="128"/>
      <c r="K98" s="128"/>
      <c r="L98" s="128"/>
      <c r="M98" s="128"/>
      <c r="N98" s="128"/>
    </row>
    <row r="99" spans="1:14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27"/>
      <c r="L99" s="127"/>
      <c r="M99" s="127"/>
      <c r="N99" s="127"/>
    </row>
    <row r="100" spans="1:14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27"/>
      <c r="L100" s="127"/>
      <c r="M100" s="127"/>
      <c r="N100" s="127"/>
    </row>
    <row r="101" spans="1:14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27"/>
      <c r="L101" s="127"/>
      <c r="M101" s="127"/>
      <c r="N101" s="127"/>
    </row>
    <row r="102" spans="1:14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27"/>
      <c r="L102" s="127"/>
      <c r="M102" s="127"/>
      <c r="N102" s="127"/>
    </row>
    <row r="103" spans="1:14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27"/>
      <c r="L103" s="127"/>
      <c r="M103" s="127"/>
      <c r="N103" s="127"/>
    </row>
    <row r="104" spans="1:14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27"/>
      <c r="L104" s="127"/>
      <c r="M104" s="127"/>
      <c r="N104" s="127"/>
    </row>
    <row r="105" spans="1:14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27"/>
      <c r="L105" s="127"/>
      <c r="M105" s="127"/>
      <c r="N105" s="127"/>
    </row>
    <row r="106" spans="1:14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27"/>
      <c r="L106" s="127"/>
      <c r="M106" s="127"/>
      <c r="N106" s="127"/>
    </row>
    <row r="107" spans="1:14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27"/>
      <c r="L107" s="127"/>
      <c r="M107" s="127"/>
      <c r="N107" s="127"/>
    </row>
    <row r="108" spans="1:14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27"/>
      <c r="L108" s="127"/>
      <c r="M108" s="127"/>
      <c r="N108" s="127"/>
    </row>
    <row r="109" spans="1:14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  <c r="N109" s="127"/>
    </row>
    <row r="110" spans="1:14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  <c r="N110" s="127"/>
    </row>
    <row r="111" spans="1:14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  <c r="N111" s="127"/>
    </row>
    <row r="112" spans="1:14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  <c r="N112" s="127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I7:I8"/>
    <mergeCell ref="E7:H7"/>
    <mergeCell ref="A5:I5"/>
  </mergeCells>
  <pageMargins left="0.39370078740157483" right="0.35433070866141736" top="0.51181102362204722" bottom="0.55118110236220474" header="0" footer="0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984"/>
  <sheetViews>
    <sheetView zoomScaleNormal="100" workbookViewId="0">
      <pane ySplit="8" topLeftCell="A49" activePane="bottomLeft" state="frozen"/>
      <selection pane="bottomLeft" activeCell="B7" sqref="B7:B8"/>
    </sheetView>
  </sheetViews>
  <sheetFormatPr defaultColWidth="11.21875" defaultRowHeight="15" customHeight="1" x14ac:dyDescent="0.25"/>
  <cols>
    <col min="1" max="1" width="7.5546875" style="330" customWidth="1"/>
    <col min="2" max="2" width="29" style="330" customWidth="1"/>
    <col min="3" max="3" width="9.44140625" style="330" customWidth="1"/>
    <col min="4" max="5" width="18.109375" style="330" customWidth="1"/>
    <col min="6" max="8" width="12.6640625" style="330" customWidth="1"/>
    <col min="9" max="9" width="11.77734375" style="330" customWidth="1"/>
    <col min="10" max="10" width="8.88671875" style="125" customWidth="1"/>
    <col min="11" max="11" width="19.21875" style="125" customWidth="1"/>
    <col min="12" max="14" width="8.88671875" style="125" customWidth="1"/>
    <col min="15" max="16384" width="11.21875" style="125"/>
  </cols>
  <sheetData>
    <row r="1" spans="1:18" ht="15" customHeight="1" x14ac:dyDescent="0.25">
      <c r="H1" s="409"/>
      <c r="I1" s="409"/>
    </row>
    <row r="2" spans="1:18" ht="16.5" x14ac:dyDescent="0.25">
      <c r="A2" s="410"/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  <c r="N2" s="127"/>
    </row>
    <row r="3" spans="1:18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18" ht="16.5" x14ac:dyDescent="0.25">
      <c r="A4" s="405" t="s">
        <v>229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18" ht="16.5" x14ac:dyDescent="0.25">
      <c r="A5" s="417" t="str">
        <f>'ĐĂK KA(6)'!A5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18" ht="16.5" x14ac:dyDescent="0.25">
      <c r="A6" s="376"/>
      <c r="B6" s="376"/>
      <c r="C6" s="376"/>
      <c r="D6" s="377"/>
      <c r="E6" s="377"/>
      <c r="F6" s="377"/>
      <c r="G6" s="377"/>
      <c r="H6" s="377"/>
      <c r="I6" s="377"/>
      <c r="J6" s="127"/>
      <c r="K6" s="127"/>
      <c r="L6" s="127"/>
      <c r="M6" s="127"/>
      <c r="N6" s="127"/>
    </row>
    <row r="7" spans="1:18" ht="33.6" customHeight="1" x14ac:dyDescent="0.25">
      <c r="A7" s="412" t="s">
        <v>10</v>
      </c>
      <c r="B7" s="412" t="s">
        <v>1</v>
      </c>
      <c r="C7" s="412" t="s">
        <v>11</v>
      </c>
      <c r="D7" s="414" t="s">
        <v>222</v>
      </c>
      <c r="E7" s="416" t="s">
        <v>256</v>
      </c>
      <c r="F7" s="418"/>
      <c r="G7" s="418"/>
      <c r="H7" s="419"/>
      <c r="I7" s="407" t="s">
        <v>259</v>
      </c>
      <c r="J7" s="127"/>
      <c r="K7" s="153" t="s">
        <v>215</v>
      </c>
      <c r="L7" s="174">
        <v>36</v>
      </c>
      <c r="M7" s="127"/>
      <c r="N7" s="127"/>
    </row>
    <row r="8" spans="1:18" ht="33.6" customHeight="1" x14ac:dyDescent="0.25">
      <c r="A8" s="413"/>
      <c r="B8" s="413"/>
      <c r="C8" s="413"/>
      <c r="D8" s="415"/>
      <c r="E8" s="331" t="s">
        <v>257</v>
      </c>
      <c r="F8" s="331" t="s">
        <v>261</v>
      </c>
      <c r="G8" s="331" t="s">
        <v>263</v>
      </c>
      <c r="H8" s="331" t="s">
        <v>258</v>
      </c>
      <c r="I8" s="423"/>
      <c r="J8" s="127"/>
      <c r="K8" s="153" t="s">
        <v>216</v>
      </c>
      <c r="L8" s="174">
        <v>173</v>
      </c>
      <c r="M8" s="127"/>
      <c r="N8" s="127"/>
    </row>
    <row r="9" spans="1:18" s="131" customFormat="1" ht="31.9" customHeight="1" x14ac:dyDescent="0.25">
      <c r="A9" s="3" t="s">
        <v>12</v>
      </c>
      <c r="B9" s="335" t="s">
        <v>13</v>
      </c>
      <c r="C9" s="3" t="s">
        <v>6</v>
      </c>
      <c r="D9" s="291">
        <f>D13+D28+D37+D43+D46+D67</f>
        <v>54.019999999999996</v>
      </c>
      <c r="E9" s="291">
        <f t="shared" ref="E9:G9" si="0">E13+E28+E37+E43+E46+E67</f>
        <v>70.949999999999989</v>
      </c>
      <c r="F9" s="291">
        <f t="shared" si="0"/>
        <v>52.05</v>
      </c>
      <c r="G9" s="291">
        <f t="shared" si="0"/>
        <v>52.05</v>
      </c>
      <c r="H9" s="291">
        <f>F9/E9*100</f>
        <v>73.361522198731507</v>
      </c>
      <c r="I9" s="291"/>
      <c r="J9" s="213"/>
      <c r="K9" s="213"/>
      <c r="L9" s="213"/>
      <c r="M9" s="213"/>
      <c r="N9" s="213"/>
    </row>
    <row r="10" spans="1:18" s="131" customFormat="1" ht="31.9" customHeight="1" x14ac:dyDescent="0.25">
      <c r="A10" s="3">
        <v>1</v>
      </c>
      <c r="B10" s="335" t="s">
        <v>14</v>
      </c>
      <c r="C10" s="3" t="s">
        <v>6</v>
      </c>
      <c r="D10" s="291">
        <f>D13+D28</f>
        <v>1</v>
      </c>
      <c r="E10" s="291">
        <f t="shared" ref="E10:G10" si="1">E13+E28</f>
        <v>8.3000000000000007</v>
      </c>
      <c r="F10" s="291">
        <f t="shared" si="1"/>
        <v>1.3</v>
      </c>
      <c r="G10" s="291">
        <f t="shared" si="1"/>
        <v>1.3</v>
      </c>
      <c r="H10" s="291">
        <f t="shared" ref="H10:H73" si="2">F10/E10*100</f>
        <v>15.66265060240964</v>
      </c>
      <c r="I10" s="291"/>
      <c r="J10" s="213"/>
      <c r="K10" s="213"/>
      <c r="L10" s="213"/>
      <c r="M10" s="213"/>
      <c r="N10" s="213"/>
    </row>
    <row r="11" spans="1:18" s="178" customFormat="1" ht="31.9" customHeight="1" x14ac:dyDescent="0.25">
      <c r="A11" s="3"/>
      <c r="B11" s="334" t="s">
        <v>16</v>
      </c>
      <c r="C11" s="3" t="s">
        <v>17</v>
      </c>
      <c r="D11" s="291">
        <f>D12+D30</f>
        <v>3.6850000000000001</v>
      </c>
      <c r="E11" s="291">
        <f t="shared" ref="E11:G11" si="3">E12+E30</f>
        <v>25.688550000000003</v>
      </c>
      <c r="F11" s="291">
        <f t="shared" si="3"/>
        <v>0</v>
      </c>
      <c r="G11" s="291">
        <f t="shared" si="3"/>
        <v>0</v>
      </c>
      <c r="H11" s="291">
        <f t="shared" si="2"/>
        <v>0</v>
      </c>
      <c r="I11" s="291"/>
      <c r="J11" s="213"/>
      <c r="K11" s="213"/>
      <c r="L11" s="232"/>
      <c r="M11" s="232"/>
      <c r="N11" s="232"/>
    </row>
    <row r="12" spans="1:18" s="178" customFormat="1" ht="31.9" customHeight="1" x14ac:dyDescent="0.25">
      <c r="A12" s="3"/>
      <c r="B12" s="335" t="s">
        <v>221</v>
      </c>
      <c r="C12" s="3" t="s">
        <v>17</v>
      </c>
      <c r="D12" s="291">
        <f>D15</f>
        <v>0</v>
      </c>
      <c r="E12" s="291">
        <f t="shared" ref="E12:G12" si="4">E15</f>
        <v>21.998550000000002</v>
      </c>
      <c r="F12" s="291">
        <f t="shared" si="4"/>
        <v>0</v>
      </c>
      <c r="G12" s="291">
        <f t="shared" si="4"/>
        <v>0</v>
      </c>
      <c r="H12" s="291">
        <f t="shared" si="2"/>
        <v>0</v>
      </c>
      <c r="I12" s="291"/>
      <c r="J12" s="213"/>
      <c r="K12" s="213"/>
      <c r="L12" s="232"/>
      <c r="M12" s="232"/>
      <c r="N12" s="232"/>
    </row>
    <row r="13" spans="1:18" ht="31.9" customHeight="1" x14ac:dyDescent="0.25">
      <c r="A13" s="3" t="s">
        <v>5</v>
      </c>
      <c r="B13" s="335" t="s">
        <v>19</v>
      </c>
      <c r="C13" s="3" t="s">
        <v>6</v>
      </c>
      <c r="D13" s="291">
        <f>D16+D19</f>
        <v>0</v>
      </c>
      <c r="E13" s="291">
        <f t="shared" ref="E13:G13" si="5">E16+E19</f>
        <v>7.3</v>
      </c>
      <c r="F13" s="291">
        <f t="shared" si="5"/>
        <v>1.3</v>
      </c>
      <c r="G13" s="291">
        <f t="shared" si="5"/>
        <v>1.3</v>
      </c>
      <c r="H13" s="291">
        <f t="shared" si="2"/>
        <v>17.808219178082194</v>
      </c>
      <c r="I13" s="291"/>
      <c r="J13" s="127"/>
      <c r="K13" s="234"/>
      <c r="L13" s="234"/>
      <c r="M13" s="234"/>
      <c r="N13" s="127"/>
    </row>
    <row r="14" spans="1:18" s="177" customFormat="1" ht="31.9" customHeight="1" x14ac:dyDescent="0.25">
      <c r="A14" s="3"/>
      <c r="B14" s="337" t="s">
        <v>218</v>
      </c>
      <c r="C14" s="5" t="s">
        <v>219</v>
      </c>
      <c r="D14" s="296">
        <f>(D17+D20)/2</f>
        <v>30.125</v>
      </c>
      <c r="E14" s="296">
        <f t="shared" ref="E14:G14" si="6">(E17+E20)/2</f>
        <v>30.135000000000002</v>
      </c>
      <c r="F14" s="296">
        <f t="shared" si="6"/>
        <v>0</v>
      </c>
      <c r="G14" s="296">
        <f t="shared" si="6"/>
        <v>0</v>
      </c>
      <c r="H14" s="291">
        <f t="shared" si="2"/>
        <v>0</v>
      </c>
      <c r="I14" s="296"/>
      <c r="J14" s="127"/>
      <c r="K14" s="127"/>
      <c r="L14" s="233"/>
      <c r="M14" s="233"/>
      <c r="N14" s="233"/>
    </row>
    <row r="15" spans="1:18" s="177" customFormat="1" ht="31.9" customHeight="1" x14ac:dyDescent="0.25">
      <c r="A15" s="3"/>
      <c r="B15" s="337" t="s">
        <v>220</v>
      </c>
      <c r="C15" s="5" t="s">
        <v>17</v>
      </c>
      <c r="D15" s="296">
        <f>D13*D14/10</f>
        <v>0</v>
      </c>
      <c r="E15" s="296">
        <f t="shared" ref="E15:G15" si="7">E13*E14/10</f>
        <v>21.998550000000002</v>
      </c>
      <c r="F15" s="296">
        <f t="shared" si="7"/>
        <v>0</v>
      </c>
      <c r="G15" s="296">
        <f t="shared" si="7"/>
        <v>0</v>
      </c>
      <c r="H15" s="291">
        <f t="shared" si="2"/>
        <v>0</v>
      </c>
      <c r="I15" s="296"/>
      <c r="J15" s="127"/>
      <c r="K15" s="127"/>
      <c r="L15" s="233"/>
      <c r="M15" s="233"/>
      <c r="N15" s="233"/>
    </row>
    <row r="16" spans="1:18" ht="31.9" customHeight="1" x14ac:dyDescent="0.25">
      <c r="A16" s="3" t="s">
        <v>20</v>
      </c>
      <c r="B16" s="335" t="s">
        <v>21</v>
      </c>
      <c r="C16" s="3" t="s">
        <v>6</v>
      </c>
      <c r="D16" s="291"/>
      <c r="E16" s="291">
        <v>1.3</v>
      </c>
      <c r="F16" s="291">
        <v>1.3</v>
      </c>
      <c r="G16" s="291">
        <v>1.3</v>
      </c>
      <c r="H16" s="291">
        <f t="shared" si="2"/>
        <v>100</v>
      </c>
      <c r="I16" s="291"/>
      <c r="J16" s="214"/>
      <c r="K16" s="214"/>
      <c r="L16" s="214"/>
      <c r="M16" s="214"/>
      <c r="N16" s="214"/>
      <c r="O16" s="135"/>
      <c r="P16" s="135"/>
      <c r="Q16" s="135"/>
      <c r="R16" s="135"/>
    </row>
    <row r="17" spans="1:21" s="177" customFormat="1" ht="31.9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>
        <v>0</v>
      </c>
      <c r="G17" s="296">
        <v>0</v>
      </c>
      <c r="H17" s="291">
        <f t="shared" si="2"/>
        <v>0</v>
      </c>
      <c r="I17" s="296"/>
      <c r="J17" s="214"/>
      <c r="K17" s="214"/>
      <c r="L17" s="239"/>
      <c r="M17" s="239"/>
      <c r="N17" s="239"/>
      <c r="O17" s="240"/>
      <c r="P17" s="240"/>
      <c r="Q17" s="240"/>
      <c r="R17" s="240"/>
    </row>
    <row r="18" spans="1:21" s="177" customFormat="1" ht="31.9" customHeight="1" x14ac:dyDescent="0.25">
      <c r="A18" s="3"/>
      <c r="B18" s="337" t="s">
        <v>220</v>
      </c>
      <c r="C18" s="5" t="s">
        <v>17</v>
      </c>
      <c r="D18" s="296">
        <f>D16*D17/10</f>
        <v>0</v>
      </c>
      <c r="E18" s="296">
        <f t="shared" ref="E18:G18" si="8">E16*E17/10</f>
        <v>4.3550000000000004</v>
      </c>
      <c r="F18" s="296">
        <f t="shared" si="8"/>
        <v>0</v>
      </c>
      <c r="G18" s="296">
        <f t="shared" si="8"/>
        <v>0</v>
      </c>
      <c r="H18" s="291">
        <f t="shared" si="2"/>
        <v>0</v>
      </c>
      <c r="I18" s="296"/>
      <c r="J18" s="214"/>
      <c r="K18" s="214"/>
      <c r="L18" s="239"/>
      <c r="M18" s="239"/>
      <c r="N18" s="239"/>
      <c r="O18" s="240"/>
      <c r="P18" s="240"/>
      <c r="Q18" s="240"/>
      <c r="R18" s="240"/>
    </row>
    <row r="19" spans="1:21" ht="31.9" customHeight="1" x14ac:dyDescent="0.25">
      <c r="A19" s="379" t="s">
        <v>22</v>
      </c>
      <c r="B19" s="380" t="s">
        <v>23</v>
      </c>
      <c r="C19" s="379" t="s">
        <v>6</v>
      </c>
      <c r="D19" s="291">
        <f t="shared" ref="D19:G19" si="9">D22+D25</f>
        <v>0</v>
      </c>
      <c r="E19" s="291">
        <f t="shared" si="9"/>
        <v>6</v>
      </c>
      <c r="F19" s="291">
        <f t="shared" si="9"/>
        <v>0</v>
      </c>
      <c r="G19" s="291">
        <f t="shared" si="9"/>
        <v>0</v>
      </c>
      <c r="H19" s="291">
        <f t="shared" si="2"/>
        <v>0</v>
      </c>
      <c r="I19" s="291"/>
      <c r="J19" s="128"/>
      <c r="K19" s="128"/>
      <c r="L19" s="128"/>
      <c r="M19" s="128"/>
      <c r="N19" s="223"/>
      <c r="O19" s="133"/>
      <c r="P19" s="133"/>
      <c r="Q19" s="133"/>
      <c r="R19" s="133"/>
      <c r="S19" s="133"/>
      <c r="T19" s="133"/>
      <c r="U19" s="165"/>
    </row>
    <row r="20" spans="1:21" s="177" customFormat="1" ht="31.9" customHeight="1" x14ac:dyDescent="0.25">
      <c r="A20" s="379"/>
      <c r="B20" s="337" t="s">
        <v>218</v>
      </c>
      <c r="C20" s="5" t="s">
        <v>219</v>
      </c>
      <c r="D20" s="296">
        <f>(D23+D26)/2</f>
        <v>26.75</v>
      </c>
      <c r="E20" s="296">
        <f t="shared" ref="E20:G20" si="10">(E23+E26)/2</f>
        <v>26.770000000000003</v>
      </c>
      <c r="F20" s="296">
        <f t="shared" si="10"/>
        <v>0</v>
      </c>
      <c r="G20" s="296">
        <f t="shared" si="10"/>
        <v>0</v>
      </c>
      <c r="H20" s="291">
        <f t="shared" si="2"/>
        <v>0</v>
      </c>
      <c r="I20" s="296"/>
      <c r="J20" s="128"/>
      <c r="K20" s="128"/>
      <c r="L20" s="241"/>
      <c r="M20" s="241"/>
      <c r="N20" s="242"/>
      <c r="O20" s="179"/>
      <c r="P20" s="179"/>
      <c r="Q20" s="179"/>
      <c r="R20" s="179"/>
      <c r="S20" s="179"/>
      <c r="T20" s="179"/>
      <c r="U20" s="180"/>
    </row>
    <row r="21" spans="1:21" s="177" customFormat="1" ht="31.9" customHeight="1" x14ac:dyDescent="0.25">
      <c r="A21" s="379"/>
      <c r="B21" s="337" t="s">
        <v>220</v>
      </c>
      <c r="C21" s="5" t="s">
        <v>17</v>
      </c>
      <c r="D21" s="296">
        <f>D19*D20/10</f>
        <v>0</v>
      </c>
      <c r="E21" s="296">
        <f t="shared" ref="E21:G21" si="11">E19*E20/10</f>
        <v>16.062000000000001</v>
      </c>
      <c r="F21" s="296">
        <f t="shared" si="11"/>
        <v>0</v>
      </c>
      <c r="G21" s="296">
        <f t="shared" si="11"/>
        <v>0</v>
      </c>
      <c r="H21" s="291">
        <f t="shared" si="2"/>
        <v>0</v>
      </c>
      <c r="I21" s="296"/>
      <c r="J21" s="128"/>
      <c r="K21" s="128"/>
      <c r="L21" s="241"/>
      <c r="M21" s="241"/>
      <c r="N21" s="242"/>
      <c r="O21" s="179"/>
      <c r="P21" s="179"/>
      <c r="Q21" s="179"/>
      <c r="R21" s="179"/>
      <c r="S21" s="179"/>
      <c r="T21" s="179"/>
      <c r="U21" s="180"/>
    </row>
    <row r="22" spans="1:21" ht="31.9" customHeight="1" x14ac:dyDescent="0.25">
      <c r="A22" s="379" t="s">
        <v>24</v>
      </c>
      <c r="B22" s="380" t="s">
        <v>25</v>
      </c>
      <c r="C22" s="379" t="s">
        <v>6</v>
      </c>
      <c r="D22" s="291"/>
      <c r="E22" s="291">
        <v>6</v>
      </c>
      <c r="F22" s="296">
        <v>0</v>
      </c>
      <c r="G22" s="291">
        <v>0</v>
      </c>
      <c r="H22" s="291">
        <f t="shared" si="2"/>
        <v>0</v>
      </c>
      <c r="I22" s="296"/>
      <c r="J22" s="121"/>
      <c r="K22" s="121"/>
      <c r="L22" s="121"/>
      <c r="M22" s="121"/>
      <c r="N22" s="145"/>
      <c r="O22" s="146"/>
      <c r="P22" s="146"/>
      <c r="Q22" s="146"/>
      <c r="R22" s="146"/>
      <c r="S22" s="146"/>
      <c r="T22" s="146"/>
      <c r="U22" s="165"/>
    </row>
    <row r="23" spans="1:21" s="177" customFormat="1" ht="31.9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/>
      <c r="G23" s="296"/>
      <c r="H23" s="291">
        <f t="shared" si="2"/>
        <v>0</v>
      </c>
      <c r="I23" s="296"/>
      <c r="J23" s="121"/>
      <c r="K23" s="121"/>
      <c r="L23" s="181"/>
      <c r="M23" s="181"/>
      <c r="N23" s="182"/>
      <c r="O23" s="183"/>
      <c r="P23" s="183"/>
      <c r="Q23" s="183"/>
      <c r="R23" s="183"/>
      <c r="S23" s="183"/>
      <c r="T23" s="183"/>
      <c r="U23" s="180"/>
    </row>
    <row r="24" spans="1:21" s="177" customFormat="1" ht="31.9" customHeight="1" x14ac:dyDescent="0.25">
      <c r="A24" s="379"/>
      <c r="B24" s="337" t="s">
        <v>220</v>
      </c>
      <c r="C24" s="5" t="s">
        <v>17</v>
      </c>
      <c r="D24" s="296">
        <f>D22*D23/10</f>
        <v>0</v>
      </c>
      <c r="E24" s="296">
        <f t="shared" ref="E24:G24" si="12">E22*E23/10</f>
        <v>23.004000000000001</v>
      </c>
      <c r="F24" s="296">
        <f t="shared" si="12"/>
        <v>0</v>
      </c>
      <c r="G24" s="296">
        <f t="shared" si="12"/>
        <v>0</v>
      </c>
      <c r="H24" s="291">
        <f t="shared" si="2"/>
        <v>0</v>
      </c>
      <c r="I24" s="296"/>
      <c r="J24" s="121"/>
      <c r="K24" s="121"/>
      <c r="L24" s="181"/>
      <c r="M24" s="181"/>
      <c r="N24" s="182"/>
      <c r="O24" s="183"/>
      <c r="P24" s="183"/>
      <c r="Q24" s="183"/>
      <c r="R24" s="183"/>
      <c r="S24" s="183"/>
      <c r="T24" s="183"/>
      <c r="U24" s="180"/>
    </row>
    <row r="25" spans="1:21" ht="31.9" customHeight="1" x14ac:dyDescent="0.25">
      <c r="A25" s="379" t="s">
        <v>24</v>
      </c>
      <c r="B25" s="380" t="s">
        <v>26</v>
      </c>
      <c r="C25" s="379" t="s">
        <v>6</v>
      </c>
      <c r="D25" s="291"/>
      <c r="E25" s="291"/>
      <c r="F25" s="296">
        <v>0</v>
      </c>
      <c r="G25" s="296">
        <v>0</v>
      </c>
      <c r="H25" s="291"/>
      <c r="I25" s="296"/>
      <c r="J25" s="121"/>
      <c r="K25" s="121"/>
      <c r="L25" s="121"/>
      <c r="M25" s="121"/>
      <c r="N25" s="121"/>
      <c r="O25" s="122"/>
      <c r="P25" s="122"/>
      <c r="Q25" s="123"/>
      <c r="R25" s="123"/>
      <c r="S25" s="123"/>
      <c r="T25" s="123"/>
    </row>
    <row r="26" spans="1:21" ht="31.9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15.2</v>
      </c>
      <c r="F26" s="296"/>
      <c r="G26" s="296"/>
      <c r="H26" s="291">
        <f t="shared" si="2"/>
        <v>0</v>
      </c>
      <c r="I26" s="296"/>
      <c r="J26" s="121"/>
      <c r="K26" s="121"/>
      <c r="L26" s="121"/>
      <c r="M26" s="121"/>
      <c r="N26" s="121"/>
      <c r="O26" s="122"/>
      <c r="P26" s="122"/>
      <c r="Q26" s="123"/>
      <c r="R26" s="123"/>
      <c r="S26" s="123"/>
      <c r="T26" s="123"/>
    </row>
    <row r="27" spans="1:21" ht="31.9" customHeight="1" x14ac:dyDescent="0.25">
      <c r="A27" s="379"/>
      <c r="B27" s="337" t="s">
        <v>220</v>
      </c>
      <c r="C27" s="5" t="s">
        <v>17</v>
      </c>
      <c r="D27" s="291"/>
      <c r="E27" s="291"/>
      <c r="F27" s="296"/>
      <c r="G27" s="296"/>
      <c r="H27" s="291"/>
      <c r="I27" s="296"/>
      <c r="J27" s="121"/>
      <c r="K27" s="121"/>
      <c r="L27" s="121"/>
      <c r="M27" s="121"/>
      <c r="N27" s="121"/>
      <c r="O27" s="122"/>
      <c r="P27" s="122"/>
      <c r="Q27" s="123"/>
      <c r="R27" s="123"/>
      <c r="S27" s="123"/>
      <c r="T27" s="123"/>
    </row>
    <row r="28" spans="1:21" ht="31.9" customHeight="1" x14ac:dyDescent="0.25">
      <c r="A28" s="3" t="s">
        <v>7</v>
      </c>
      <c r="B28" s="335" t="s">
        <v>27</v>
      </c>
      <c r="C28" s="3" t="s">
        <v>6</v>
      </c>
      <c r="D28" s="291">
        <f t="shared" ref="D28:G28" si="13">D31+D34</f>
        <v>1</v>
      </c>
      <c r="E28" s="291">
        <f t="shared" si="13"/>
        <v>1</v>
      </c>
      <c r="F28" s="291">
        <f t="shared" si="13"/>
        <v>0</v>
      </c>
      <c r="G28" s="291">
        <f t="shared" si="13"/>
        <v>0</v>
      </c>
      <c r="H28" s="291">
        <f t="shared" si="2"/>
        <v>0</v>
      </c>
      <c r="I28" s="291"/>
      <c r="J28" s="124"/>
      <c r="K28" s="124"/>
      <c r="L28" s="124"/>
      <c r="M28" s="124"/>
      <c r="N28" s="124"/>
      <c r="O28" s="123"/>
      <c r="P28" s="123"/>
      <c r="Q28" s="123"/>
      <c r="R28" s="123"/>
      <c r="S28" s="123"/>
      <c r="T28" s="123"/>
    </row>
    <row r="29" spans="1:21" s="177" customFormat="1" ht="31.9" customHeight="1" x14ac:dyDescent="0.25">
      <c r="A29" s="3"/>
      <c r="B29" s="337" t="s">
        <v>218</v>
      </c>
      <c r="C29" s="5" t="s">
        <v>219</v>
      </c>
      <c r="D29" s="296">
        <v>36.85</v>
      </c>
      <c r="E29" s="296">
        <f>E35</f>
        <v>36.9</v>
      </c>
      <c r="F29" s="296">
        <f t="shared" ref="F29:G29" si="14">F35</f>
        <v>0</v>
      </c>
      <c r="G29" s="296">
        <f t="shared" si="14"/>
        <v>0</v>
      </c>
      <c r="H29" s="291">
        <f t="shared" si="2"/>
        <v>0</v>
      </c>
      <c r="I29" s="296"/>
      <c r="J29" s="124"/>
      <c r="K29" s="124"/>
      <c r="L29" s="167"/>
      <c r="M29" s="167"/>
      <c r="N29" s="167"/>
      <c r="O29" s="184"/>
      <c r="P29" s="184"/>
      <c r="Q29" s="184"/>
      <c r="R29" s="184"/>
      <c r="S29" s="184"/>
      <c r="T29" s="184"/>
    </row>
    <row r="30" spans="1:21" s="177" customFormat="1" ht="31.9" customHeight="1" x14ac:dyDescent="0.25">
      <c r="A30" s="3"/>
      <c r="B30" s="337" t="s">
        <v>220</v>
      </c>
      <c r="C30" s="5" t="s">
        <v>17</v>
      </c>
      <c r="D30" s="296">
        <f>D28*D29/10</f>
        <v>3.6850000000000001</v>
      </c>
      <c r="E30" s="296">
        <f t="shared" ref="E30:G30" si="15">E28*E29/10</f>
        <v>3.69</v>
      </c>
      <c r="F30" s="296">
        <f t="shared" si="15"/>
        <v>0</v>
      </c>
      <c r="G30" s="296">
        <f t="shared" si="15"/>
        <v>0</v>
      </c>
      <c r="H30" s="291">
        <f t="shared" si="2"/>
        <v>0</v>
      </c>
      <c r="I30" s="296"/>
      <c r="J30" s="124"/>
      <c r="K30" s="124"/>
      <c r="L30" s="167"/>
      <c r="M30" s="167"/>
      <c r="N30" s="167"/>
      <c r="O30" s="184"/>
      <c r="P30" s="184"/>
      <c r="Q30" s="184"/>
      <c r="R30" s="184"/>
      <c r="S30" s="184"/>
      <c r="T30" s="184"/>
    </row>
    <row r="31" spans="1:21" ht="31.9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/>
      <c r="G31" s="291"/>
      <c r="H31" s="291"/>
      <c r="I31" s="291"/>
      <c r="J31" s="124"/>
      <c r="K31" s="124"/>
      <c r="L31" s="124"/>
      <c r="M31" s="124"/>
      <c r="N31" s="124"/>
      <c r="O31" s="123"/>
      <c r="P31" s="123"/>
      <c r="Q31" s="123"/>
      <c r="R31" s="123"/>
      <c r="S31" s="123"/>
      <c r="T31" s="123"/>
    </row>
    <row r="32" spans="1:21" ht="31.9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1"/>
      <c r="H32" s="291"/>
      <c r="I32" s="291"/>
      <c r="J32" s="124"/>
      <c r="K32" s="124"/>
      <c r="L32" s="124"/>
      <c r="M32" s="124"/>
      <c r="N32" s="124"/>
      <c r="O32" s="123"/>
      <c r="P32" s="123"/>
      <c r="Q32" s="123"/>
      <c r="R32" s="123"/>
      <c r="S32" s="123"/>
      <c r="T32" s="123"/>
    </row>
    <row r="33" spans="1:20" ht="31.9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1"/>
      <c r="H33" s="291"/>
      <c r="I33" s="291"/>
      <c r="J33" s="124"/>
      <c r="K33" s="124"/>
      <c r="L33" s="124"/>
      <c r="M33" s="124"/>
      <c r="N33" s="124"/>
      <c r="O33" s="123"/>
      <c r="P33" s="123"/>
      <c r="Q33" s="123"/>
      <c r="R33" s="123"/>
      <c r="S33" s="123"/>
      <c r="T33" s="123"/>
    </row>
    <row r="34" spans="1:20" ht="31.9" customHeight="1" x14ac:dyDescent="0.25">
      <c r="A34" s="379" t="s">
        <v>22</v>
      </c>
      <c r="B34" s="380" t="s">
        <v>29</v>
      </c>
      <c r="C34" s="379" t="s">
        <v>6</v>
      </c>
      <c r="D34" s="313">
        <v>1</v>
      </c>
      <c r="E34" s="313">
        <v>1</v>
      </c>
      <c r="F34" s="313"/>
      <c r="G34" s="313">
        <v>0</v>
      </c>
      <c r="H34" s="291">
        <f t="shared" si="2"/>
        <v>0</v>
      </c>
      <c r="I34" s="296"/>
      <c r="J34" s="127"/>
      <c r="K34" s="127"/>
      <c r="L34" s="127"/>
      <c r="M34" s="127"/>
      <c r="N34" s="127"/>
    </row>
    <row r="35" spans="1:20" ht="31.9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/>
      <c r="G35" s="296"/>
      <c r="H35" s="291">
        <f t="shared" si="2"/>
        <v>0</v>
      </c>
      <c r="I35" s="296"/>
      <c r="J35" s="127"/>
      <c r="K35" s="127"/>
      <c r="L35" s="127"/>
      <c r="M35" s="127"/>
      <c r="N35" s="127"/>
    </row>
    <row r="36" spans="1:20" ht="31.9" customHeight="1" x14ac:dyDescent="0.25">
      <c r="A36" s="379"/>
      <c r="B36" s="337" t="s">
        <v>220</v>
      </c>
      <c r="C36" s="5" t="s">
        <v>17</v>
      </c>
      <c r="D36" s="296">
        <f>D34*D35/10</f>
        <v>3.6850000000000001</v>
      </c>
      <c r="E36" s="296">
        <f t="shared" ref="E36:G36" si="16">E34*E35/10</f>
        <v>3.69</v>
      </c>
      <c r="F36" s="296">
        <f t="shared" si="16"/>
        <v>0</v>
      </c>
      <c r="G36" s="296">
        <f t="shared" si="16"/>
        <v>0</v>
      </c>
      <c r="H36" s="291">
        <f t="shared" si="2"/>
        <v>0</v>
      </c>
      <c r="I36" s="296"/>
      <c r="J36" s="127"/>
      <c r="K36" s="127"/>
      <c r="L36" s="127"/>
      <c r="M36" s="127"/>
      <c r="N36" s="127"/>
    </row>
    <row r="37" spans="1:20" ht="31.9" customHeight="1" x14ac:dyDescent="0.25">
      <c r="A37" s="3">
        <v>2</v>
      </c>
      <c r="B37" s="335" t="s">
        <v>30</v>
      </c>
      <c r="C37" s="3" t="s">
        <v>6</v>
      </c>
      <c r="D37" s="291"/>
      <c r="E37" s="291">
        <v>1.06</v>
      </c>
      <c r="F37" s="291">
        <v>0</v>
      </c>
      <c r="G37" s="291">
        <v>0</v>
      </c>
      <c r="H37" s="291">
        <f t="shared" si="2"/>
        <v>0</v>
      </c>
      <c r="I37" s="291"/>
      <c r="J37" s="127"/>
      <c r="K37" s="168"/>
      <c r="L37" s="137"/>
      <c r="M37" s="137"/>
      <c r="N37" s="137"/>
      <c r="O37" s="137"/>
    </row>
    <row r="38" spans="1:20" s="177" customFormat="1" ht="31.9" customHeight="1" x14ac:dyDescent="0.25">
      <c r="A38" s="3"/>
      <c r="B38" s="337" t="s">
        <v>218</v>
      </c>
      <c r="C38" s="5" t="s">
        <v>219</v>
      </c>
      <c r="D38" s="296">
        <v>137.5</v>
      </c>
      <c r="E38" s="296">
        <v>140</v>
      </c>
      <c r="F38" s="296"/>
      <c r="G38" s="296"/>
      <c r="H38" s="291">
        <f t="shared" si="2"/>
        <v>0</v>
      </c>
      <c r="I38" s="296"/>
      <c r="J38" s="127"/>
      <c r="K38" s="137"/>
      <c r="L38" s="236"/>
      <c r="M38" s="236"/>
      <c r="N38" s="236"/>
      <c r="O38" s="236"/>
    </row>
    <row r="39" spans="1:20" s="177" customFormat="1" ht="31.9" customHeight="1" x14ac:dyDescent="0.25">
      <c r="A39" s="3"/>
      <c r="B39" s="337" t="s">
        <v>220</v>
      </c>
      <c r="C39" s="5" t="s">
        <v>17</v>
      </c>
      <c r="D39" s="296">
        <f>D37*D38/10</f>
        <v>0</v>
      </c>
      <c r="E39" s="296">
        <f>E37*E38/10</f>
        <v>14.84</v>
      </c>
      <c r="F39" s="296">
        <f t="shared" ref="F39:G39" si="17">F37*F38/10</f>
        <v>0</v>
      </c>
      <c r="G39" s="296">
        <f t="shared" si="17"/>
        <v>0</v>
      </c>
      <c r="H39" s="291">
        <f t="shared" si="2"/>
        <v>0</v>
      </c>
      <c r="I39" s="296"/>
      <c r="J39" s="127"/>
      <c r="K39" s="137"/>
      <c r="L39" s="236"/>
      <c r="M39" s="236"/>
      <c r="N39" s="236"/>
      <c r="O39" s="236"/>
    </row>
    <row r="40" spans="1:20" s="177" customFormat="1" ht="31.9" customHeight="1" x14ac:dyDescent="0.25">
      <c r="A40" s="3">
        <v>3</v>
      </c>
      <c r="B40" s="333" t="s">
        <v>241</v>
      </c>
      <c r="C40" s="332" t="s">
        <v>6</v>
      </c>
      <c r="D40" s="294"/>
      <c r="E40" s="294">
        <v>0</v>
      </c>
      <c r="F40" s="296"/>
      <c r="G40" s="296"/>
      <c r="H40" s="291"/>
      <c r="I40" s="296"/>
      <c r="J40" s="127"/>
      <c r="K40" s="137"/>
      <c r="L40" s="236"/>
      <c r="M40" s="236"/>
      <c r="N40" s="236"/>
      <c r="O40" s="236"/>
    </row>
    <row r="41" spans="1:20" s="177" customFormat="1" ht="31.9" customHeight="1" x14ac:dyDescent="0.25">
      <c r="A41" s="3"/>
      <c r="B41" s="336" t="s">
        <v>218</v>
      </c>
      <c r="C41" s="343" t="s">
        <v>219</v>
      </c>
      <c r="D41" s="298"/>
      <c r="E41" s="298">
        <v>24.1</v>
      </c>
      <c r="F41" s="296"/>
      <c r="G41" s="296"/>
      <c r="H41" s="291">
        <f t="shared" si="2"/>
        <v>0</v>
      </c>
      <c r="I41" s="296"/>
      <c r="J41" s="127"/>
      <c r="K41" s="137"/>
      <c r="L41" s="236"/>
      <c r="M41" s="236"/>
      <c r="N41" s="236"/>
      <c r="O41" s="236"/>
    </row>
    <row r="42" spans="1:20" s="177" customFormat="1" ht="31.9" customHeight="1" x14ac:dyDescent="0.25">
      <c r="A42" s="3"/>
      <c r="B42" s="336" t="s">
        <v>220</v>
      </c>
      <c r="C42" s="343" t="s">
        <v>17</v>
      </c>
      <c r="D42" s="298"/>
      <c r="E42" s="298">
        <f>E40*E41/10</f>
        <v>0</v>
      </c>
      <c r="F42" s="298">
        <f t="shared" ref="F42:G42" si="18">F40*F41/10</f>
        <v>0</v>
      </c>
      <c r="G42" s="298">
        <f t="shared" si="18"/>
        <v>0</v>
      </c>
      <c r="H42" s="291"/>
      <c r="I42" s="296"/>
      <c r="J42" s="127"/>
      <c r="K42" s="137"/>
      <c r="L42" s="236"/>
      <c r="M42" s="236"/>
      <c r="N42" s="236"/>
      <c r="O42" s="236"/>
    </row>
    <row r="43" spans="1:20" ht="31.9" customHeight="1" x14ac:dyDescent="0.25">
      <c r="A43" s="3">
        <v>4</v>
      </c>
      <c r="B43" s="335" t="s">
        <v>242</v>
      </c>
      <c r="C43" s="3" t="s">
        <v>6</v>
      </c>
      <c r="D43" s="291">
        <v>0.5</v>
      </c>
      <c r="E43" s="291">
        <v>0.5</v>
      </c>
      <c r="F43" s="291">
        <v>0.27</v>
      </c>
      <c r="G43" s="291">
        <f>F43</f>
        <v>0.27</v>
      </c>
      <c r="H43" s="291">
        <f t="shared" si="2"/>
        <v>54</v>
      </c>
      <c r="I43" s="291"/>
      <c r="J43" s="127"/>
      <c r="K43" s="127"/>
      <c r="L43" s="127"/>
      <c r="M43" s="127"/>
      <c r="N43" s="127"/>
    </row>
    <row r="44" spans="1:20" ht="31.9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1">
        <f t="shared" si="2"/>
        <v>0</v>
      </c>
      <c r="I44" s="296"/>
      <c r="J44" s="127"/>
      <c r="K44" s="127"/>
      <c r="L44" s="127"/>
      <c r="M44" s="127"/>
      <c r="N44" s="127"/>
    </row>
    <row r="45" spans="1:20" ht="31.9" customHeight="1" x14ac:dyDescent="0.25">
      <c r="A45" s="5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19">F43*F44/10</f>
        <v>0</v>
      </c>
      <c r="G45" s="296">
        <f t="shared" si="19"/>
        <v>0</v>
      </c>
      <c r="H45" s="291">
        <f t="shared" si="2"/>
        <v>0</v>
      </c>
      <c r="I45" s="296"/>
      <c r="J45" s="127"/>
      <c r="K45" s="127"/>
      <c r="L45" s="127"/>
      <c r="M45" s="127"/>
      <c r="N45" s="127"/>
    </row>
    <row r="46" spans="1:20" ht="31.9" customHeight="1" x14ac:dyDescent="0.25">
      <c r="A46" s="3">
        <v>5</v>
      </c>
      <c r="B46" s="335" t="s">
        <v>32</v>
      </c>
      <c r="C46" s="3" t="s">
        <v>6</v>
      </c>
      <c r="D46" s="291">
        <f>D47+D55+D64</f>
        <v>39.15</v>
      </c>
      <c r="E46" s="291">
        <f t="shared" ref="E46:G46" si="20">E47+E55+E64</f>
        <v>49.949999999999996</v>
      </c>
      <c r="F46" s="291">
        <f t="shared" si="20"/>
        <v>39.449999999999996</v>
      </c>
      <c r="G46" s="291">
        <f t="shared" si="20"/>
        <v>39.449999999999996</v>
      </c>
      <c r="H46" s="291">
        <f t="shared" si="2"/>
        <v>78.978978978978972</v>
      </c>
      <c r="I46" s="291"/>
      <c r="J46" s="127"/>
      <c r="K46" s="127"/>
      <c r="L46" s="127"/>
      <c r="M46" s="127"/>
      <c r="N46" s="127"/>
    </row>
    <row r="47" spans="1:20" ht="31.9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34.65</v>
      </c>
      <c r="E47" s="291">
        <f t="shared" ref="E47:G47" si="21">E48+E49</f>
        <v>44.65</v>
      </c>
      <c r="F47" s="291">
        <f t="shared" si="21"/>
        <v>34.65</v>
      </c>
      <c r="G47" s="291">
        <f t="shared" si="21"/>
        <v>34.65</v>
      </c>
      <c r="H47" s="291">
        <f t="shared" si="2"/>
        <v>77.603583426651738</v>
      </c>
      <c r="I47" s="291"/>
      <c r="J47" s="127"/>
      <c r="K47" s="127"/>
      <c r="L47" s="127"/>
      <c r="M47" s="127"/>
      <c r="N47" s="127"/>
    </row>
    <row r="48" spans="1:20" ht="31.9" customHeight="1" x14ac:dyDescent="0.25">
      <c r="A48" s="7" t="s">
        <v>24</v>
      </c>
      <c r="B48" s="383" t="s">
        <v>196</v>
      </c>
      <c r="C48" s="384" t="s">
        <v>6</v>
      </c>
      <c r="D48" s="296">
        <v>24</v>
      </c>
      <c r="E48" s="296">
        <f>D48+D49</f>
        <v>34.65</v>
      </c>
      <c r="F48" s="296">
        <v>34.65</v>
      </c>
      <c r="G48" s="296">
        <v>34.65</v>
      </c>
      <c r="H48" s="296">
        <f t="shared" si="2"/>
        <v>100</v>
      </c>
      <c r="I48" s="296"/>
      <c r="J48" s="121"/>
      <c r="K48" s="121"/>
      <c r="L48" s="121"/>
      <c r="M48" s="121"/>
      <c r="N48" s="121"/>
      <c r="O48" s="122"/>
      <c r="P48" s="122"/>
      <c r="Q48" s="122"/>
    </row>
    <row r="49" spans="1:17" s="131" customFormat="1" ht="31.9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10.65</v>
      </c>
      <c r="E49" s="291">
        <f t="shared" ref="E49:G49" si="22">E50+E51</f>
        <v>10</v>
      </c>
      <c r="F49" s="291">
        <f t="shared" si="22"/>
        <v>0</v>
      </c>
      <c r="G49" s="291">
        <f t="shared" si="22"/>
        <v>0</v>
      </c>
      <c r="H49" s="291">
        <f t="shared" si="2"/>
        <v>0</v>
      </c>
      <c r="I49" s="291"/>
      <c r="J49" s="213"/>
      <c r="K49" s="213"/>
      <c r="L49" s="213"/>
      <c r="M49" s="213"/>
      <c r="N49" s="213"/>
    </row>
    <row r="50" spans="1:17" ht="31.9" customHeight="1" x14ac:dyDescent="0.25">
      <c r="A50" s="384" t="s">
        <v>18</v>
      </c>
      <c r="B50" s="386" t="s">
        <v>194</v>
      </c>
      <c r="C50" s="384" t="s">
        <v>6</v>
      </c>
      <c r="D50" s="296">
        <f>8.65-1</f>
        <v>7.65</v>
      </c>
      <c r="E50" s="296">
        <v>10</v>
      </c>
      <c r="F50" s="296">
        <v>0</v>
      </c>
      <c r="G50" s="296">
        <v>0</v>
      </c>
      <c r="H50" s="291">
        <f t="shared" si="2"/>
        <v>0</v>
      </c>
      <c r="I50" s="296"/>
      <c r="J50" s="127"/>
      <c r="K50" s="121"/>
      <c r="L50" s="121"/>
      <c r="M50" s="127"/>
      <c r="N50" s="127"/>
    </row>
    <row r="51" spans="1:17" ht="31.9" customHeight="1" x14ac:dyDescent="0.25">
      <c r="A51" s="384" t="s">
        <v>18</v>
      </c>
      <c r="B51" s="386" t="s">
        <v>35</v>
      </c>
      <c r="C51" s="5" t="s">
        <v>6</v>
      </c>
      <c r="D51" s="296">
        <v>3</v>
      </c>
      <c r="E51" s="296"/>
      <c r="F51" s="296"/>
      <c r="G51" s="296"/>
      <c r="H51" s="291"/>
      <c r="I51" s="296"/>
      <c r="J51" s="127"/>
      <c r="K51" s="127"/>
      <c r="L51" s="127"/>
      <c r="M51" s="127"/>
      <c r="N51" s="127"/>
    </row>
    <row r="52" spans="1:17" s="131" customFormat="1" ht="31.9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15.6</v>
      </c>
      <c r="E52" s="291">
        <f t="shared" ref="E52:G52" si="23">E53+E54</f>
        <v>20.399999999999999</v>
      </c>
      <c r="F52" s="291">
        <f t="shared" si="23"/>
        <v>20.399999999999999</v>
      </c>
      <c r="G52" s="291">
        <f t="shared" si="23"/>
        <v>20.399999999999999</v>
      </c>
      <c r="H52" s="291">
        <f t="shared" si="2"/>
        <v>100</v>
      </c>
      <c r="I52" s="291"/>
      <c r="J52" s="213"/>
      <c r="K52" s="213"/>
      <c r="L52" s="213"/>
      <c r="M52" s="213"/>
      <c r="N52" s="213"/>
    </row>
    <row r="53" spans="1:17" ht="31.9" customHeight="1" x14ac:dyDescent="0.25">
      <c r="A53" s="387" t="s">
        <v>18</v>
      </c>
      <c r="B53" s="386" t="s">
        <v>198</v>
      </c>
      <c r="C53" s="5" t="s">
        <v>6</v>
      </c>
      <c r="D53" s="296">
        <v>15.6</v>
      </c>
      <c r="E53" s="296">
        <f>D48*85%</f>
        <v>20.399999999999999</v>
      </c>
      <c r="F53" s="296">
        <v>20.399999999999999</v>
      </c>
      <c r="G53" s="296">
        <v>20.399999999999999</v>
      </c>
      <c r="H53" s="291">
        <f t="shared" si="2"/>
        <v>100</v>
      </c>
      <c r="I53" s="296"/>
      <c r="J53" s="127"/>
      <c r="K53" s="127"/>
      <c r="L53" s="127"/>
      <c r="M53" s="224"/>
      <c r="N53" s="127"/>
    </row>
    <row r="54" spans="1:17" ht="31.9" customHeight="1" x14ac:dyDescent="0.25">
      <c r="A54" s="5"/>
      <c r="B54" s="386" t="s">
        <v>199</v>
      </c>
      <c r="C54" s="5" t="s">
        <v>6</v>
      </c>
      <c r="D54" s="296"/>
      <c r="E54" s="296"/>
      <c r="F54" s="296"/>
      <c r="G54" s="296"/>
      <c r="H54" s="291"/>
      <c r="I54" s="296"/>
      <c r="J54" s="127"/>
      <c r="K54" s="127"/>
      <c r="L54" s="127"/>
      <c r="M54" s="127"/>
      <c r="N54" s="127"/>
    </row>
    <row r="55" spans="1:17" ht="31.9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4.5</v>
      </c>
      <c r="E55" s="291">
        <f t="shared" ref="E55:G55" si="24">E56+E57</f>
        <v>5.3</v>
      </c>
      <c r="F55" s="291">
        <f t="shared" si="24"/>
        <v>4.8</v>
      </c>
      <c r="G55" s="291">
        <f t="shared" si="24"/>
        <v>4.8</v>
      </c>
      <c r="H55" s="291">
        <f t="shared" si="2"/>
        <v>90.566037735849065</v>
      </c>
      <c r="I55" s="291"/>
      <c r="J55" s="127"/>
      <c r="K55" s="127"/>
      <c r="L55" s="127"/>
      <c r="M55" s="127"/>
      <c r="N55" s="127"/>
    </row>
    <row r="56" spans="1:17" ht="31.9" customHeight="1" x14ac:dyDescent="0.25">
      <c r="A56" s="5" t="s">
        <v>24</v>
      </c>
      <c r="B56" s="383" t="s">
        <v>197</v>
      </c>
      <c r="C56" s="5" t="s">
        <v>6</v>
      </c>
      <c r="D56" s="296">
        <v>4.5</v>
      </c>
      <c r="E56" s="296">
        <f>D56+E58</f>
        <v>4.8</v>
      </c>
      <c r="F56" s="296">
        <v>4.8</v>
      </c>
      <c r="G56" s="296">
        <v>4.8</v>
      </c>
      <c r="H56" s="291">
        <f t="shared" si="2"/>
        <v>100</v>
      </c>
      <c r="I56" s="296"/>
      <c r="J56" s="127"/>
      <c r="K56" s="127"/>
      <c r="L56" s="127"/>
      <c r="M56" s="127"/>
      <c r="N56" s="127"/>
    </row>
    <row r="57" spans="1:17" ht="31.9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0</v>
      </c>
      <c r="E57" s="296">
        <f t="shared" ref="E57:G57" si="25">E58+E61</f>
        <v>0.5</v>
      </c>
      <c r="F57" s="296">
        <f t="shared" si="25"/>
        <v>0</v>
      </c>
      <c r="G57" s="296">
        <f t="shared" si="25"/>
        <v>0</v>
      </c>
      <c r="H57" s="291">
        <f t="shared" si="2"/>
        <v>0</v>
      </c>
      <c r="I57" s="296"/>
      <c r="J57" s="127"/>
      <c r="K57" s="127"/>
      <c r="L57" s="127"/>
      <c r="M57" s="127"/>
      <c r="N57" s="127"/>
    </row>
    <row r="58" spans="1:17" s="149" customFormat="1" ht="31.9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</v>
      </c>
      <c r="E58" s="299">
        <f t="shared" ref="E58:G58" si="26">E59+E60</f>
        <v>0.30000000000000004</v>
      </c>
      <c r="F58" s="299">
        <f t="shared" si="26"/>
        <v>0</v>
      </c>
      <c r="G58" s="299">
        <f t="shared" si="26"/>
        <v>0</v>
      </c>
      <c r="H58" s="291">
        <f t="shared" si="2"/>
        <v>0</v>
      </c>
      <c r="I58" s="299"/>
      <c r="J58" s="217"/>
      <c r="K58" s="142"/>
      <c r="L58" s="142"/>
      <c r="M58" s="142"/>
      <c r="N58" s="142"/>
      <c r="O58" s="142"/>
      <c r="P58" s="156"/>
      <c r="Q58" s="156"/>
    </row>
    <row r="59" spans="1:17" ht="31.9" customHeight="1" x14ac:dyDescent="0.25">
      <c r="A59" s="5" t="s">
        <v>18</v>
      </c>
      <c r="B59" s="383" t="s">
        <v>202</v>
      </c>
      <c r="C59" s="5" t="s">
        <v>6</v>
      </c>
      <c r="D59" s="296"/>
      <c r="E59" s="296">
        <v>0.2</v>
      </c>
      <c r="F59" s="296">
        <v>0</v>
      </c>
      <c r="G59" s="296">
        <v>0</v>
      </c>
      <c r="H59" s="291">
        <f t="shared" si="2"/>
        <v>0</v>
      </c>
      <c r="I59" s="296"/>
      <c r="J59" s="214"/>
      <c r="K59" s="114"/>
      <c r="L59" s="114"/>
      <c r="M59" s="114"/>
      <c r="N59" s="114"/>
      <c r="O59" s="114"/>
      <c r="P59" s="138"/>
      <c r="Q59" s="138"/>
    </row>
    <row r="60" spans="1:17" ht="31.9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0.1</v>
      </c>
      <c r="F60" s="296">
        <v>0</v>
      </c>
      <c r="G60" s="296">
        <v>0</v>
      </c>
      <c r="H60" s="291">
        <f t="shared" si="2"/>
        <v>0</v>
      </c>
      <c r="I60" s="296"/>
      <c r="J60" s="214"/>
      <c r="K60" s="114"/>
      <c r="L60" s="114"/>
      <c r="M60" s="114"/>
      <c r="N60" s="114"/>
      <c r="O60" s="114"/>
      <c r="P60" s="138"/>
      <c r="Q60" s="138"/>
    </row>
    <row r="61" spans="1:17" s="149" customFormat="1" ht="31.9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0</v>
      </c>
      <c r="E61" s="299">
        <f t="shared" ref="E61:G61" si="27">E62+E63</f>
        <v>0.2</v>
      </c>
      <c r="F61" s="299">
        <f t="shared" si="27"/>
        <v>0</v>
      </c>
      <c r="G61" s="299">
        <f t="shared" si="27"/>
        <v>0</v>
      </c>
      <c r="H61" s="291">
        <f t="shared" si="2"/>
        <v>0</v>
      </c>
      <c r="I61" s="299"/>
      <c r="J61" s="214"/>
      <c r="K61" s="142"/>
      <c r="L61" s="218"/>
      <c r="M61" s="218"/>
      <c r="N61" s="218"/>
      <c r="O61" s="156"/>
      <c r="P61" s="156"/>
      <c r="Q61" s="156"/>
    </row>
    <row r="62" spans="1:17" ht="31.9" customHeight="1" x14ac:dyDescent="0.25">
      <c r="A62" s="5" t="s">
        <v>18</v>
      </c>
      <c r="B62" s="383" t="s">
        <v>203</v>
      </c>
      <c r="C62" s="5" t="s">
        <v>6</v>
      </c>
      <c r="D62" s="296"/>
      <c r="E62" s="296">
        <v>0.1</v>
      </c>
      <c r="F62" s="296">
        <v>0</v>
      </c>
      <c r="G62" s="296">
        <v>0</v>
      </c>
      <c r="H62" s="291">
        <f t="shared" si="2"/>
        <v>0</v>
      </c>
      <c r="I62" s="296"/>
      <c r="J62" s="214"/>
      <c r="K62" s="114"/>
      <c r="L62" s="114"/>
      <c r="M62" s="114"/>
      <c r="N62" s="114"/>
      <c r="O62" s="114"/>
      <c r="P62" s="138"/>
      <c r="Q62" s="138"/>
    </row>
    <row r="63" spans="1:17" ht="31.9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0.1</v>
      </c>
      <c r="F63" s="296">
        <v>0</v>
      </c>
      <c r="G63" s="296">
        <v>0</v>
      </c>
      <c r="H63" s="291">
        <f t="shared" si="2"/>
        <v>0</v>
      </c>
      <c r="I63" s="296"/>
      <c r="J63" s="214"/>
      <c r="K63" s="114"/>
      <c r="L63" s="114"/>
      <c r="M63" s="114"/>
      <c r="N63" s="114"/>
      <c r="O63" s="114"/>
      <c r="P63" s="138"/>
      <c r="Q63" s="138"/>
    </row>
    <row r="64" spans="1:17" ht="31.9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0</v>
      </c>
      <c r="E64" s="291">
        <f t="shared" ref="E64:G64" si="28">E65+E66</f>
        <v>0</v>
      </c>
      <c r="F64" s="291">
        <f t="shared" si="28"/>
        <v>0</v>
      </c>
      <c r="G64" s="291">
        <f t="shared" si="28"/>
        <v>0</v>
      </c>
      <c r="H64" s="296"/>
      <c r="I64" s="291"/>
      <c r="J64" s="128"/>
      <c r="K64" s="127"/>
      <c r="L64" s="127"/>
      <c r="M64" s="127"/>
      <c r="N64" s="127"/>
    </row>
    <row r="65" spans="1:17" ht="31.9" customHeight="1" x14ac:dyDescent="0.25">
      <c r="A65" s="5" t="s">
        <v>18</v>
      </c>
      <c r="B65" s="383" t="s">
        <v>196</v>
      </c>
      <c r="C65" s="5" t="s">
        <v>6</v>
      </c>
      <c r="D65" s="296"/>
      <c r="E65" s="296"/>
      <c r="F65" s="296"/>
      <c r="G65" s="296"/>
      <c r="H65" s="296"/>
      <c r="I65" s="296"/>
      <c r="J65" s="128"/>
      <c r="K65" s="127"/>
      <c r="L65" s="127"/>
      <c r="M65" s="127"/>
      <c r="N65" s="127"/>
    </row>
    <row r="66" spans="1:17" ht="31.9" customHeight="1" x14ac:dyDescent="0.25">
      <c r="A66" s="5" t="s">
        <v>18</v>
      </c>
      <c r="B66" s="337" t="s">
        <v>31</v>
      </c>
      <c r="C66" s="5" t="s">
        <v>6</v>
      </c>
      <c r="D66" s="296"/>
      <c r="E66" s="296"/>
      <c r="F66" s="296"/>
      <c r="G66" s="296"/>
      <c r="H66" s="296"/>
      <c r="I66" s="296"/>
      <c r="J66" s="128"/>
      <c r="K66" s="127"/>
      <c r="L66" s="127"/>
      <c r="M66" s="127"/>
      <c r="N66" s="127"/>
    </row>
    <row r="67" spans="1:17" ht="31.9" customHeight="1" x14ac:dyDescent="0.25">
      <c r="A67" s="3">
        <v>6</v>
      </c>
      <c r="B67" s="335" t="s">
        <v>38</v>
      </c>
      <c r="C67" s="3" t="s">
        <v>6</v>
      </c>
      <c r="D67" s="291">
        <f>D68+D71</f>
        <v>13.370000000000001</v>
      </c>
      <c r="E67" s="291">
        <f t="shared" ref="E67:G67" si="29">E68+E71</f>
        <v>11.14</v>
      </c>
      <c r="F67" s="291">
        <f t="shared" si="29"/>
        <v>11.03</v>
      </c>
      <c r="G67" s="291">
        <f t="shared" si="29"/>
        <v>11.03</v>
      </c>
      <c r="H67" s="291">
        <f t="shared" si="2"/>
        <v>99.0125673249551</v>
      </c>
      <c r="I67" s="291"/>
      <c r="J67" s="128"/>
      <c r="K67" s="127"/>
      <c r="L67" s="127"/>
      <c r="M67" s="127"/>
      <c r="N67" s="127"/>
    </row>
    <row r="68" spans="1:17" ht="31.9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0</v>
      </c>
      <c r="E68" s="291">
        <f t="shared" ref="E68:G68" si="30">E69+E70</f>
        <v>0</v>
      </c>
      <c r="F68" s="291">
        <f t="shared" si="30"/>
        <v>0</v>
      </c>
      <c r="G68" s="291">
        <f t="shared" si="30"/>
        <v>0</v>
      </c>
      <c r="H68" s="296"/>
      <c r="I68" s="291"/>
      <c r="J68" s="127"/>
      <c r="K68" s="127"/>
      <c r="L68" s="127"/>
      <c r="M68" s="127"/>
      <c r="N68" s="127"/>
    </row>
    <row r="69" spans="1:17" ht="31.9" customHeight="1" x14ac:dyDescent="0.25">
      <c r="A69" s="5" t="s">
        <v>18</v>
      </c>
      <c r="B69" s="383" t="s">
        <v>205</v>
      </c>
      <c r="C69" s="5" t="s">
        <v>6</v>
      </c>
      <c r="D69" s="296"/>
      <c r="E69" s="296"/>
      <c r="F69" s="296"/>
      <c r="G69" s="296"/>
      <c r="H69" s="296"/>
      <c r="I69" s="296"/>
      <c r="J69" s="127"/>
      <c r="K69" s="127"/>
      <c r="L69" s="127"/>
      <c r="M69" s="127"/>
      <c r="N69" s="127"/>
    </row>
    <row r="70" spans="1:17" ht="31.9" customHeight="1" x14ac:dyDescent="0.25">
      <c r="A70" s="5" t="s">
        <v>18</v>
      </c>
      <c r="B70" s="383" t="s">
        <v>206</v>
      </c>
      <c r="C70" s="5" t="s">
        <v>6</v>
      </c>
      <c r="D70" s="296"/>
      <c r="E70" s="296"/>
      <c r="F70" s="296"/>
      <c r="G70" s="296"/>
      <c r="H70" s="296"/>
      <c r="I70" s="296"/>
      <c r="J70" s="127"/>
      <c r="K70" s="127"/>
      <c r="L70" s="127"/>
      <c r="M70" s="127"/>
      <c r="N70" s="127"/>
    </row>
    <row r="71" spans="1:17" ht="31.9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13.370000000000001</v>
      </c>
      <c r="E71" s="291">
        <f t="shared" ref="E71:G71" si="31">E72+E73</f>
        <v>11.14</v>
      </c>
      <c r="F71" s="291">
        <f t="shared" si="31"/>
        <v>11.03</v>
      </c>
      <c r="G71" s="291">
        <f t="shared" si="31"/>
        <v>11.03</v>
      </c>
      <c r="H71" s="291">
        <f t="shared" si="2"/>
        <v>99.0125673249551</v>
      </c>
      <c r="I71" s="291"/>
      <c r="J71" s="127"/>
      <c r="K71" s="127"/>
      <c r="L71" s="127"/>
      <c r="M71" s="127"/>
      <c r="N71" s="127"/>
    </row>
    <row r="72" spans="1:17" ht="31.9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12.370000000000001</v>
      </c>
      <c r="E72" s="302">
        <f t="shared" ref="E72:G73" si="32">E75+E82</f>
        <v>11.030000000000001</v>
      </c>
      <c r="F72" s="302">
        <f t="shared" si="32"/>
        <v>11.03</v>
      </c>
      <c r="G72" s="302">
        <f t="shared" si="32"/>
        <v>11.03</v>
      </c>
      <c r="H72" s="291">
        <f t="shared" si="2"/>
        <v>99.999999999999986</v>
      </c>
      <c r="I72" s="302"/>
      <c r="J72" s="127"/>
      <c r="K72" s="127"/>
      <c r="L72" s="127"/>
      <c r="M72" s="127"/>
      <c r="N72" s="127"/>
    </row>
    <row r="73" spans="1:17" ht="31.9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1</v>
      </c>
      <c r="E73" s="291">
        <f t="shared" si="32"/>
        <v>0.11</v>
      </c>
      <c r="F73" s="291">
        <f t="shared" si="32"/>
        <v>0</v>
      </c>
      <c r="G73" s="291">
        <f t="shared" si="32"/>
        <v>0</v>
      </c>
      <c r="H73" s="291">
        <f t="shared" si="2"/>
        <v>0</v>
      </c>
      <c r="I73" s="291"/>
      <c r="J73" s="213"/>
      <c r="K73" s="213"/>
      <c r="L73" s="213"/>
      <c r="M73" s="213"/>
      <c r="N73" s="213"/>
    </row>
    <row r="74" spans="1:17" ht="31.9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10.030000000000001</v>
      </c>
      <c r="E74" s="304">
        <f t="shared" ref="E74:G74" si="33">E75+E76</f>
        <v>10.030000000000001</v>
      </c>
      <c r="F74" s="304">
        <f t="shared" si="33"/>
        <v>10.029999999999999</v>
      </c>
      <c r="G74" s="304">
        <f t="shared" si="33"/>
        <v>10.029999999999999</v>
      </c>
      <c r="H74" s="313">
        <f t="shared" ref="H74:H98" si="34">F74/E74*100</f>
        <v>99.999999999999972</v>
      </c>
      <c r="I74" s="304"/>
      <c r="J74" s="144"/>
      <c r="K74" s="144"/>
      <c r="L74" s="151"/>
      <c r="M74" s="151"/>
      <c r="N74" s="151"/>
      <c r="O74" s="151"/>
      <c r="P74" s="151"/>
      <c r="Q74" s="151"/>
    </row>
    <row r="75" spans="1:17" ht="31.9" customHeight="1" x14ac:dyDescent="0.25">
      <c r="A75" s="7" t="s">
        <v>24</v>
      </c>
      <c r="B75" s="391" t="s">
        <v>196</v>
      </c>
      <c r="C75" s="5" t="s">
        <v>6</v>
      </c>
      <c r="D75" s="306">
        <f>6.48+3.55</f>
        <v>10.030000000000001</v>
      </c>
      <c r="E75" s="306">
        <f>D75+D76</f>
        <v>10.030000000000001</v>
      </c>
      <c r="F75" s="296">
        <v>10.029999999999999</v>
      </c>
      <c r="G75" s="296">
        <v>10.029999999999999</v>
      </c>
      <c r="H75" s="296">
        <f t="shared" si="34"/>
        <v>99.999999999999972</v>
      </c>
      <c r="I75" s="296"/>
      <c r="J75" s="127"/>
      <c r="K75" s="127"/>
      <c r="L75" s="128"/>
      <c r="M75" s="128"/>
      <c r="N75" s="128"/>
      <c r="O75" s="126"/>
      <c r="P75" s="126"/>
      <c r="Q75" s="126"/>
    </row>
    <row r="76" spans="1:17" ht="31.9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0</v>
      </c>
      <c r="E76" s="307">
        <f t="shared" ref="E76:G76" si="35">SUM(E77:E80)</f>
        <v>0</v>
      </c>
      <c r="F76" s="307">
        <f t="shared" si="35"/>
        <v>0</v>
      </c>
      <c r="G76" s="307">
        <f t="shared" si="35"/>
        <v>0</v>
      </c>
      <c r="H76" s="296"/>
      <c r="I76" s="307"/>
      <c r="J76" s="217"/>
      <c r="K76" s="217"/>
      <c r="L76" s="219"/>
      <c r="M76" s="219"/>
      <c r="N76" s="219"/>
      <c r="O76" s="126"/>
      <c r="P76" s="126"/>
      <c r="Q76" s="126"/>
    </row>
    <row r="77" spans="1:17" ht="31.9" customHeight="1" x14ac:dyDescent="0.25">
      <c r="A77" s="4" t="s">
        <v>18</v>
      </c>
      <c r="B77" s="393" t="s">
        <v>212</v>
      </c>
      <c r="C77" s="4" t="s">
        <v>6</v>
      </c>
      <c r="D77" s="296"/>
      <c r="E77" s="296">
        <v>0</v>
      </c>
      <c r="F77" s="296"/>
      <c r="G77" s="296"/>
      <c r="H77" s="296"/>
      <c r="I77" s="296"/>
      <c r="J77" s="217"/>
      <c r="K77" s="217"/>
      <c r="L77" s="219"/>
      <c r="M77" s="220"/>
      <c r="N77" s="220"/>
      <c r="O77" s="126"/>
      <c r="P77" s="164"/>
      <c r="Q77" s="164"/>
    </row>
    <row r="78" spans="1:17" ht="31.9" customHeight="1" x14ac:dyDescent="0.25">
      <c r="A78" s="4" t="s">
        <v>18</v>
      </c>
      <c r="B78" s="393" t="s">
        <v>189</v>
      </c>
      <c r="C78" s="4" t="s">
        <v>6</v>
      </c>
      <c r="D78" s="296"/>
      <c r="E78" s="296">
        <v>0</v>
      </c>
      <c r="F78" s="296"/>
      <c r="G78" s="296"/>
      <c r="H78" s="296"/>
      <c r="I78" s="296"/>
      <c r="J78" s="217"/>
      <c r="K78" s="217"/>
      <c r="L78" s="219"/>
      <c r="M78" s="219"/>
      <c r="N78" s="219"/>
      <c r="O78" s="126"/>
      <c r="P78" s="126"/>
      <c r="Q78" s="126"/>
    </row>
    <row r="79" spans="1:17" ht="31.9" customHeight="1" x14ac:dyDescent="0.25">
      <c r="A79" s="4" t="s">
        <v>18</v>
      </c>
      <c r="B79" s="393" t="s">
        <v>190</v>
      </c>
      <c r="C79" s="4" t="s">
        <v>6</v>
      </c>
      <c r="D79" s="296"/>
      <c r="E79" s="296"/>
      <c r="F79" s="296"/>
      <c r="G79" s="296"/>
      <c r="H79" s="296"/>
      <c r="I79" s="296"/>
      <c r="J79" s="217"/>
      <c r="K79" s="217"/>
      <c r="L79" s="219"/>
      <c r="M79" s="219"/>
      <c r="N79" s="219"/>
      <c r="O79" s="126"/>
      <c r="P79" s="126"/>
      <c r="Q79" s="126"/>
    </row>
    <row r="80" spans="1:17" ht="31.9" customHeight="1" x14ac:dyDescent="0.25">
      <c r="A80" s="4" t="s">
        <v>18</v>
      </c>
      <c r="B80" s="394" t="s">
        <v>208</v>
      </c>
      <c r="C80" s="4" t="s">
        <v>6</v>
      </c>
      <c r="D80" s="296"/>
      <c r="E80" s="296"/>
      <c r="F80" s="296"/>
      <c r="G80" s="296"/>
      <c r="H80" s="296"/>
      <c r="I80" s="296"/>
      <c r="J80" s="217"/>
      <c r="K80" s="217"/>
      <c r="L80" s="219"/>
      <c r="M80" s="219"/>
      <c r="N80" s="219"/>
      <c r="O80" s="126"/>
      <c r="P80" s="126"/>
      <c r="Q80" s="126"/>
    </row>
    <row r="81" spans="1:18" s="152" customFormat="1" ht="31.9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3.34</v>
      </c>
      <c r="E81" s="304">
        <f>E82+E83</f>
        <v>1.1100000000000001</v>
      </c>
      <c r="F81" s="304">
        <f t="shared" ref="F81:G81" si="36">F82+F83</f>
        <v>1</v>
      </c>
      <c r="G81" s="304">
        <f t="shared" si="36"/>
        <v>1</v>
      </c>
      <c r="H81" s="313">
        <f t="shared" si="34"/>
        <v>90.090090090090087</v>
      </c>
      <c r="I81" s="304"/>
      <c r="J81" s="144"/>
      <c r="K81" s="144"/>
      <c r="L81" s="151"/>
      <c r="M81" s="151"/>
      <c r="N81" s="151"/>
      <c r="O81" s="151"/>
      <c r="P81" s="151"/>
      <c r="Q81" s="151"/>
    </row>
    <row r="82" spans="1:18" s="149" customFormat="1" ht="31.9" customHeight="1" x14ac:dyDescent="0.25">
      <c r="A82" s="392" t="s">
        <v>18</v>
      </c>
      <c r="B82" s="393" t="s">
        <v>188</v>
      </c>
      <c r="C82" s="4" t="s">
        <v>6</v>
      </c>
      <c r="D82" s="299">
        <v>2.34</v>
      </c>
      <c r="E82" s="299">
        <v>1</v>
      </c>
      <c r="F82" s="299">
        <v>1</v>
      </c>
      <c r="G82" s="299">
        <v>1</v>
      </c>
      <c r="H82" s="299">
        <f t="shared" si="34"/>
        <v>100</v>
      </c>
      <c r="I82" s="299"/>
      <c r="J82" s="217"/>
      <c r="K82" s="238"/>
      <c r="L82" s="219"/>
      <c r="M82" s="219"/>
      <c r="N82" s="219"/>
      <c r="O82" s="148"/>
      <c r="P82" s="148"/>
      <c r="Q82" s="148"/>
    </row>
    <row r="83" spans="1:18" ht="31.9" customHeight="1" x14ac:dyDescent="0.25">
      <c r="A83" s="392" t="s">
        <v>15</v>
      </c>
      <c r="B83" s="389" t="s">
        <v>210</v>
      </c>
      <c r="C83" s="5" t="s">
        <v>6</v>
      </c>
      <c r="D83" s="306">
        <f t="shared" ref="D83" si="37">SUM(D84:D87)</f>
        <v>1</v>
      </c>
      <c r="E83" s="306">
        <f>SUM(E84:E87)</f>
        <v>0.11</v>
      </c>
      <c r="F83" s="306">
        <f t="shared" ref="F83:G83" si="38">SUM(F84:F87)</f>
        <v>0</v>
      </c>
      <c r="G83" s="306">
        <f t="shared" si="38"/>
        <v>0</v>
      </c>
      <c r="H83" s="291">
        <f t="shared" si="34"/>
        <v>0</v>
      </c>
      <c r="I83" s="306"/>
      <c r="J83" s="217"/>
      <c r="K83" s="217"/>
      <c r="L83" s="217"/>
      <c r="M83" s="217"/>
      <c r="N83" s="217"/>
    </row>
    <row r="84" spans="1:18" ht="31.9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291"/>
      <c r="I84" s="296"/>
      <c r="J84" s="219"/>
      <c r="K84" s="219"/>
      <c r="L84" s="219"/>
      <c r="M84" s="219"/>
      <c r="N84" s="219"/>
    </row>
    <row r="85" spans="1:18" ht="31.9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291"/>
      <c r="I85" s="296"/>
      <c r="J85" s="219"/>
      <c r="K85" s="219"/>
      <c r="L85" s="219"/>
      <c r="M85" s="219"/>
      <c r="N85" s="219"/>
    </row>
    <row r="86" spans="1:18" ht="31.9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291"/>
      <c r="I86" s="296"/>
      <c r="J86" s="219"/>
      <c r="K86" s="219"/>
      <c r="L86" s="219"/>
      <c r="M86" s="219"/>
      <c r="N86" s="126"/>
      <c r="O86" s="126"/>
      <c r="P86" s="126"/>
      <c r="Q86" s="126"/>
    </row>
    <row r="87" spans="1:18" ht="31.9" customHeight="1" x14ac:dyDescent="0.25">
      <c r="A87" s="392" t="s">
        <v>18</v>
      </c>
      <c r="B87" s="393" t="s">
        <v>193</v>
      </c>
      <c r="C87" s="4" t="s">
        <v>6</v>
      </c>
      <c r="D87" s="296">
        <v>1</v>
      </c>
      <c r="E87" s="296">
        <v>0.11</v>
      </c>
      <c r="F87" s="296">
        <v>0</v>
      </c>
      <c r="G87" s="296">
        <v>0</v>
      </c>
      <c r="H87" s="291">
        <f t="shared" si="34"/>
        <v>0</v>
      </c>
      <c r="I87" s="296"/>
      <c r="J87" s="219"/>
      <c r="K87" s="219"/>
      <c r="L87" s="219"/>
      <c r="M87" s="220"/>
      <c r="N87" s="220"/>
      <c r="O87" s="164"/>
      <c r="P87" s="164"/>
      <c r="Q87" s="164"/>
      <c r="R87" s="140"/>
    </row>
    <row r="88" spans="1:18" ht="31.9" customHeight="1" x14ac:dyDescent="0.25">
      <c r="A88" s="3" t="s">
        <v>44</v>
      </c>
      <c r="B88" s="334" t="s">
        <v>45</v>
      </c>
      <c r="C88" s="3"/>
      <c r="D88" s="291">
        <f>SUM(D89:D93)</f>
        <v>266</v>
      </c>
      <c r="E88" s="291">
        <f t="shared" ref="E88:G88" si="39">SUM(E89:E93)</f>
        <v>208</v>
      </c>
      <c r="F88" s="291">
        <f t="shared" si="39"/>
        <v>172</v>
      </c>
      <c r="G88" s="291">
        <f t="shared" si="39"/>
        <v>172</v>
      </c>
      <c r="H88" s="291">
        <f t="shared" si="34"/>
        <v>82.692307692307693</v>
      </c>
      <c r="I88" s="291"/>
      <c r="J88" s="128"/>
      <c r="K88" s="128"/>
      <c r="L88" s="136"/>
      <c r="M88" s="136"/>
      <c r="N88" s="128"/>
    </row>
    <row r="89" spans="1:18" s="194" customFormat="1" ht="31.9" customHeight="1" x14ac:dyDescent="0.25">
      <c r="A89" s="5">
        <v>1</v>
      </c>
      <c r="B89" s="337" t="s">
        <v>46</v>
      </c>
      <c r="C89" s="5" t="s">
        <v>8</v>
      </c>
      <c r="D89" s="296">
        <v>24</v>
      </c>
      <c r="E89" s="296">
        <f>9+5</f>
        <v>14</v>
      </c>
      <c r="F89" s="296">
        <v>12</v>
      </c>
      <c r="G89" s="296">
        <f>F89</f>
        <v>12</v>
      </c>
      <c r="H89" s="296">
        <f t="shared" si="34"/>
        <v>85.714285714285708</v>
      </c>
      <c r="I89" s="296"/>
      <c r="J89" s="222"/>
      <c r="K89" s="227"/>
      <c r="L89" s="318"/>
      <c r="M89" s="319"/>
      <c r="N89" s="222"/>
    </row>
    <row r="90" spans="1:18" s="194" customFormat="1" ht="31.9" customHeight="1" x14ac:dyDescent="0.25">
      <c r="A90" s="5">
        <v>2</v>
      </c>
      <c r="B90" s="337" t="s">
        <v>47</v>
      </c>
      <c r="C90" s="5" t="s">
        <v>8</v>
      </c>
      <c r="D90" s="296">
        <v>41</v>
      </c>
      <c r="E90" s="296">
        <f>11+2</f>
        <v>13</v>
      </c>
      <c r="F90" s="296">
        <v>12</v>
      </c>
      <c r="G90" s="296">
        <f>F90</f>
        <v>12</v>
      </c>
      <c r="H90" s="296">
        <f>F90/E90*100</f>
        <v>92.307692307692307</v>
      </c>
      <c r="I90" s="296"/>
      <c r="J90" s="222"/>
      <c r="K90" s="227"/>
      <c r="L90" s="318"/>
      <c r="M90" s="319"/>
      <c r="N90" s="222"/>
    </row>
    <row r="91" spans="1:18" s="194" customFormat="1" ht="31.9" customHeight="1" x14ac:dyDescent="0.25">
      <c r="A91" s="5">
        <v>3</v>
      </c>
      <c r="B91" s="337" t="s">
        <v>48</v>
      </c>
      <c r="C91" s="5" t="s">
        <v>8</v>
      </c>
      <c r="D91" s="296">
        <v>23</v>
      </c>
      <c r="E91" s="296">
        <f>23+7</f>
        <v>30</v>
      </c>
      <c r="F91" s="296">
        <v>26</v>
      </c>
      <c r="G91" s="296">
        <f>F91</f>
        <v>26</v>
      </c>
      <c r="H91" s="296">
        <f t="shared" si="34"/>
        <v>86.666666666666671</v>
      </c>
      <c r="I91" s="296"/>
      <c r="J91" s="222"/>
      <c r="K91" s="267"/>
      <c r="L91" s="318"/>
      <c r="M91" s="319"/>
      <c r="N91" s="222"/>
    </row>
    <row r="92" spans="1:18" ht="31.9" customHeight="1" x14ac:dyDescent="0.25">
      <c r="A92" s="5">
        <v>4</v>
      </c>
      <c r="B92" s="337" t="s">
        <v>49</v>
      </c>
      <c r="C92" s="5" t="s">
        <v>8</v>
      </c>
      <c r="D92" s="296"/>
      <c r="E92" s="296"/>
      <c r="F92" s="296"/>
      <c r="G92" s="296"/>
      <c r="H92" s="291"/>
      <c r="I92" s="296"/>
      <c r="J92" s="128"/>
      <c r="K92" s="128"/>
      <c r="L92" s="320"/>
      <c r="M92" s="319"/>
      <c r="N92" s="128"/>
    </row>
    <row r="93" spans="1:18" s="194" customFormat="1" ht="31.9" customHeight="1" x14ac:dyDescent="0.25">
      <c r="A93" s="5">
        <v>5</v>
      </c>
      <c r="B93" s="337" t="s">
        <v>50</v>
      </c>
      <c r="C93" s="5" t="s">
        <v>8</v>
      </c>
      <c r="D93" s="296">
        <v>178</v>
      </c>
      <c r="E93" s="296">
        <f>168-17</f>
        <v>151</v>
      </c>
      <c r="F93" s="296">
        <v>122</v>
      </c>
      <c r="G93" s="296">
        <f>F93</f>
        <v>122</v>
      </c>
      <c r="H93" s="296">
        <f t="shared" si="34"/>
        <v>80.794701986754973</v>
      </c>
      <c r="I93" s="296"/>
      <c r="J93" s="267"/>
      <c r="K93" s="267"/>
      <c r="L93" s="320"/>
      <c r="M93" s="319"/>
      <c r="N93" s="222"/>
    </row>
    <row r="94" spans="1:18" s="131" customFormat="1" ht="31.9" customHeight="1" x14ac:dyDescent="0.25">
      <c r="A94" s="3" t="s">
        <v>51</v>
      </c>
      <c r="B94" s="335" t="s">
        <v>52</v>
      </c>
      <c r="C94" s="3" t="s">
        <v>6</v>
      </c>
      <c r="D94" s="291">
        <f>D95</f>
        <v>0</v>
      </c>
      <c r="E94" s="291">
        <f t="shared" ref="E94:G94" si="40">E95</f>
        <v>0</v>
      </c>
      <c r="F94" s="291">
        <f t="shared" si="40"/>
        <v>0</v>
      </c>
      <c r="G94" s="291">
        <f t="shared" si="40"/>
        <v>0</v>
      </c>
      <c r="H94" s="291"/>
      <c r="I94" s="291"/>
      <c r="J94" s="130"/>
      <c r="K94" s="130"/>
      <c r="L94" s="130"/>
      <c r="M94" s="130"/>
      <c r="N94" s="130"/>
    </row>
    <row r="95" spans="1:18" ht="31.9" customHeight="1" x14ac:dyDescent="0.25">
      <c r="A95" s="4" t="s">
        <v>18</v>
      </c>
      <c r="B95" s="389" t="s">
        <v>53</v>
      </c>
      <c r="C95" s="4" t="s">
        <v>6</v>
      </c>
      <c r="D95" s="296"/>
      <c r="E95" s="296"/>
      <c r="F95" s="296"/>
      <c r="G95" s="296"/>
      <c r="H95" s="291"/>
      <c r="I95" s="296"/>
      <c r="J95" s="214"/>
      <c r="K95" s="128"/>
      <c r="L95" s="128"/>
      <c r="M95" s="128"/>
      <c r="N95" s="128"/>
    </row>
    <row r="96" spans="1:18" ht="31.9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2.8</v>
      </c>
      <c r="E96" s="291">
        <f t="shared" ref="E96:G96" si="41">E97+E98</f>
        <v>0.64999999999999991</v>
      </c>
      <c r="F96" s="291">
        <f t="shared" si="41"/>
        <v>0</v>
      </c>
      <c r="G96" s="291">
        <f t="shared" si="41"/>
        <v>0</v>
      </c>
      <c r="H96" s="291">
        <f t="shared" si="34"/>
        <v>0</v>
      </c>
      <c r="I96" s="291"/>
      <c r="J96" s="128"/>
      <c r="K96" s="128"/>
      <c r="L96" s="128"/>
      <c r="M96" s="128"/>
      <c r="N96" s="128"/>
    </row>
    <row r="97" spans="1:14" ht="31.9" customHeight="1" x14ac:dyDescent="0.25">
      <c r="A97" s="5" t="s">
        <v>18</v>
      </c>
      <c r="B97" s="391" t="s">
        <v>213</v>
      </c>
      <c r="C97" s="4" t="s">
        <v>6</v>
      </c>
      <c r="D97" s="296"/>
      <c r="E97" s="296"/>
      <c r="F97" s="296"/>
      <c r="G97" s="296"/>
      <c r="H97" s="291"/>
      <c r="I97" s="296"/>
      <c r="J97" s="128"/>
      <c r="K97" s="128"/>
      <c r="L97" s="128"/>
      <c r="M97" s="128"/>
      <c r="N97" s="128"/>
    </row>
    <row r="98" spans="1:14" ht="31.9" customHeight="1" x14ac:dyDescent="0.25">
      <c r="A98" s="395" t="s">
        <v>18</v>
      </c>
      <c r="B98" s="391" t="s">
        <v>56</v>
      </c>
      <c r="C98" s="4" t="s">
        <v>6</v>
      </c>
      <c r="D98" s="296">
        <v>2.8</v>
      </c>
      <c r="E98" s="296">
        <f>1.9-1.25</f>
        <v>0.64999999999999991</v>
      </c>
      <c r="F98" s="296"/>
      <c r="G98" s="296"/>
      <c r="H98" s="291">
        <f t="shared" si="34"/>
        <v>0</v>
      </c>
      <c r="I98" s="296"/>
      <c r="J98" s="128"/>
      <c r="K98" s="128"/>
      <c r="L98" s="128"/>
      <c r="M98" s="128"/>
      <c r="N98" s="128"/>
    </row>
    <row r="99" spans="1:14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27"/>
      <c r="L99" s="127"/>
      <c r="M99" s="127"/>
      <c r="N99" s="127"/>
    </row>
    <row r="100" spans="1:14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27"/>
      <c r="L100" s="127"/>
      <c r="M100" s="127"/>
      <c r="N100" s="127"/>
    </row>
    <row r="101" spans="1:14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27"/>
      <c r="L101" s="127"/>
      <c r="M101" s="127"/>
      <c r="N101" s="127"/>
    </row>
    <row r="102" spans="1:14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27"/>
      <c r="L102" s="127"/>
      <c r="M102" s="127"/>
      <c r="N102" s="127"/>
    </row>
    <row r="103" spans="1:14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27"/>
      <c r="L103" s="127"/>
      <c r="M103" s="127"/>
      <c r="N103" s="127"/>
    </row>
    <row r="104" spans="1:14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27"/>
      <c r="L104" s="127"/>
      <c r="M104" s="127"/>
      <c r="N104" s="127"/>
    </row>
    <row r="105" spans="1:14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27"/>
      <c r="L105" s="127"/>
      <c r="M105" s="127"/>
      <c r="N105" s="127"/>
    </row>
    <row r="106" spans="1:14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27"/>
      <c r="L106" s="127"/>
      <c r="M106" s="127"/>
      <c r="N106" s="127"/>
    </row>
    <row r="107" spans="1:14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27"/>
      <c r="L107" s="127"/>
      <c r="M107" s="127"/>
      <c r="N107" s="127"/>
    </row>
    <row r="108" spans="1:14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27"/>
      <c r="L108" s="127"/>
      <c r="M108" s="127"/>
      <c r="N108" s="127"/>
    </row>
    <row r="109" spans="1:14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  <c r="N109" s="127"/>
    </row>
    <row r="110" spans="1:14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  <c r="N110" s="127"/>
    </row>
    <row r="111" spans="1:14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  <c r="N111" s="127"/>
    </row>
    <row r="112" spans="1:14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  <c r="N112" s="127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51181102362204722" bottom="0.47244094488188981" header="0" footer="0"/>
  <pageSetup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984"/>
  <sheetViews>
    <sheetView zoomScaleNormal="100" workbookViewId="0">
      <pane ySplit="8" topLeftCell="A51" activePane="bottomLeft" state="frozen"/>
      <selection pane="bottomLeft" activeCell="B7" sqref="B7:B8"/>
    </sheetView>
  </sheetViews>
  <sheetFormatPr defaultColWidth="11.21875" defaultRowHeight="15" customHeight="1" x14ac:dyDescent="0.25"/>
  <cols>
    <col min="1" max="1" width="7.109375" style="330" customWidth="1"/>
    <col min="2" max="2" width="29.33203125" style="330" customWidth="1"/>
    <col min="3" max="3" width="9.21875" style="330" customWidth="1"/>
    <col min="4" max="4" width="17.88671875" style="330" customWidth="1"/>
    <col min="5" max="5" width="18.21875" style="330" customWidth="1"/>
    <col min="6" max="9" width="12.6640625" style="330" customWidth="1"/>
    <col min="10" max="10" width="8.88671875" style="125" customWidth="1"/>
    <col min="11" max="11" width="21.6640625" style="125" customWidth="1"/>
    <col min="12" max="14" width="8.88671875" style="125" customWidth="1"/>
    <col min="15" max="16384" width="11.21875" style="125"/>
  </cols>
  <sheetData>
    <row r="1" spans="1:18" ht="15" customHeight="1" x14ac:dyDescent="0.25">
      <c r="H1" s="409"/>
      <c r="I1" s="409"/>
    </row>
    <row r="2" spans="1:18" ht="16.5" x14ac:dyDescent="0.25">
      <c r="A2" s="410"/>
      <c r="B2" s="410"/>
      <c r="C2" s="410"/>
      <c r="D2" s="410"/>
      <c r="E2" s="410"/>
      <c r="F2" s="410"/>
      <c r="G2" s="410"/>
      <c r="H2" s="410"/>
      <c r="I2" s="410"/>
      <c r="J2" s="127"/>
      <c r="K2" s="127"/>
      <c r="L2" s="127"/>
      <c r="M2" s="127"/>
      <c r="N2" s="127"/>
    </row>
    <row r="3" spans="1:18" ht="16.5" x14ac:dyDescent="0.25">
      <c r="A3" s="405" t="s">
        <v>254</v>
      </c>
      <c r="B3" s="405"/>
      <c r="C3" s="405"/>
      <c r="D3" s="405"/>
      <c r="E3" s="405"/>
      <c r="F3" s="405"/>
      <c r="G3" s="405"/>
      <c r="H3" s="405"/>
      <c r="I3" s="405"/>
      <c r="J3" s="127"/>
      <c r="K3" s="127"/>
      <c r="L3" s="127"/>
      <c r="M3" s="127"/>
      <c r="N3" s="127"/>
    </row>
    <row r="4" spans="1:18" ht="16.5" x14ac:dyDescent="0.25">
      <c r="A4" s="405" t="s">
        <v>230</v>
      </c>
      <c r="B4" s="411"/>
      <c r="C4" s="411"/>
      <c r="D4" s="411"/>
      <c r="E4" s="411"/>
      <c r="F4" s="411"/>
      <c r="G4" s="411"/>
      <c r="H4" s="411"/>
      <c r="I4" s="411"/>
      <c r="J4" s="127"/>
      <c r="K4" s="127"/>
      <c r="L4" s="127"/>
      <c r="M4" s="127"/>
      <c r="N4" s="127"/>
    </row>
    <row r="5" spans="1:18" ht="16.5" x14ac:dyDescent="0.25">
      <c r="A5" s="417" t="str">
        <f>'VĂN SANG(7)'!A5</f>
        <v>(Kèm theo Báo cáo số        /BC-UBND, Ngày      tháng 4 năm 2026 của UBND xã Tu Mơ Rông)</v>
      </c>
      <c r="B5" s="417"/>
      <c r="C5" s="417"/>
      <c r="D5" s="417"/>
      <c r="E5" s="417"/>
      <c r="F5" s="417"/>
      <c r="G5" s="417"/>
      <c r="H5" s="417"/>
      <c r="I5" s="417"/>
      <c r="J5" s="127"/>
      <c r="K5" s="127"/>
      <c r="L5" s="127"/>
      <c r="M5" s="127"/>
      <c r="N5" s="127"/>
    </row>
    <row r="6" spans="1:18" ht="16.5" x14ac:dyDescent="0.25">
      <c r="A6" s="376"/>
      <c r="B6" s="376"/>
      <c r="C6" s="376"/>
      <c r="D6" s="377"/>
      <c r="E6" s="377"/>
      <c r="F6" s="377"/>
      <c r="G6" s="377"/>
      <c r="H6" s="377"/>
      <c r="I6" s="377"/>
      <c r="J6" s="127"/>
      <c r="K6" s="127"/>
      <c r="L6" s="127"/>
      <c r="M6" s="127"/>
      <c r="N6" s="127"/>
    </row>
    <row r="7" spans="1:18" ht="39.6" customHeight="1" x14ac:dyDescent="0.25">
      <c r="A7" s="412" t="s">
        <v>10</v>
      </c>
      <c r="B7" s="412" t="s">
        <v>1</v>
      </c>
      <c r="C7" s="412" t="s">
        <v>11</v>
      </c>
      <c r="D7" s="414" t="s">
        <v>222</v>
      </c>
      <c r="E7" s="416" t="s">
        <v>256</v>
      </c>
      <c r="F7" s="418"/>
      <c r="G7" s="418"/>
      <c r="H7" s="419"/>
      <c r="I7" s="407" t="s">
        <v>259</v>
      </c>
      <c r="J7" s="127"/>
      <c r="K7" s="153" t="s">
        <v>215</v>
      </c>
      <c r="L7" s="174">
        <v>44</v>
      </c>
      <c r="M7" s="127"/>
      <c r="N7" s="127"/>
    </row>
    <row r="8" spans="1:18" ht="33.6" customHeight="1" x14ac:dyDescent="0.25">
      <c r="A8" s="413"/>
      <c r="B8" s="413"/>
      <c r="C8" s="413"/>
      <c r="D8" s="415"/>
      <c r="E8" s="331" t="s">
        <v>257</v>
      </c>
      <c r="F8" s="331" t="s">
        <v>261</v>
      </c>
      <c r="G8" s="331" t="s">
        <v>263</v>
      </c>
      <c r="H8" s="331" t="s">
        <v>258</v>
      </c>
      <c r="I8" s="423"/>
      <c r="J8" s="127"/>
      <c r="K8" s="153" t="s">
        <v>216</v>
      </c>
      <c r="L8" s="174">
        <v>250</v>
      </c>
      <c r="M8" s="127"/>
      <c r="N8" s="127"/>
    </row>
    <row r="9" spans="1:18" s="131" customFormat="1" ht="31.15" customHeight="1" x14ac:dyDescent="0.25">
      <c r="A9" s="3" t="s">
        <v>12</v>
      </c>
      <c r="B9" s="335" t="s">
        <v>13</v>
      </c>
      <c r="C9" s="3" t="s">
        <v>6</v>
      </c>
      <c r="D9" s="291">
        <f>D13+D28+D37+D43+D46+D67</f>
        <v>47.019999999999996</v>
      </c>
      <c r="E9" s="291">
        <f t="shared" ref="E9:G9" si="0">E13+E28+E37+E43+E46+E67</f>
        <v>65.540000000000006</v>
      </c>
      <c r="F9" s="291">
        <f t="shared" si="0"/>
        <v>28.669999999999998</v>
      </c>
      <c r="G9" s="291">
        <f t="shared" si="0"/>
        <v>28.669999999999998</v>
      </c>
      <c r="H9" s="291">
        <f>F9/E9*100</f>
        <v>43.744278303326205</v>
      </c>
      <c r="I9" s="291"/>
      <c r="J9" s="213"/>
      <c r="K9" s="213"/>
      <c r="L9" s="213"/>
      <c r="M9" s="213"/>
      <c r="N9" s="213"/>
    </row>
    <row r="10" spans="1:18" s="131" customFormat="1" ht="31.15" customHeight="1" x14ac:dyDescent="0.25">
      <c r="A10" s="3">
        <v>1</v>
      </c>
      <c r="B10" s="335" t="s">
        <v>14</v>
      </c>
      <c r="C10" s="3" t="s">
        <v>6</v>
      </c>
      <c r="D10" s="291">
        <f>D13+D28</f>
        <v>1</v>
      </c>
      <c r="E10" s="291">
        <f t="shared" ref="E10:G10" si="1">E13+E28</f>
        <v>8.25</v>
      </c>
      <c r="F10" s="291">
        <f t="shared" si="1"/>
        <v>1.38</v>
      </c>
      <c r="G10" s="291">
        <f t="shared" si="1"/>
        <v>1.38</v>
      </c>
      <c r="H10" s="291">
        <f t="shared" ref="H10:H73" si="2">F10/E10*100</f>
        <v>16.727272727272727</v>
      </c>
      <c r="I10" s="291"/>
      <c r="J10" s="213"/>
      <c r="K10" s="213"/>
      <c r="L10" s="213"/>
      <c r="M10" s="213"/>
      <c r="N10" s="213"/>
    </row>
    <row r="11" spans="1:18" s="131" customFormat="1" ht="31.15" customHeight="1" x14ac:dyDescent="0.25">
      <c r="A11" s="3"/>
      <c r="B11" s="334" t="s">
        <v>16</v>
      </c>
      <c r="C11" s="3" t="s">
        <v>17</v>
      </c>
      <c r="D11" s="291">
        <f>D12+D30</f>
        <v>3.6850000000000001</v>
      </c>
      <c r="E11" s="291">
        <f t="shared" ref="E11:G11" si="3">E12+E30</f>
        <v>22.782875000000001</v>
      </c>
      <c r="F11" s="291">
        <f t="shared" si="3"/>
        <v>0</v>
      </c>
      <c r="G11" s="291">
        <f t="shared" si="3"/>
        <v>0</v>
      </c>
      <c r="H11" s="291">
        <f t="shared" si="2"/>
        <v>0</v>
      </c>
      <c r="I11" s="291"/>
      <c r="J11" s="213"/>
      <c r="K11" s="213"/>
      <c r="L11" s="213"/>
      <c r="M11" s="213"/>
      <c r="N11" s="213"/>
    </row>
    <row r="12" spans="1:18" s="131" customFormat="1" ht="31.15" customHeight="1" x14ac:dyDescent="0.25">
      <c r="A12" s="3"/>
      <c r="B12" s="335" t="s">
        <v>221</v>
      </c>
      <c r="C12" s="3" t="s">
        <v>17</v>
      </c>
      <c r="D12" s="291">
        <f>D15</f>
        <v>0</v>
      </c>
      <c r="E12" s="291">
        <f t="shared" ref="E12:G12" si="4">E15</f>
        <v>19.092874999999999</v>
      </c>
      <c r="F12" s="291">
        <f t="shared" si="4"/>
        <v>0</v>
      </c>
      <c r="G12" s="291">
        <f t="shared" si="4"/>
        <v>0</v>
      </c>
      <c r="H12" s="291">
        <f t="shared" si="2"/>
        <v>0</v>
      </c>
      <c r="I12" s="291"/>
      <c r="J12" s="213"/>
      <c r="K12" s="213"/>
      <c r="L12" s="213"/>
      <c r="M12" s="213"/>
      <c r="N12" s="213"/>
    </row>
    <row r="13" spans="1:18" ht="31.15" customHeight="1" x14ac:dyDescent="0.25">
      <c r="A13" s="3" t="s">
        <v>5</v>
      </c>
      <c r="B13" s="335" t="s">
        <v>19</v>
      </c>
      <c r="C13" s="3" t="s">
        <v>6</v>
      </c>
      <c r="D13" s="291">
        <f>D16+D19</f>
        <v>0</v>
      </c>
      <c r="E13" s="291">
        <f t="shared" ref="E13:G13" si="5">E16+E19</f>
        <v>7.25</v>
      </c>
      <c r="F13" s="291">
        <f t="shared" si="5"/>
        <v>1.38</v>
      </c>
      <c r="G13" s="291">
        <f t="shared" si="5"/>
        <v>1.38</v>
      </c>
      <c r="H13" s="291">
        <f t="shared" si="2"/>
        <v>19.034482758620687</v>
      </c>
      <c r="I13" s="291"/>
      <c r="J13" s="127"/>
      <c r="K13" s="234"/>
      <c r="L13" s="234"/>
      <c r="M13" s="234"/>
      <c r="N13" s="127"/>
    </row>
    <row r="14" spans="1:18" ht="31.15" customHeight="1" x14ac:dyDescent="0.25">
      <c r="A14" s="3"/>
      <c r="B14" s="337" t="s">
        <v>218</v>
      </c>
      <c r="C14" s="5" t="s">
        <v>219</v>
      </c>
      <c r="D14" s="296">
        <f>(D17+D20)/2</f>
        <v>30.125</v>
      </c>
      <c r="E14" s="296">
        <f t="shared" ref="E14:G14" si="6">(E17+E20)/2</f>
        <v>26.335000000000001</v>
      </c>
      <c r="F14" s="296">
        <f t="shared" si="6"/>
        <v>0</v>
      </c>
      <c r="G14" s="296">
        <f t="shared" si="6"/>
        <v>0</v>
      </c>
      <c r="H14" s="291">
        <f t="shared" si="2"/>
        <v>0</v>
      </c>
      <c r="I14" s="296"/>
      <c r="J14" s="127"/>
      <c r="K14" s="127"/>
      <c r="L14" s="127"/>
      <c r="M14" s="127"/>
      <c r="N14" s="127"/>
    </row>
    <row r="15" spans="1:18" ht="31.15" customHeight="1" x14ac:dyDescent="0.25">
      <c r="A15" s="3"/>
      <c r="B15" s="337" t="s">
        <v>220</v>
      </c>
      <c r="C15" s="5" t="s">
        <v>17</v>
      </c>
      <c r="D15" s="296">
        <f>D13*D14/10</f>
        <v>0</v>
      </c>
      <c r="E15" s="296">
        <f t="shared" ref="E15:G15" si="7">E13*E14/10</f>
        <v>19.092874999999999</v>
      </c>
      <c r="F15" s="296">
        <f t="shared" si="7"/>
        <v>0</v>
      </c>
      <c r="G15" s="296">
        <f t="shared" si="7"/>
        <v>0</v>
      </c>
      <c r="H15" s="291">
        <f t="shared" si="2"/>
        <v>0</v>
      </c>
      <c r="I15" s="296"/>
      <c r="J15" s="127"/>
      <c r="K15" s="127"/>
      <c r="L15" s="127"/>
      <c r="M15" s="127"/>
      <c r="N15" s="127"/>
    </row>
    <row r="16" spans="1:18" ht="31.15" customHeight="1" x14ac:dyDescent="0.25">
      <c r="A16" s="3" t="s">
        <v>20</v>
      </c>
      <c r="B16" s="335" t="s">
        <v>21</v>
      </c>
      <c r="C16" s="3" t="s">
        <v>6</v>
      </c>
      <c r="D16" s="291"/>
      <c r="E16" s="291">
        <v>1.38</v>
      </c>
      <c r="F16" s="291">
        <v>1.38</v>
      </c>
      <c r="G16" s="291">
        <v>1.38</v>
      </c>
      <c r="H16" s="291">
        <f t="shared" si="2"/>
        <v>100</v>
      </c>
      <c r="I16" s="291"/>
      <c r="J16" s="214"/>
      <c r="K16" s="214"/>
      <c r="L16" s="214"/>
      <c r="M16" s="214"/>
      <c r="N16" s="214"/>
      <c r="O16" s="135"/>
      <c r="P16" s="135"/>
      <c r="Q16" s="135"/>
      <c r="R16" s="135"/>
    </row>
    <row r="17" spans="1:22" ht="31.15" customHeight="1" x14ac:dyDescent="0.25">
      <c r="A17" s="3"/>
      <c r="B17" s="337" t="s">
        <v>218</v>
      </c>
      <c r="C17" s="5" t="s">
        <v>219</v>
      </c>
      <c r="D17" s="296">
        <v>33.5</v>
      </c>
      <c r="E17" s="296">
        <v>33.5</v>
      </c>
      <c r="F17" s="296">
        <v>0</v>
      </c>
      <c r="G17" s="296">
        <v>0</v>
      </c>
      <c r="H17" s="291">
        <f t="shared" si="2"/>
        <v>0</v>
      </c>
      <c r="I17" s="296"/>
      <c r="J17" s="214"/>
      <c r="K17" s="214"/>
      <c r="L17" s="214"/>
      <c r="M17" s="214"/>
      <c r="N17" s="214"/>
      <c r="O17" s="135"/>
      <c r="P17" s="135"/>
      <c r="Q17" s="135"/>
      <c r="R17" s="135"/>
    </row>
    <row r="18" spans="1:22" ht="31.15" customHeight="1" x14ac:dyDescent="0.25">
      <c r="A18" s="3"/>
      <c r="B18" s="337" t="s">
        <v>220</v>
      </c>
      <c r="C18" s="5" t="s">
        <v>17</v>
      </c>
      <c r="D18" s="296">
        <f>D16*D17/10</f>
        <v>0</v>
      </c>
      <c r="E18" s="296">
        <f t="shared" ref="E18:G18" si="8">E16*E17/10</f>
        <v>4.6229999999999993</v>
      </c>
      <c r="F18" s="296">
        <f t="shared" si="8"/>
        <v>0</v>
      </c>
      <c r="G18" s="296">
        <f t="shared" si="8"/>
        <v>0</v>
      </c>
      <c r="H18" s="291">
        <f t="shared" si="2"/>
        <v>0</v>
      </c>
      <c r="I18" s="296"/>
      <c r="J18" s="214"/>
      <c r="K18" s="214"/>
      <c r="L18" s="214"/>
      <c r="M18" s="214"/>
      <c r="N18" s="214"/>
      <c r="O18" s="135"/>
      <c r="P18" s="135"/>
      <c r="Q18" s="135"/>
      <c r="R18" s="135"/>
    </row>
    <row r="19" spans="1:22" ht="31.15" customHeight="1" x14ac:dyDescent="0.25">
      <c r="A19" s="379" t="s">
        <v>22</v>
      </c>
      <c r="B19" s="380" t="s">
        <v>23</v>
      </c>
      <c r="C19" s="379" t="s">
        <v>6</v>
      </c>
      <c r="D19" s="291">
        <f t="shared" ref="D19:G19" si="9">D22+D25</f>
        <v>0</v>
      </c>
      <c r="E19" s="291">
        <f t="shared" si="9"/>
        <v>5.87</v>
      </c>
      <c r="F19" s="291">
        <f t="shared" si="9"/>
        <v>0</v>
      </c>
      <c r="G19" s="291">
        <f t="shared" si="9"/>
        <v>0</v>
      </c>
      <c r="H19" s="291">
        <f t="shared" si="2"/>
        <v>0</v>
      </c>
      <c r="I19" s="291"/>
      <c r="J19" s="128"/>
      <c r="K19" s="128"/>
      <c r="L19" s="128"/>
      <c r="M19" s="128"/>
      <c r="N19" s="223"/>
      <c r="O19" s="133"/>
      <c r="P19" s="133"/>
      <c r="Q19" s="133"/>
      <c r="R19" s="133"/>
      <c r="S19" s="133"/>
      <c r="T19" s="133"/>
      <c r="U19" s="133"/>
      <c r="V19" s="133"/>
    </row>
    <row r="20" spans="1:22" ht="31.15" customHeight="1" x14ac:dyDescent="0.25">
      <c r="A20" s="379"/>
      <c r="B20" s="337" t="s">
        <v>218</v>
      </c>
      <c r="C20" s="5" t="s">
        <v>219</v>
      </c>
      <c r="D20" s="296">
        <f>(D23+D26)/2</f>
        <v>26.75</v>
      </c>
      <c r="E20" s="296">
        <f t="shared" ref="E20:G20" si="10">(E23+E26)/2</f>
        <v>19.170000000000002</v>
      </c>
      <c r="F20" s="296">
        <f t="shared" si="10"/>
        <v>0</v>
      </c>
      <c r="G20" s="296">
        <f t="shared" si="10"/>
        <v>0</v>
      </c>
      <c r="H20" s="291">
        <f t="shared" si="2"/>
        <v>0</v>
      </c>
      <c r="I20" s="296"/>
      <c r="J20" s="128"/>
      <c r="K20" s="128"/>
      <c r="L20" s="128"/>
      <c r="M20" s="128"/>
      <c r="N20" s="223"/>
      <c r="O20" s="133"/>
      <c r="P20" s="133"/>
      <c r="Q20" s="133"/>
      <c r="R20" s="133"/>
      <c r="S20" s="133"/>
      <c r="T20" s="133"/>
      <c r="U20" s="133"/>
      <c r="V20" s="133"/>
    </row>
    <row r="21" spans="1:22" ht="31.15" customHeight="1" x14ac:dyDescent="0.25">
      <c r="A21" s="379"/>
      <c r="B21" s="337" t="s">
        <v>220</v>
      </c>
      <c r="C21" s="5" t="s">
        <v>17</v>
      </c>
      <c r="D21" s="296">
        <f>D19*D20/10</f>
        <v>0</v>
      </c>
      <c r="E21" s="296">
        <f t="shared" ref="E21:G21" si="11">E19*E20/10</f>
        <v>11.252790000000001</v>
      </c>
      <c r="F21" s="296">
        <f t="shared" si="11"/>
        <v>0</v>
      </c>
      <c r="G21" s="296">
        <f t="shared" si="11"/>
        <v>0</v>
      </c>
      <c r="H21" s="291">
        <f t="shared" si="2"/>
        <v>0</v>
      </c>
      <c r="I21" s="296"/>
      <c r="J21" s="128"/>
      <c r="K21" s="128"/>
      <c r="L21" s="128"/>
      <c r="M21" s="128"/>
      <c r="N21" s="223"/>
      <c r="O21" s="133"/>
      <c r="P21" s="133"/>
      <c r="Q21" s="133"/>
      <c r="R21" s="133"/>
      <c r="S21" s="133"/>
      <c r="T21" s="133"/>
      <c r="U21" s="133"/>
      <c r="V21" s="133"/>
    </row>
    <row r="22" spans="1:22" ht="31.15" customHeight="1" x14ac:dyDescent="0.25">
      <c r="A22" s="379" t="s">
        <v>24</v>
      </c>
      <c r="B22" s="380" t="s">
        <v>25</v>
      </c>
      <c r="C22" s="379" t="s">
        <v>6</v>
      </c>
      <c r="D22" s="291"/>
      <c r="E22" s="291">
        <v>5.87</v>
      </c>
      <c r="F22" s="296">
        <v>0</v>
      </c>
      <c r="G22" s="291">
        <v>0</v>
      </c>
      <c r="H22" s="291">
        <f t="shared" si="2"/>
        <v>0</v>
      </c>
      <c r="I22" s="296"/>
      <c r="J22" s="121"/>
      <c r="K22" s="121"/>
      <c r="L22" s="121"/>
      <c r="M22" s="121"/>
      <c r="N22" s="145"/>
      <c r="O22" s="146"/>
      <c r="P22" s="146"/>
      <c r="Q22" s="146"/>
      <c r="R22" s="146"/>
      <c r="S22" s="146"/>
      <c r="T22" s="146"/>
      <c r="U22" s="146"/>
      <c r="V22" s="133"/>
    </row>
    <row r="23" spans="1:22" ht="31.15" customHeight="1" x14ac:dyDescent="0.25">
      <c r="A23" s="379"/>
      <c r="B23" s="337" t="s">
        <v>218</v>
      </c>
      <c r="C23" s="5" t="s">
        <v>219</v>
      </c>
      <c r="D23" s="296">
        <v>38.299999999999997</v>
      </c>
      <c r="E23" s="296">
        <v>38.340000000000003</v>
      </c>
      <c r="F23" s="296"/>
      <c r="G23" s="296"/>
      <c r="H23" s="291">
        <f t="shared" si="2"/>
        <v>0</v>
      </c>
      <c r="I23" s="296"/>
      <c r="J23" s="121"/>
      <c r="K23" s="121"/>
      <c r="L23" s="121"/>
      <c r="M23" s="121"/>
      <c r="N23" s="145"/>
      <c r="O23" s="146"/>
      <c r="P23" s="146"/>
      <c r="Q23" s="146"/>
      <c r="R23" s="146"/>
      <c r="S23" s="146"/>
      <c r="T23" s="146"/>
      <c r="U23" s="146"/>
      <c r="V23" s="133"/>
    </row>
    <row r="24" spans="1:22" ht="31.15" customHeight="1" x14ac:dyDescent="0.25">
      <c r="A24" s="379"/>
      <c r="B24" s="337" t="s">
        <v>220</v>
      </c>
      <c r="C24" s="5" t="s">
        <v>17</v>
      </c>
      <c r="D24" s="296"/>
      <c r="E24" s="296"/>
      <c r="F24" s="296"/>
      <c r="G24" s="296"/>
      <c r="H24" s="291"/>
      <c r="I24" s="296"/>
      <c r="J24" s="121"/>
      <c r="K24" s="121"/>
      <c r="L24" s="121"/>
      <c r="M24" s="121"/>
      <c r="N24" s="145"/>
      <c r="O24" s="146"/>
      <c r="P24" s="146"/>
      <c r="Q24" s="146"/>
      <c r="R24" s="146"/>
      <c r="S24" s="146"/>
      <c r="T24" s="146"/>
      <c r="U24" s="146"/>
      <c r="V24" s="133"/>
    </row>
    <row r="25" spans="1:22" ht="31.15" customHeight="1" x14ac:dyDescent="0.25">
      <c r="A25" s="379" t="s">
        <v>24</v>
      </c>
      <c r="B25" s="380" t="s">
        <v>26</v>
      </c>
      <c r="C25" s="379" t="s">
        <v>6</v>
      </c>
      <c r="D25" s="291"/>
      <c r="E25" s="291"/>
      <c r="F25" s="296">
        <v>0</v>
      </c>
      <c r="G25" s="296"/>
      <c r="H25" s="291"/>
      <c r="I25" s="296"/>
      <c r="J25" s="121"/>
      <c r="K25" s="121"/>
      <c r="L25" s="121"/>
      <c r="M25" s="121"/>
      <c r="N25" s="121"/>
      <c r="O25" s="122"/>
      <c r="P25" s="122"/>
      <c r="Q25" s="123"/>
      <c r="R25" s="123"/>
      <c r="S25" s="123"/>
      <c r="T25" s="123"/>
      <c r="U25" s="123"/>
    </row>
    <row r="26" spans="1:22" ht="31.15" customHeight="1" x14ac:dyDescent="0.25">
      <c r="A26" s="379"/>
      <c r="B26" s="337" t="s">
        <v>218</v>
      </c>
      <c r="C26" s="5" t="s">
        <v>219</v>
      </c>
      <c r="D26" s="296">
        <v>15.2</v>
      </c>
      <c r="E26" s="296">
        <v>0</v>
      </c>
      <c r="F26" s="296"/>
      <c r="G26" s="296"/>
      <c r="H26" s="291"/>
      <c r="I26" s="296"/>
      <c r="J26" s="121"/>
      <c r="K26" s="121"/>
      <c r="L26" s="121"/>
      <c r="M26" s="121"/>
      <c r="N26" s="121"/>
      <c r="O26" s="122"/>
      <c r="P26" s="122"/>
      <c r="Q26" s="123"/>
      <c r="R26" s="123"/>
      <c r="S26" s="123"/>
      <c r="T26" s="123"/>
      <c r="U26" s="123"/>
    </row>
    <row r="27" spans="1:22" ht="31.15" customHeight="1" x14ac:dyDescent="0.25">
      <c r="A27" s="379"/>
      <c r="B27" s="337" t="s">
        <v>220</v>
      </c>
      <c r="C27" s="5" t="s">
        <v>17</v>
      </c>
      <c r="D27" s="296"/>
      <c r="E27" s="296"/>
      <c r="F27" s="296"/>
      <c r="G27" s="296"/>
      <c r="H27" s="291"/>
      <c r="I27" s="296"/>
      <c r="J27" s="121"/>
      <c r="K27" s="121"/>
      <c r="L27" s="121"/>
      <c r="M27" s="121"/>
      <c r="N27" s="121"/>
      <c r="O27" s="122"/>
      <c r="P27" s="122"/>
      <c r="Q27" s="123"/>
      <c r="R27" s="123"/>
      <c r="S27" s="123"/>
      <c r="T27" s="123"/>
      <c r="U27" s="123"/>
    </row>
    <row r="28" spans="1:22" ht="31.15" customHeight="1" x14ac:dyDescent="0.25">
      <c r="A28" s="3" t="s">
        <v>7</v>
      </c>
      <c r="B28" s="335" t="s">
        <v>27</v>
      </c>
      <c r="C28" s="3" t="s">
        <v>6</v>
      </c>
      <c r="D28" s="291">
        <f t="shared" ref="D28:G28" si="12">D31+D34</f>
        <v>1</v>
      </c>
      <c r="E28" s="291">
        <f t="shared" si="12"/>
        <v>1</v>
      </c>
      <c r="F28" s="291">
        <f t="shared" si="12"/>
        <v>0</v>
      </c>
      <c r="G28" s="291">
        <f t="shared" si="12"/>
        <v>0</v>
      </c>
      <c r="H28" s="291">
        <f t="shared" si="2"/>
        <v>0</v>
      </c>
      <c r="I28" s="291"/>
      <c r="J28" s="121"/>
      <c r="K28" s="121"/>
      <c r="L28" s="121"/>
      <c r="M28" s="121"/>
      <c r="N28" s="121"/>
      <c r="O28" s="122"/>
      <c r="P28" s="122"/>
      <c r="Q28" s="123"/>
      <c r="R28" s="123"/>
      <c r="S28" s="123"/>
      <c r="T28" s="123"/>
      <c r="U28" s="123"/>
    </row>
    <row r="29" spans="1:22" ht="31.15" customHeight="1" x14ac:dyDescent="0.25">
      <c r="A29" s="3"/>
      <c r="B29" s="337" t="s">
        <v>218</v>
      </c>
      <c r="C29" s="5" t="s">
        <v>219</v>
      </c>
      <c r="D29" s="296">
        <f>D35</f>
        <v>36.85</v>
      </c>
      <c r="E29" s="296">
        <f>E35</f>
        <v>36.9</v>
      </c>
      <c r="F29" s="296">
        <f t="shared" ref="F29:G29" si="13">F35</f>
        <v>0</v>
      </c>
      <c r="G29" s="296">
        <f t="shared" si="13"/>
        <v>0</v>
      </c>
      <c r="H29" s="291">
        <f t="shared" si="2"/>
        <v>0</v>
      </c>
      <c r="I29" s="296"/>
      <c r="J29" s="121"/>
      <c r="K29" s="121"/>
      <c r="L29" s="121"/>
      <c r="M29" s="121"/>
      <c r="N29" s="121"/>
      <c r="O29" s="122"/>
      <c r="P29" s="122"/>
      <c r="Q29" s="123"/>
      <c r="R29" s="123"/>
      <c r="S29" s="123"/>
      <c r="T29" s="123"/>
      <c r="U29" s="123"/>
    </row>
    <row r="30" spans="1:22" ht="31.15" customHeight="1" x14ac:dyDescent="0.25">
      <c r="A30" s="3"/>
      <c r="B30" s="337" t="s">
        <v>220</v>
      </c>
      <c r="C30" s="5" t="s">
        <v>17</v>
      </c>
      <c r="D30" s="296">
        <f>D28*D29/10</f>
        <v>3.6850000000000001</v>
      </c>
      <c r="E30" s="296">
        <f t="shared" ref="E30:G30" si="14">E28*E29/10</f>
        <v>3.69</v>
      </c>
      <c r="F30" s="296">
        <f t="shared" si="14"/>
        <v>0</v>
      </c>
      <c r="G30" s="296">
        <f t="shared" si="14"/>
        <v>0</v>
      </c>
      <c r="H30" s="291">
        <f t="shared" si="2"/>
        <v>0</v>
      </c>
      <c r="I30" s="296"/>
      <c r="J30" s="121"/>
      <c r="K30" s="121"/>
      <c r="L30" s="121"/>
      <c r="M30" s="121"/>
      <c r="N30" s="121"/>
      <c r="O30" s="122"/>
      <c r="P30" s="122"/>
      <c r="Q30" s="123"/>
      <c r="R30" s="123"/>
      <c r="S30" s="123"/>
      <c r="T30" s="123"/>
      <c r="U30" s="123"/>
    </row>
    <row r="31" spans="1:22" ht="31.15" customHeight="1" x14ac:dyDescent="0.25">
      <c r="A31" s="379" t="s">
        <v>20</v>
      </c>
      <c r="B31" s="381" t="s">
        <v>28</v>
      </c>
      <c r="C31" s="379" t="s">
        <v>6</v>
      </c>
      <c r="D31" s="291"/>
      <c r="E31" s="291"/>
      <c r="F31" s="291"/>
      <c r="G31" s="291"/>
      <c r="H31" s="291"/>
      <c r="I31" s="291"/>
      <c r="J31" s="121"/>
      <c r="K31" s="204"/>
      <c r="L31" s="170"/>
      <c r="M31" s="170"/>
      <c r="N31" s="170"/>
      <c r="O31" s="170"/>
      <c r="P31" s="122"/>
      <c r="Q31" s="123"/>
      <c r="R31" s="123"/>
      <c r="S31" s="123"/>
      <c r="T31" s="123"/>
      <c r="U31" s="123"/>
    </row>
    <row r="32" spans="1:22" ht="31.15" customHeight="1" x14ac:dyDescent="0.25">
      <c r="A32" s="379"/>
      <c r="B32" s="337" t="s">
        <v>218</v>
      </c>
      <c r="C32" s="5" t="s">
        <v>219</v>
      </c>
      <c r="D32" s="291"/>
      <c r="E32" s="291"/>
      <c r="F32" s="291"/>
      <c r="G32" s="291"/>
      <c r="H32" s="291"/>
      <c r="I32" s="291"/>
      <c r="J32" s="121"/>
      <c r="K32" s="204"/>
      <c r="L32" s="170"/>
      <c r="M32" s="170"/>
      <c r="N32" s="170"/>
      <c r="O32" s="170"/>
      <c r="P32" s="122"/>
      <c r="Q32" s="123"/>
      <c r="R32" s="123"/>
      <c r="S32" s="123"/>
      <c r="T32" s="123"/>
      <c r="U32" s="123"/>
    </row>
    <row r="33" spans="1:25" ht="31.15" customHeight="1" x14ac:dyDescent="0.25">
      <c r="A33" s="379"/>
      <c r="B33" s="337" t="s">
        <v>220</v>
      </c>
      <c r="C33" s="5" t="s">
        <v>17</v>
      </c>
      <c r="D33" s="291"/>
      <c r="E33" s="291"/>
      <c r="F33" s="291"/>
      <c r="G33" s="291"/>
      <c r="H33" s="291"/>
      <c r="I33" s="291"/>
      <c r="J33" s="121"/>
      <c r="K33" s="204"/>
      <c r="L33" s="170"/>
      <c r="M33" s="170"/>
      <c r="N33" s="170"/>
      <c r="O33" s="170"/>
      <c r="P33" s="122"/>
      <c r="Q33" s="123"/>
      <c r="R33" s="123"/>
      <c r="S33" s="123"/>
      <c r="T33" s="123"/>
      <c r="U33" s="123"/>
    </row>
    <row r="34" spans="1:25" ht="31.15" customHeight="1" x14ac:dyDescent="0.25">
      <c r="A34" s="379" t="s">
        <v>22</v>
      </c>
      <c r="B34" s="380" t="s">
        <v>29</v>
      </c>
      <c r="C34" s="379" t="s">
        <v>6</v>
      </c>
      <c r="D34" s="313">
        <v>1</v>
      </c>
      <c r="E34" s="313">
        <v>1</v>
      </c>
      <c r="F34" s="313">
        <v>0</v>
      </c>
      <c r="G34" s="313">
        <v>0</v>
      </c>
      <c r="H34" s="291">
        <f t="shared" si="2"/>
        <v>0</v>
      </c>
      <c r="I34" s="313"/>
      <c r="J34" s="124"/>
      <c r="K34" s="137"/>
      <c r="L34" s="137"/>
      <c r="M34" s="137"/>
      <c r="N34" s="137"/>
      <c r="O34" s="137"/>
      <c r="P34" s="123"/>
      <c r="Q34" s="123"/>
      <c r="R34" s="123"/>
      <c r="S34" s="123"/>
      <c r="T34" s="123"/>
      <c r="U34" s="123"/>
    </row>
    <row r="35" spans="1:25" s="177" customFormat="1" ht="31.15" customHeight="1" x14ac:dyDescent="0.25">
      <c r="A35" s="379"/>
      <c r="B35" s="337" t="s">
        <v>218</v>
      </c>
      <c r="C35" s="5" t="s">
        <v>219</v>
      </c>
      <c r="D35" s="296">
        <v>36.85</v>
      </c>
      <c r="E35" s="296">
        <v>36.9</v>
      </c>
      <c r="F35" s="296"/>
      <c r="G35" s="296"/>
      <c r="H35" s="291">
        <f t="shared" si="2"/>
        <v>0</v>
      </c>
      <c r="I35" s="296"/>
      <c r="J35" s="124"/>
      <c r="K35" s="137"/>
      <c r="L35" s="236"/>
      <c r="M35" s="236"/>
      <c r="N35" s="236"/>
      <c r="O35" s="236"/>
      <c r="P35" s="184"/>
      <c r="Q35" s="184"/>
      <c r="R35" s="184"/>
      <c r="S35" s="184"/>
      <c r="T35" s="184"/>
      <c r="U35" s="184"/>
    </row>
    <row r="36" spans="1:25" s="177" customFormat="1" ht="31.15" customHeight="1" x14ac:dyDescent="0.25">
      <c r="A36" s="379"/>
      <c r="B36" s="337" t="s">
        <v>220</v>
      </c>
      <c r="C36" s="5" t="s">
        <v>17</v>
      </c>
      <c r="D36" s="296">
        <f>D34*D35/10</f>
        <v>3.6850000000000001</v>
      </c>
      <c r="E36" s="296">
        <f t="shared" ref="E36:G36" si="15">E34*E35/10</f>
        <v>3.69</v>
      </c>
      <c r="F36" s="296">
        <f t="shared" si="15"/>
        <v>0</v>
      </c>
      <c r="G36" s="296">
        <f t="shared" si="15"/>
        <v>0</v>
      </c>
      <c r="H36" s="291">
        <f t="shared" si="2"/>
        <v>0</v>
      </c>
      <c r="I36" s="296"/>
      <c r="J36" s="124"/>
      <c r="K36" s="137"/>
      <c r="L36" s="236"/>
      <c r="M36" s="236"/>
      <c r="N36" s="236"/>
      <c r="O36" s="236"/>
      <c r="P36" s="184"/>
      <c r="Q36" s="184"/>
      <c r="R36" s="184"/>
      <c r="S36" s="184"/>
      <c r="T36" s="184"/>
      <c r="U36" s="184"/>
    </row>
    <row r="37" spans="1:25" ht="31.15" customHeight="1" x14ac:dyDescent="0.25">
      <c r="A37" s="3">
        <v>2</v>
      </c>
      <c r="B37" s="335" t="s">
        <v>30</v>
      </c>
      <c r="C37" s="3" t="s">
        <v>6</v>
      </c>
      <c r="D37" s="291">
        <v>16</v>
      </c>
      <c r="E37" s="291">
        <v>21.14</v>
      </c>
      <c r="F37" s="291">
        <v>0</v>
      </c>
      <c r="G37" s="291">
        <v>0</v>
      </c>
      <c r="H37" s="291">
        <f t="shared" si="2"/>
        <v>0</v>
      </c>
      <c r="I37" s="296"/>
      <c r="J37" s="121"/>
      <c r="K37" s="211"/>
      <c r="L37" s="211"/>
      <c r="M37" s="211"/>
      <c r="N37" s="211"/>
      <c r="O37" s="117"/>
      <c r="P37" s="122"/>
      <c r="Q37" s="122"/>
      <c r="R37" s="122"/>
      <c r="S37" s="122"/>
      <c r="T37" s="122"/>
      <c r="U37" s="122"/>
      <c r="V37" s="122"/>
      <c r="W37" s="122"/>
      <c r="X37" s="122"/>
      <c r="Y37" s="122"/>
    </row>
    <row r="38" spans="1:25" s="177" customFormat="1" ht="31.15" customHeight="1" x14ac:dyDescent="0.25">
      <c r="A38" s="3"/>
      <c r="B38" s="337" t="s">
        <v>218</v>
      </c>
      <c r="C38" s="5" t="s">
        <v>219</v>
      </c>
      <c r="D38" s="296">
        <v>137.5</v>
      </c>
      <c r="E38" s="296">
        <v>140</v>
      </c>
      <c r="F38" s="296"/>
      <c r="G38" s="296"/>
      <c r="H38" s="291">
        <f t="shared" si="2"/>
        <v>0</v>
      </c>
      <c r="I38" s="296"/>
      <c r="J38" s="121"/>
      <c r="K38" s="117"/>
      <c r="L38" s="185"/>
      <c r="M38" s="185"/>
      <c r="N38" s="185"/>
      <c r="O38" s="185"/>
      <c r="P38" s="186"/>
      <c r="Q38" s="186"/>
      <c r="R38" s="186"/>
      <c r="S38" s="186"/>
      <c r="T38" s="186"/>
      <c r="U38" s="186"/>
      <c r="V38" s="186"/>
      <c r="W38" s="186"/>
      <c r="X38" s="186"/>
      <c r="Y38" s="186"/>
    </row>
    <row r="39" spans="1:25" s="177" customFormat="1" ht="31.15" customHeight="1" x14ac:dyDescent="0.25">
      <c r="A39" s="3"/>
      <c r="B39" s="337" t="s">
        <v>220</v>
      </c>
      <c r="C39" s="5" t="s">
        <v>17</v>
      </c>
      <c r="D39" s="296">
        <f>D37*D38/10</f>
        <v>220</v>
      </c>
      <c r="E39" s="296">
        <f t="shared" ref="E39:G39" si="16">E37*E38/10</f>
        <v>295.95999999999998</v>
      </c>
      <c r="F39" s="296">
        <f t="shared" si="16"/>
        <v>0</v>
      </c>
      <c r="G39" s="296">
        <f t="shared" si="16"/>
        <v>0</v>
      </c>
      <c r="H39" s="291">
        <f t="shared" si="2"/>
        <v>0</v>
      </c>
      <c r="I39" s="296"/>
      <c r="J39" s="121"/>
      <c r="K39" s="117"/>
      <c r="L39" s="185"/>
      <c r="M39" s="185"/>
      <c r="N39" s="185"/>
      <c r="O39" s="185"/>
      <c r="P39" s="186"/>
      <c r="Q39" s="186"/>
      <c r="R39" s="186"/>
      <c r="S39" s="186"/>
      <c r="T39" s="186"/>
      <c r="U39" s="186"/>
      <c r="V39" s="186"/>
      <c r="W39" s="186"/>
      <c r="X39" s="186"/>
      <c r="Y39" s="186"/>
    </row>
    <row r="40" spans="1:25" s="177" customFormat="1" ht="31.15" customHeight="1" x14ac:dyDescent="0.25">
      <c r="A40" s="3">
        <v>3</v>
      </c>
      <c r="B40" s="333" t="s">
        <v>241</v>
      </c>
      <c r="C40" s="332" t="s">
        <v>6</v>
      </c>
      <c r="D40" s="294"/>
      <c r="E40" s="294">
        <v>0.5</v>
      </c>
      <c r="F40" s="294">
        <v>0</v>
      </c>
      <c r="G40" s="294">
        <v>0</v>
      </c>
      <c r="H40" s="291">
        <f t="shared" si="2"/>
        <v>0</v>
      </c>
      <c r="I40" s="296"/>
      <c r="J40" s="121"/>
      <c r="K40" s="117"/>
      <c r="L40" s="185"/>
      <c r="M40" s="185"/>
      <c r="N40" s="185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</row>
    <row r="41" spans="1:25" s="177" customFormat="1" ht="31.15" customHeight="1" x14ac:dyDescent="0.25">
      <c r="A41" s="3"/>
      <c r="B41" s="336" t="s">
        <v>218</v>
      </c>
      <c r="C41" s="343" t="s">
        <v>219</v>
      </c>
      <c r="D41" s="298"/>
      <c r="E41" s="298">
        <v>24.1</v>
      </c>
      <c r="F41" s="296"/>
      <c r="G41" s="296"/>
      <c r="H41" s="291">
        <f t="shared" si="2"/>
        <v>0</v>
      </c>
      <c r="I41" s="296"/>
      <c r="J41" s="121"/>
      <c r="K41" s="117"/>
      <c r="L41" s="185"/>
      <c r="M41" s="185"/>
      <c r="N41" s="185"/>
      <c r="O41" s="185"/>
      <c r="P41" s="186"/>
      <c r="Q41" s="186"/>
      <c r="R41" s="186"/>
      <c r="S41" s="186"/>
      <c r="T41" s="186"/>
      <c r="U41" s="186"/>
      <c r="V41" s="186"/>
      <c r="W41" s="186"/>
      <c r="X41" s="186"/>
      <c r="Y41" s="186"/>
    </row>
    <row r="42" spans="1:25" s="177" customFormat="1" ht="31.15" customHeight="1" x14ac:dyDescent="0.25">
      <c r="A42" s="3"/>
      <c r="B42" s="336" t="s">
        <v>220</v>
      </c>
      <c r="C42" s="343" t="s">
        <v>17</v>
      </c>
      <c r="D42" s="298"/>
      <c r="E42" s="298">
        <f>E40*E41/10</f>
        <v>1.2050000000000001</v>
      </c>
      <c r="F42" s="298">
        <f t="shared" ref="F42:G42" si="17">F40*F41/10</f>
        <v>0</v>
      </c>
      <c r="G42" s="298">
        <f t="shared" si="17"/>
        <v>0</v>
      </c>
      <c r="H42" s="291">
        <f t="shared" si="2"/>
        <v>0</v>
      </c>
      <c r="I42" s="296"/>
      <c r="J42" s="121"/>
      <c r="K42" s="117"/>
      <c r="L42" s="185"/>
      <c r="M42" s="185"/>
      <c r="N42" s="185"/>
      <c r="O42" s="185"/>
      <c r="P42" s="186"/>
      <c r="Q42" s="186"/>
      <c r="R42" s="186"/>
      <c r="S42" s="186"/>
      <c r="T42" s="186"/>
      <c r="U42" s="186"/>
      <c r="V42" s="186"/>
      <c r="W42" s="186"/>
      <c r="X42" s="186"/>
      <c r="Y42" s="186"/>
    </row>
    <row r="43" spans="1:25" ht="31.15" customHeight="1" x14ac:dyDescent="0.25">
      <c r="A43" s="3">
        <v>4</v>
      </c>
      <c r="B43" s="335" t="s">
        <v>242</v>
      </c>
      <c r="C43" s="3" t="s">
        <v>6</v>
      </c>
      <c r="D43" s="291">
        <v>0.5</v>
      </c>
      <c r="E43" s="291">
        <v>0.5</v>
      </c>
      <c r="F43" s="291">
        <v>0.27</v>
      </c>
      <c r="G43" s="291">
        <f>F43</f>
        <v>0.27</v>
      </c>
      <c r="H43" s="291">
        <f t="shared" si="2"/>
        <v>54</v>
      </c>
      <c r="I43" s="291"/>
      <c r="J43" s="127"/>
      <c r="K43" s="168"/>
      <c r="L43" s="237"/>
      <c r="M43" s="237"/>
      <c r="N43" s="237"/>
      <c r="O43" s="237"/>
    </row>
    <row r="44" spans="1:25" ht="31.15" customHeight="1" x14ac:dyDescent="0.25">
      <c r="A44" s="5"/>
      <c r="B44" s="337" t="s">
        <v>218</v>
      </c>
      <c r="C44" s="5" t="s">
        <v>219</v>
      </c>
      <c r="D44" s="296">
        <v>100</v>
      </c>
      <c r="E44" s="296">
        <v>98.5</v>
      </c>
      <c r="F44" s="296"/>
      <c r="G44" s="296"/>
      <c r="H44" s="291">
        <f t="shared" si="2"/>
        <v>0</v>
      </c>
      <c r="I44" s="296"/>
      <c r="J44" s="127"/>
      <c r="K44" s="224"/>
      <c r="L44" s="127"/>
      <c r="M44" s="127"/>
      <c r="N44" s="127"/>
    </row>
    <row r="45" spans="1:25" ht="31.15" customHeight="1" x14ac:dyDescent="0.25">
      <c r="A45" s="5"/>
      <c r="B45" s="346" t="s">
        <v>220</v>
      </c>
      <c r="C45" s="347" t="s">
        <v>17</v>
      </c>
      <c r="D45" s="296">
        <f>D43*D44/10</f>
        <v>5</v>
      </c>
      <c r="E45" s="296">
        <f>E43*E44/10</f>
        <v>4.9249999999999998</v>
      </c>
      <c r="F45" s="296">
        <f t="shared" ref="F45:G45" si="18">F43*F44/10</f>
        <v>0</v>
      </c>
      <c r="G45" s="296">
        <f t="shared" si="18"/>
        <v>0</v>
      </c>
      <c r="H45" s="291">
        <f t="shared" si="2"/>
        <v>0</v>
      </c>
      <c r="I45" s="296"/>
      <c r="J45" s="127"/>
      <c r="K45" s="127"/>
      <c r="L45" s="127"/>
      <c r="M45" s="127"/>
      <c r="N45" s="127"/>
    </row>
    <row r="46" spans="1:25" ht="31.15" customHeight="1" x14ac:dyDescent="0.25">
      <c r="A46" s="3">
        <v>5</v>
      </c>
      <c r="B46" s="335" t="s">
        <v>32</v>
      </c>
      <c r="C46" s="3" t="s">
        <v>6</v>
      </c>
      <c r="D46" s="291">
        <f>D47+D55+D64</f>
        <v>17.04</v>
      </c>
      <c r="E46" s="291">
        <f t="shared" ref="E46:G46" si="19">E47+E55+E64</f>
        <v>25.84</v>
      </c>
      <c r="F46" s="291">
        <f t="shared" si="19"/>
        <v>17.34</v>
      </c>
      <c r="G46" s="291">
        <f t="shared" si="19"/>
        <v>17.34</v>
      </c>
      <c r="H46" s="291">
        <f t="shared" si="2"/>
        <v>67.10526315789474</v>
      </c>
      <c r="I46" s="291"/>
      <c r="J46" s="127"/>
      <c r="K46" s="127"/>
      <c r="L46" s="127"/>
      <c r="M46" s="127"/>
      <c r="N46" s="127"/>
    </row>
    <row r="47" spans="1:25" ht="31.15" customHeight="1" x14ac:dyDescent="0.25">
      <c r="A47" s="382" t="s">
        <v>33</v>
      </c>
      <c r="B47" s="335" t="s">
        <v>34</v>
      </c>
      <c r="C47" s="3" t="s">
        <v>6</v>
      </c>
      <c r="D47" s="291">
        <f>D48+D49</f>
        <v>12.54</v>
      </c>
      <c r="E47" s="291">
        <f t="shared" ref="E47:G47" si="20">E48+E49</f>
        <v>20.54</v>
      </c>
      <c r="F47" s="291">
        <f t="shared" si="20"/>
        <v>12.54</v>
      </c>
      <c r="G47" s="291">
        <f t="shared" si="20"/>
        <v>12.54</v>
      </c>
      <c r="H47" s="291">
        <f t="shared" si="2"/>
        <v>61.051606621226874</v>
      </c>
      <c r="I47" s="291"/>
      <c r="J47" s="127"/>
      <c r="K47" s="127"/>
      <c r="L47" s="127"/>
      <c r="M47" s="127"/>
      <c r="N47" s="127"/>
    </row>
    <row r="48" spans="1:25" ht="31.15" customHeight="1" x14ac:dyDescent="0.25">
      <c r="A48" s="7" t="s">
        <v>24</v>
      </c>
      <c r="B48" s="383" t="s">
        <v>196</v>
      </c>
      <c r="C48" s="384" t="s">
        <v>6</v>
      </c>
      <c r="D48" s="296">
        <v>5.7</v>
      </c>
      <c r="E48" s="296">
        <f>D48+D49</f>
        <v>12.54</v>
      </c>
      <c r="F48" s="296">
        <v>12.54</v>
      </c>
      <c r="G48" s="296">
        <v>12.54</v>
      </c>
      <c r="H48" s="296">
        <f t="shared" si="2"/>
        <v>100</v>
      </c>
      <c r="I48" s="296"/>
      <c r="J48" s="121"/>
      <c r="K48" s="121"/>
      <c r="L48" s="121"/>
      <c r="M48" s="121"/>
      <c r="N48" s="121"/>
      <c r="O48" s="122"/>
      <c r="P48" s="122"/>
      <c r="Q48" s="122"/>
    </row>
    <row r="49" spans="1:18" s="131" customFormat="1" ht="31.15" customHeight="1" x14ac:dyDescent="0.25">
      <c r="A49" s="3" t="s">
        <v>20</v>
      </c>
      <c r="B49" s="335" t="s">
        <v>186</v>
      </c>
      <c r="C49" s="385" t="s">
        <v>6</v>
      </c>
      <c r="D49" s="291">
        <f>D50+D51</f>
        <v>6.84</v>
      </c>
      <c r="E49" s="291">
        <f t="shared" ref="E49:G49" si="21">E50+E51</f>
        <v>8</v>
      </c>
      <c r="F49" s="291">
        <f t="shared" si="21"/>
        <v>0</v>
      </c>
      <c r="G49" s="291">
        <f t="shared" si="21"/>
        <v>0</v>
      </c>
      <c r="H49" s="291">
        <f t="shared" si="2"/>
        <v>0</v>
      </c>
      <c r="I49" s="291"/>
      <c r="J49" s="213"/>
      <c r="K49" s="213"/>
      <c r="L49" s="213"/>
      <c r="M49" s="213"/>
      <c r="N49" s="213"/>
    </row>
    <row r="50" spans="1:18" ht="31.15" customHeight="1" x14ac:dyDescent="0.25">
      <c r="A50" s="384" t="s">
        <v>18</v>
      </c>
      <c r="B50" s="386" t="s">
        <v>194</v>
      </c>
      <c r="C50" s="384" t="s">
        <v>6</v>
      </c>
      <c r="D50" s="296">
        <v>6.84</v>
      </c>
      <c r="E50" s="296">
        <v>8</v>
      </c>
      <c r="F50" s="296">
        <v>0</v>
      </c>
      <c r="G50" s="296">
        <v>0</v>
      </c>
      <c r="H50" s="291">
        <f t="shared" si="2"/>
        <v>0</v>
      </c>
      <c r="I50" s="296"/>
      <c r="J50" s="214"/>
      <c r="K50" s="127"/>
      <c r="L50" s="127"/>
      <c r="M50" s="127"/>
      <c r="N50" s="127"/>
    </row>
    <row r="51" spans="1:18" ht="31.15" customHeight="1" x14ac:dyDescent="0.25">
      <c r="A51" s="384" t="s">
        <v>18</v>
      </c>
      <c r="B51" s="386" t="s">
        <v>35</v>
      </c>
      <c r="C51" s="5" t="s">
        <v>6</v>
      </c>
      <c r="D51" s="296"/>
      <c r="E51" s="296"/>
      <c r="F51" s="296"/>
      <c r="G51" s="296"/>
      <c r="H51" s="291"/>
      <c r="I51" s="296"/>
      <c r="J51" s="127"/>
      <c r="K51" s="127"/>
      <c r="L51" s="127"/>
      <c r="M51" s="127"/>
      <c r="N51" s="127"/>
    </row>
    <row r="52" spans="1:18" s="131" customFormat="1" ht="31.15" customHeight="1" x14ac:dyDescent="0.25">
      <c r="A52" s="1" t="s">
        <v>22</v>
      </c>
      <c r="B52" s="334" t="s">
        <v>197</v>
      </c>
      <c r="C52" s="3" t="s">
        <v>6</v>
      </c>
      <c r="D52" s="291">
        <f>D53+D54</f>
        <v>5.71</v>
      </c>
      <c r="E52" s="291">
        <f t="shared" ref="E52:G52" si="22">E53+E54</f>
        <v>4.8449999999999998</v>
      </c>
      <c r="F52" s="291">
        <f t="shared" si="22"/>
        <v>4.84</v>
      </c>
      <c r="G52" s="291">
        <f t="shared" si="22"/>
        <v>4.84</v>
      </c>
      <c r="H52" s="291">
        <f t="shared" si="2"/>
        <v>99.896800825593402</v>
      </c>
      <c r="I52" s="291"/>
      <c r="J52" s="213"/>
      <c r="K52" s="213"/>
      <c r="L52" s="213"/>
      <c r="M52" s="213"/>
      <c r="N52" s="213"/>
    </row>
    <row r="53" spans="1:18" ht="31.15" customHeight="1" x14ac:dyDescent="0.25">
      <c r="A53" s="387" t="s">
        <v>18</v>
      </c>
      <c r="B53" s="386" t="s">
        <v>198</v>
      </c>
      <c r="C53" s="5" t="s">
        <v>6</v>
      </c>
      <c r="D53" s="296">
        <v>3.71</v>
      </c>
      <c r="E53" s="296">
        <f>D48*85%</f>
        <v>4.8449999999999998</v>
      </c>
      <c r="F53" s="296">
        <v>4.84</v>
      </c>
      <c r="G53" s="296">
        <v>4.84</v>
      </c>
      <c r="H53" s="296">
        <f t="shared" si="2"/>
        <v>99.896800825593402</v>
      </c>
      <c r="I53" s="296"/>
      <c r="J53" s="127"/>
      <c r="K53" s="127"/>
      <c r="L53" s="127"/>
      <c r="M53" s="224"/>
      <c r="N53" s="127"/>
    </row>
    <row r="54" spans="1:18" ht="31.15" customHeight="1" x14ac:dyDescent="0.25">
      <c r="A54" s="5"/>
      <c r="B54" s="386" t="s">
        <v>199</v>
      </c>
      <c r="C54" s="5" t="s">
        <v>6</v>
      </c>
      <c r="D54" s="296">
        <v>2</v>
      </c>
      <c r="E54" s="296"/>
      <c r="F54" s="296"/>
      <c r="G54" s="296"/>
      <c r="H54" s="291"/>
      <c r="I54" s="296"/>
      <c r="J54" s="127"/>
      <c r="K54" s="127"/>
      <c r="L54" s="127"/>
      <c r="M54" s="127"/>
      <c r="N54" s="127"/>
    </row>
    <row r="55" spans="1:18" ht="31.15" customHeight="1" x14ac:dyDescent="0.25">
      <c r="A55" s="3" t="s">
        <v>40</v>
      </c>
      <c r="B55" s="335" t="s">
        <v>36</v>
      </c>
      <c r="C55" s="3" t="s">
        <v>6</v>
      </c>
      <c r="D55" s="291">
        <f>D56+D57</f>
        <v>4.5</v>
      </c>
      <c r="E55" s="291">
        <f t="shared" ref="E55:G55" si="23">E56+E57</f>
        <v>5.3</v>
      </c>
      <c r="F55" s="291">
        <f t="shared" si="23"/>
        <v>4.8</v>
      </c>
      <c r="G55" s="291">
        <f t="shared" si="23"/>
        <v>4.8</v>
      </c>
      <c r="H55" s="291">
        <f t="shared" si="2"/>
        <v>90.566037735849065</v>
      </c>
      <c r="I55" s="291"/>
      <c r="J55" s="127"/>
      <c r="K55" s="127"/>
      <c r="L55" s="127"/>
      <c r="M55" s="127"/>
      <c r="N55" s="127"/>
    </row>
    <row r="56" spans="1:18" ht="31.15" customHeight="1" x14ac:dyDescent="0.25">
      <c r="A56" s="5" t="s">
        <v>24</v>
      </c>
      <c r="B56" s="383" t="s">
        <v>197</v>
      </c>
      <c r="C56" s="5" t="s">
        <v>6</v>
      </c>
      <c r="D56" s="296">
        <v>4.5</v>
      </c>
      <c r="E56" s="296">
        <f>D56+E58</f>
        <v>4.8</v>
      </c>
      <c r="F56" s="296">
        <v>4.8</v>
      </c>
      <c r="G56" s="296">
        <v>4.8</v>
      </c>
      <c r="H56" s="296">
        <f t="shared" si="2"/>
        <v>100</v>
      </c>
      <c r="I56" s="296"/>
      <c r="J56" s="127"/>
      <c r="K56" s="127"/>
      <c r="L56" s="127"/>
      <c r="M56" s="127"/>
      <c r="N56" s="127"/>
    </row>
    <row r="57" spans="1:18" ht="31.15" customHeight="1" x14ac:dyDescent="0.25">
      <c r="A57" s="5" t="s">
        <v>24</v>
      </c>
      <c r="B57" s="337" t="s">
        <v>200</v>
      </c>
      <c r="C57" s="5" t="s">
        <v>6</v>
      </c>
      <c r="D57" s="296">
        <f>D58+D61</f>
        <v>0</v>
      </c>
      <c r="E57" s="296">
        <f t="shared" ref="E57:G57" si="24">E58+E61</f>
        <v>0.5</v>
      </c>
      <c r="F57" s="296">
        <f t="shared" si="24"/>
        <v>0</v>
      </c>
      <c r="G57" s="296">
        <f t="shared" si="24"/>
        <v>0</v>
      </c>
      <c r="H57" s="291">
        <f t="shared" si="2"/>
        <v>0</v>
      </c>
      <c r="I57" s="296"/>
      <c r="J57" s="127"/>
      <c r="K57" s="127"/>
      <c r="L57" s="127"/>
      <c r="M57" s="127"/>
      <c r="N57" s="127"/>
    </row>
    <row r="58" spans="1:18" s="149" customFormat="1" ht="31.15" customHeight="1" x14ac:dyDescent="0.25">
      <c r="A58" s="4" t="s">
        <v>20</v>
      </c>
      <c r="B58" s="388" t="s">
        <v>185</v>
      </c>
      <c r="C58" s="5" t="s">
        <v>6</v>
      </c>
      <c r="D58" s="299">
        <f>D59+D60</f>
        <v>0</v>
      </c>
      <c r="E58" s="299">
        <f t="shared" ref="E58:G58" si="25">E59+E60</f>
        <v>0.30000000000000004</v>
      </c>
      <c r="F58" s="299">
        <f t="shared" si="25"/>
        <v>0</v>
      </c>
      <c r="G58" s="299">
        <f t="shared" si="25"/>
        <v>0</v>
      </c>
      <c r="H58" s="291">
        <f t="shared" si="2"/>
        <v>0</v>
      </c>
      <c r="I58" s="299"/>
      <c r="J58" s="217"/>
      <c r="K58" s="142"/>
      <c r="L58" s="142"/>
      <c r="M58" s="142"/>
      <c r="N58" s="142"/>
      <c r="O58" s="142"/>
      <c r="P58" s="156"/>
      <c r="Q58" s="156"/>
      <c r="R58" s="156"/>
    </row>
    <row r="59" spans="1:18" ht="31.15" customHeight="1" x14ac:dyDescent="0.25">
      <c r="A59" s="5" t="s">
        <v>18</v>
      </c>
      <c r="B59" s="383" t="s">
        <v>202</v>
      </c>
      <c r="C59" s="5" t="s">
        <v>6</v>
      </c>
      <c r="D59" s="296"/>
      <c r="E59" s="296">
        <v>0.2</v>
      </c>
      <c r="F59" s="296">
        <v>0</v>
      </c>
      <c r="G59" s="296">
        <v>0</v>
      </c>
      <c r="H59" s="291">
        <f t="shared" si="2"/>
        <v>0</v>
      </c>
      <c r="I59" s="296"/>
      <c r="J59" s="224"/>
      <c r="K59" s="114"/>
      <c r="L59" s="114"/>
      <c r="M59" s="114"/>
      <c r="N59" s="114"/>
      <c r="O59" s="114"/>
      <c r="P59" s="138"/>
      <c r="Q59" s="138"/>
      <c r="R59" s="138"/>
    </row>
    <row r="60" spans="1:18" ht="31.15" customHeight="1" x14ac:dyDescent="0.25">
      <c r="A60" s="5" t="s">
        <v>18</v>
      </c>
      <c r="B60" s="383" t="s">
        <v>201</v>
      </c>
      <c r="C60" s="5" t="s">
        <v>6</v>
      </c>
      <c r="D60" s="296"/>
      <c r="E60" s="296">
        <v>0.1</v>
      </c>
      <c r="F60" s="296">
        <v>0</v>
      </c>
      <c r="G60" s="296">
        <v>0</v>
      </c>
      <c r="H60" s="291">
        <f t="shared" si="2"/>
        <v>0</v>
      </c>
      <c r="I60" s="296"/>
      <c r="J60" s="224"/>
      <c r="K60" s="114"/>
      <c r="L60" s="114"/>
      <c r="M60" s="114"/>
      <c r="N60" s="114"/>
      <c r="O60" s="114"/>
      <c r="P60" s="138"/>
      <c r="Q60" s="138"/>
      <c r="R60" s="138"/>
    </row>
    <row r="61" spans="1:18" s="149" customFormat="1" ht="31.15" customHeight="1" x14ac:dyDescent="0.25">
      <c r="A61" s="4" t="s">
        <v>22</v>
      </c>
      <c r="B61" s="389" t="s">
        <v>187</v>
      </c>
      <c r="C61" s="5" t="s">
        <v>6</v>
      </c>
      <c r="D61" s="299">
        <f>D62+D63</f>
        <v>0</v>
      </c>
      <c r="E61" s="299">
        <f t="shared" ref="E61:G61" si="26">E62+E63</f>
        <v>0.2</v>
      </c>
      <c r="F61" s="299">
        <f t="shared" si="26"/>
        <v>0</v>
      </c>
      <c r="G61" s="299">
        <f t="shared" si="26"/>
        <v>0</v>
      </c>
      <c r="H61" s="291">
        <f t="shared" si="2"/>
        <v>0</v>
      </c>
      <c r="I61" s="299"/>
      <c r="J61" s="224"/>
      <c r="K61" s="142"/>
      <c r="L61" s="218"/>
      <c r="M61" s="218"/>
      <c r="N61" s="218"/>
      <c r="O61" s="156"/>
      <c r="P61" s="156"/>
      <c r="Q61" s="156"/>
      <c r="R61" s="156"/>
    </row>
    <row r="62" spans="1:18" ht="31.15" customHeight="1" x14ac:dyDescent="0.25">
      <c r="A62" s="5" t="s">
        <v>18</v>
      </c>
      <c r="B62" s="383" t="s">
        <v>203</v>
      </c>
      <c r="C62" s="5" t="s">
        <v>6</v>
      </c>
      <c r="D62" s="296"/>
      <c r="E62" s="296">
        <v>0.1</v>
      </c>
      <c r="F62" s="296">
        <v>0</v>
      </c>
      <c r="G62" s="296">
        <v>0</v>
      </c>
      <c r="H62" s="291">
        <f t="shared" si="2"/>
        <v>0</v>
      </c>
      <c r="I62" s="296"/>
      <c r="J62" s="224"/>
      <c r="K62" s="114"/>
      <c r="L62" s="114"/>
      <c r="M62" s="114"/>
      <c r="N62" s="114"/>
      <c r="O62" s="114"/>
      <c r="P62" s="138"/>
      <c r="Q62" s="138"/>
      <c r="R62" s="138"/>
    </row>
    <row r="63" spans="1:18" ht="31.15" customHeight="1" x14ac:dyDescent="0.25">
      <c r="A63" s="5" t="s">
        <v>18</v>
      </c>
      <c r="B63" s="383" t="s">
        <v>204</v>
      </c>
      <c r="C63" s="5" t="s">
        <v>6</v>
      </c>
      <c r="D63" s="296"/>
      <c r="E63" s="296">
        <v>0.1</v>
      </c>
      <c r="F63" s="296">
        <v>0</v>
      </c>
      <c r="G63" s="296">
        <v>0</v>
      </c>
      <c r="H63" s="291">
        <f t="shared" si="2"/>
        <v>0</v>
      </c>
      <c r="I63" s="296"/>
      <c r="J63" s="224"/>
      <c r="K63" s="114"/>
      <c r="L63" s="114"/>
      <c r="M63" s="114"/>
      <c r="N63" s="114"/>
      <c r="O63" s="114"/>
      <c r="P63" s="138"/>
      <c r="Q63" s="138"/>
      <c r="R63" s="138"/>
    </row>
    <row r="64" spans="1:18" ht="31.15" customHeight="1" x14ac:dyDescent="0.25">
      <c r="A64" s="3" t="s">
        <v>244</v>
      </c>
      <c r="B64" s="335" t="s">
        <v>37</v>
      </c>
      <c r="C64" s="3" t="s">
        <v>6</v>
      </c>
      <c r="D64" s="291">
        <f>D65+D66</f>
        <v>0</v>
      </c>
      <c r="E64" s="291">
        <f t="shared" ref="E64:F64" si="27">E65+E66</f>
        <v>0</v>
      </c>
      <c r="F64" s="291">
        <f t="shared" si="27"/>
        <v>0</v>
      </c>
      <c r="G64" s="291"/>
      <c r="H64" s="291"/>
      <c r="I64" s="291"/>
      <c r="J64" s="224"/>
      <c r="K64" s="155"/>
      <c r="L64" s="155"/>
      <c r="M64" s="155"/>
      <c r="N64" s="155"/>
      <c r="O64" s="138"/>
      <c r="P64" s="138"/>
      <c r="Q64" s="138"/>
      <c r="R64" s="138"/>
    </row>
    <row r="65" spans="1:17" ht="31.15" customHeight="1" x14ac:dyDescent="0.25">
      <c r="A65" s="5" t="s">
        <v>18</v>
      </c>
      <c r="B65" s="383" t="s">
        <v>196</v>
      </c>
      <c r="C65" s="5" t="s">
        <v>6</v>
      </c>
      <c r="D65" s="296"/>
      <c r="E65" s="296"/>
      <c r="F65" s="296"/>
      <c r="G65" s="296"/>
      <c r="H65" s="291"/>
      <c r="I65" s="296"/>
      <c r="J65" s="224"/>
      <c r="K65" s="127"/>
      <c r="L65" s="127"/>
      <c r="M65" s="127"/>
      <c r="N65" s="127"/>
    </row>
    <row r="66" spans="1:17" ht="31.15" customHeight="1" x14ac:dyDescent="0.25">
      <c r="A66" s="5" t="s">
        <v>18</v>
      </c>
      <c r="B66" s="337" t="s">
        <v>31</v>
      </c>
      <c r="C66" s="5" t="s">
        <v>6</v>
      </c>
      <c r="D66" s="296"/>
      <c r="E66" s="296"/>
      <c r="F66" s="296"/>
      <c r="G66" s="296"/>
      <c r="H66" s="291"/>
      <c r="I66" s="296"/>
      <c r="J66" s="127"/>
      <c r="K66" s="127"/>
      <c r="L66" s="127"/>
      <c r="M66" s="127"/>
      <c r="N66" s="127"/>
    </row>
    <row r="67" spans="1:17" ht="31.15" customHeight="1" x14ac:dyDescent="0.25">
      <c r="A67" s="3">
        <v>6</v>
      </c>
      <c r="B67" s="335" t="s">
        <v>38</v>
      </c>
      <c r="C67" s="3" t="s">
        <v>6</v>
      </c>
      <c r="D67" s="291">
        <f>D68+D71</f>
        <v>12.479999999999999</v>
      </c>
      <c r="E67" s="291">
        <f t="shared" ref="E67:G67" si="28">E68+E71</f>
        <v>9.81</v>
      </c>
      <c r="F67" s="291">
        <f t="shared" si="28"/>
        <v>9.68</v>
      </c>
      <c r="G67" s="291">
        <f t="shared" si="28"/>
        <v>9.68</v>
      </c>
      <c r="H67" s="291">
        <f t="shared" si="2"/>
        <v>98.674821610601413</v>
      </c>
      <c r="I67" s="291"/>
      <c r="J67" s="127"/>
      <c r="K67" s="127"/>
      <c r="L67" s="127"/>
      <c r="M67" s="127"/>
      <c r="N67" s="127"/>
    </row>
    <row r="68" spans="1:17" ht="31.15" customHeight="1" x14ac:dyDescent="0.25">
      <c r="A68" s="3" t="s">
        <v>245</v>
      </c>
      <c r="B68" s="335" t="s">
        <v>39</v>
      </c>
      <c r="C68" s="3" t="s">
        <v>6</v>
      </c>
      <c r="D68" s="291">
        <f>D69+D70</f>
        <v>0</v>
      </c>
      <c r="E68" s="291">
        <f t="shared" ref="E68:F68" si="29">E69+E70</f>
        <v>0</v>
      </c>
      <c r="F68" s="291">
        <f t="shared" si="29"/>
        <v>0</v>
      </c>
      <c r="G68" s="291"/>
      <c r="H68" s="291"/>
      <c r="I68" s="291"/>
      <c r="J68" s="127"/>
      <c r="K68" s="127"/>
      <c r="L68" s="127"/>
      <c r="M68" s="127"/>
      <c r="N68" s="127"/>
    </row>
    <row r="69" spans="1:17" ht="31.15" customHeight="1" x14ac:dyDescent="0.25">
      <c r="A69" s="5" t="s">
        <v>18</v>
      </c>
      <c r="B69" s="383" t="s">
        <v>205</v>
      </c>
      <c r="C69" s="5" t="s">
        <v>6</v>
      </c>
      <c r="D69" s="296"/>
      <c r="E69" s="296"/>
      <c r="F69" s="296"/>
      <c r="G69" s="296"/>
      <c r="H69" s="291"/>
      <c r="I69" s="296"/>
      <c r="J69" s="127"/>
      <c r="K69" s="127"/>
      <c r="L69" s="127"/>
      <c r="M69" s="127"/>
      <c r="N69" s="127"/>
    </row>
    <row r="70" spans="1:17" ht="31.15" customHeight="1" x14ac:dyDescent="0.25">
      <c r="A70" s="5" t="s">
        <v>18</v>
      </c>
      <c r="B70" s="383" t="s">
        <v>206</v>
      </c>
      <c r="C70" s="5" t="s">
        <v>6</v>
      </c>
      <c r="D70" s="296"/>
      <c r="E70" s="296"/>
      <c r="F70" s="296"/>
      <c r="G70" s="296"/>
      <c r="H70" s="291"/>
      <c r="I70" s="296"/>
      <c r="J70" s="127"/>
      <c r="K70" s="127"/>
      <c r="L70" s="127"/>
      <c r="M70" s="127"/>
      <c r="N70" s="127"/>
    </row>
    <row r="71" spans="1:17" ht="31.15" customHeight="1" x14ac:dyDescent="0.25">
      <c r="A71" s="3" t="s">
        <v>246</v>
      </c>
      <c r="B71" s="334" t="s">
        <v>41</v>
      </c>
      <c r="C71" s="3" t="s">
        <v>6</v>
      </c>
      <c r="D71" s="291">
        <f>D72+D73</f>
        <v>12.479999999999999</v>
      </c>
      <c r="E71" s="291">
        <f t="shared" ref="E71:G71" si="30">E72+E73</f>
        <v>9.81</v>
      </c>
      <c r="F71" s="291">
        <f t="shared" si="30"/>
        <v>9.68</v>
      </c>
      <c r="G71" s="291">
        <f t="shared" si="30"/>
        <v>9.68</v>
      </c>
      <c r="H71" s="291">
        <f t="shared" si="2"/>
        <v>98.674821610601413</v>
      </c>
      <c r="I71" s="291"/>
      <c r="J71" s="127"/>
      <c r="K71" s="127"/>
      <c r="L71" s="127"/>
      <c r="M71" s="127"/>
      <c r="N71" s="127"/>
    </row>
    <row r="72" spans="1:17" ht="31.15" customHeight="1" x14ac:dyDescent="0.25">
      <c r="A72" s="382" t="s">
        <v>24</v>
      </c>
      <c r="B72" s="334" t="s">
        <v>207</v>
      </c>
      <c r="C72" s="3" t="s">
        <v>6</v>
      </c>
      <c r="D72" s="302">
        <f>D75+D82</f>
        <v>11.54</v>
      </c>
      <c r="E72" s="302">
        <f t="shared" ref="E72:G73" si="31">E75+E82</f>
        <v>9.68</v>
      </c>
      <c r="F72" s="302">
        <f t="shared" si="31"/>
        <v>9.68</v>
      </c>
      <c r="G72" s="302">
        <f t="shared" si="31"/>
        <v>9.68</v>
      </c>
      <c r="H72" s="291">
        <f t="shared" si="2"/>
        <v>100</v>
      </c>
      <c r="I72" s="302"/>
      <c r="J72" s="127"/>
      <c r="K72" s="127"/>
      <c r="L72" s="127"/>
      <c r="M72" s="127"/>
      <c r="N72" s="127"/>
    </row>
    <row r="73" spans="1:17" ht="31.15" customHeight="1" x14ac:dyDescent="0.25">
      <c r="A73" s="382" t="s">
        <v>24</v>
      </c>
      <c r="B73" s="334" t="s">
        <v>42</v>
      </c>
      <c r="C73" s="3" t="s">
        <v>6</v>
      </c>
      <c r="D73" s="291">
        <f>D76+D83</f>
        <v>0.94</v>
      </c>
      <c r="E73" s="291">
        <f t="shared" si="31"/>
        <v>0.13</v>
      </c>
      <c r="F73" s="291">
        <f t="shared" si="31"/>
        <v>0</v>
      </c>
      <c r="G73" s="291">
        <f t="shared" si="31"/>
        <v>0</v>
      </c>
      <c r="H73" s="291">
        <f t="shared" si="2"/>
        <v>0</v>
      </c>
      <c r="I73" s="291"/>
      <c r="J73" s="213"/>
      <c r="K73" s="213"/>
      <c r="L73" s="213"/>
      <c r="M73" s="213"/>
      <c r="N73" s="213"/>
    </row>
    <row r="74" spans="1:17" ht="31.15" customHeight="1" x14ac:dyDescent="0.25">
      <c r="A74" s="390" t="s">
        <v>20</v>
      </c>
      <c r="B74" s="381" t="s">
        <v>209</v>
      </c>
      <c r="C74" s="379" t="s">
        <v>6</v>
      </c>
      <c r="D74" s="304">
        <f>D75+D76</f>
        <v>9.18</v>
      </c>
      <c r="E74" s="304">
        <f t="shared" ref="E74:G74" si="32">E75+E76</f>
        <v>9.18</v>
      </c>
      <c r="F74" s="304">
        <f t="shared" si="32"/>
        <v>9.18</v>
      </c>
      <c r="G74" s="304">
        <f t="shared" si="32"/>
        <v>9.18</v>
      </c>
      <c r="H74" s="291">
        <f t="shared" ref="H74:H98" si="33">F74/E74*100</f>
        <v>100</v>
      </c>
      <c r="I74" s="304"/>
      <c r="J74" s="144"/>
      <c r="K74" s="144"/>
      <c r="L74" s="151"/>
      <c r="M74" s="151"/>
      <c r="N74" s="151"/>
      <c r="O74" s="151"/>
      <c r="P74" s="151"/>
      <c r="Q74" s="151"/>
    </row>
    <row r="75" spans="1:17" ht="31.15" customHeight="1" x14ac:dyDescent="0.25">
      <c r="A75" s="7" t="s">
        <v>24</v>
      </c>
      <c r="B75" s="391" t="s">
        <v>196</v>
      </c>
      <c r="C75" s="5" t="s">
        <v>6</v>
      </c>
      <c r="D75" s="306">
        <f>7.74+1</f>
        <v>8.74</v>
      </c>
      <c r="E75" s="306">
        <f>D75+D76</f>
        <v>9.18</v>
      </c>
      <c r="F75" s="296">
        <v>9.18</v>
      </c>
      <c r="G75" s="296">
        <v>9.18</v>
      </c>
      <c r="H75" s="296">
        <f t="shared" si="33"/>
        <v>100</v>
      </c>
      <c r="I75" s="296"/>
      <c r="J75" s="127"/>
      <c r="K75" s="127"/>
      <c r="L75" s="128"/>
      <c r="M75" s="128"/>
      <c r="N75" s="128"/>
      <c r="O75" s="126"/>
      <c r="P75" s="126"/>
      <c r="Q75" s="126"/>
    </row>
    <row r="76" spans="1:17" ht="31.15" customHeight="1" x14ac:dyDescent="0.25">
      <c r="A76" s="392" t="s">
        <v>15</v>
      </c>
      <c r="B76" s="389" t="s">
        <v>210</v>
      </c>
      <c r="C76" s="4" t="s">
        <v>6</v>
      </c>
      <c r="D76" s="307">
        <f>SUM(D77:D80)</f>
        <v>0.44</v>
      </c>
      <c r="E76" s="307">
        <f>SUM(E77:E80)</f>
        <v>0</v>
      </c>
      <c r="F76" s="307">
        <f t="shared" ref="F76:G76" si="34">SUM(F77:F80)</f>
        <v>0</v>
      </c>
      <c r="G76" s="307">
        <f t="shared" si="34"/>
        <v>0</v>
      </c>
      <c r="H76" s="291"/>
      <c r="I76" s="307"/>
      <c r="J76" s="217"/>
      <c r="K76" s="217"/>
      <c r="L76" s="219"/>
      <c r="M76" s="219"/>
      <c r="N76" s="219"/>
      <c r="O76" s="126"/>
      <c r="P76" s="126"/>
      <c r="Q76" s="126"/>
    </row>
    <row r="77" spans="1:17" ht="31.15" customHeight="1" x14ac:dyDescent="0.25">
      <c r="A77" s="4" t="s">
        <v>18</v>
      </c>
      <c r="B77" s="393" t="s">
        <v>212</v>
      </c>
      <c r="C77" s="4" t="s">
        <v>6</v>
      </c>
      <c r="D77" s="296"/>
      <c r="E77" s="296"/>
      <c r="F77" s="296"/>
      <c r="G77" s="296"/>
      <c r="H77" s="291"/>
      <c r="I77" s="296"/>
      <c r="J77" s="217"/>
      <c r="K77" s="217"/>
      <c r="L77" s="219"/>
      <c r="M77" s="220"/>
      <c r="N77" s="220"/>
      <c r="O77" s="126"/>
      <c r="P77" s="164"/>
      <c r="Q77" s="164"/>
    </row>
    <row r="78" spans="1:17" ht="31.15" customHeight="1" x14ac:dyDescent="0.25">
      <c r="A78" s="4" t="s">
        <v>18</v>
      </c>
      <c r="B78" s="393" t="s">
        <v>189</v>
      </c>
      <c r="C78" s="4" t="s">
        <v>6</v>
      </c>
      <c r="D78" s="296"/>
      <c r="E78" s="296">
        <v>0</v>
      </c>
      <c r="F78" s="296"/>
      <c r="G78" s="296"/>
      <c r="H78" s="291"/>
      <c r="I78" s="296"/>
      <c r="J78" s="217"/>
      <c r="K78" s="217"/>
      <c r="L78" s="219"/>
      <c r="M78" s="219"/>
      <c r="N78" s="219"/>
      <c r="O78" s="126"/>
      <c r="P78" s="126"/>
      <c r="Q78" s="126"/>
    </row>
    <row r="79" spans="1:17" ht="31.15" customHeight="1" x14ac:dyDescent="0.25">
      <c r="A79" s="4" t="s">
        <v>18</v>
      </c>
      <c r="B79" s="393" t="s">
        <v>190</v>
      </c>
      <c r="C79" s="4" t="s">
        <v>6</v>
      </c>
      <c r="D79" s="296">
        <v>0.44</v>
      </c>
      <c r="E79" s="296"/>
      <c r="F79" s="296"/>
      <c r="G79" s="296"/>
      <c r="H79" s="291"/>
      <c r="I79" s="296"/>
      <c r="J79" s="217"/>
      <c r="K79" s="217"/>
      <c r="L79" s="219"/>
      <c r="M79" s="219"/>
      <c r="N79" s="219"/>
      <c r="O79" s="126"/>
      <c r="P79" s="126"/>
      <c r="Q79" s="126"/>
    </row>
    <row r="80" spans="1:17" ht="31.15" customHeight="1" x14ac:dyDescent="0.25">
      <c r="A80" s="4" t="s">
        <v>18</v>
      </c>
      <c r="B80" s="394" t="s">
        <v>208</v>
      </c>
      <c r="C80" s="4" t="s">
        <v>6</v>
      </c>
      <c r="D80" s="296"/>
      <c r="E80" s="296"/>
      <c r="F80" s="296"/>
      <c r="G80" s="296"/>
      <c r="H80" s="291"/>
      <c r="I80" s="296"/>
      <c r="J80" s="217"/>
      <c r="K80" s="217"/>
      <c r="L80" s="219"/>
      <c r="M80" s="219"/>
      <c r="N80" s="219"/>
      <c r="O80" s="126"/>
      <c r="P80" s="126"/>
      <c r="Q80" s="126"/>
    </row>
    <row r="81" spans="1:19" s="152" customFormat="1" ht="31.15" customHeight="1" x14ac:dyDescent="0.3">
      <c r="A81" s="390" t="s">
        <v>22</v>
      </c>
      <c r="B81" s="381" t="s">
        <v>43</v>
      </c>
      <c r="C81" s="379" t="s">
        <v>6</v>
      </c>
      <c r="D81" s="304">
        <f>D82+D83</f>
        <v>3.3</v>
      </c>
      <c r="E81" s="304">
        <f>E82+E83</f>
        <v>0.63</v>
      </c>
      <c r="F81" s="304">
        <f t="shared" ref="F81:G81" si="35">F82+F83</f>
        <v>0.5</v>
      </c>
      <c r="G81" s="304">
        <f t="shared" si="35"/>
        <v>0.5</v>
      </c>
      <c r="H81" s="291">
        <f t="shared" si="33"/>
        <v>79.365079365079367</v>
      </c>
      <c r="I81" s="304"/>
      <c r="J81" s="144"/>
      <c r="K81" s="144"/>
      <c r="L81" s="151"/>
      <c r="M81" s="151"/>
      <c r="N81" s="151"/>
      <c r="O81" s="151"/>
      <c r="P81" s="151"/>
      <c r="Q81" s="151"/>
    </row>
    <row r="82" spans="1:19" s="149" customFormat="1" ht="31.15" customHeight="1" x14ac:dyDescent="0.25">
      <c r="A82" s="392" t="s">
        <v>18</v>
      </c>
      <c r="B82" s="393" t="s">
        <v>188</v>
      </c>
      <c r="C82" s="4" t="s">
        <v>6</v>
      </c>
      <c r="D82" s="299">
        <v>2.8</v>
      </c>
      <c r="E82" s="299">
        <v>0.5</v>
      </c>
      <c r="F82" s="299">
        <v>0.5</v>
      </c>
      <c r="G82" s="299">
        <v>0.5</v>
      </c>
      <c r="H82" s="299">
        <f t="shared" si="33"/>
        <v>100</v>
      </c>
      <c r="I82" s="299"/>
      <c r="J82" s="217"/>
      <c r="K82" s="238"/>
      <c r="L82" s="220"/>
      <c r="M82" s="219"/>
      <c r="N82" s="219"/>
      <c r="O82" s="148"/>
      <c r="P82" s="148"/>
      <c r="Q82" s="148"/>
    </row>
    <row r="83" spans="1:19" ht="31.15" customHeight="1" x14ac:dyDescent="0.25">
      <c r="A83" s="392" t="s">
        <v>15</v>
      </c>
      <c r="B83" s="389" t="s">
        <v>210</v>
      </c>
      <c r="C83" s="5" t="s">
        <v>6</v>
      </c>
      <c r="D83" s="306">
        <f t="shared" ref="D83" si="36">SUM(D84:D87)</f>
        <v>0.5</v>
      </c>
      <c r="E83" s="306">
        <f>SUM(E84:E87)</f>
        <v>0.13</v>
      </c>
      <c r="F83" s="306">
        <f t="shared" ref="F83:G83" si="37">SUM(F84:F87)</f>
        <v>0</v>
      </c>
      <c r="G83" s="306">
        <f t="shared" si="37"/>
        <v>0</v>
      </c>
      <c r="H83" s="291">
        <f t="shared" si="33"/>
        <v>0</v>
      </c>
      <c r="I83" s="306"/>
      <c r="J83" s="217"/>
      <c r="K83" s="217"/>
      <c r="L83" s="219"/>
      <c r="M83" s="219"/>
      <c r="N83" s="219"/>
      <c r="O83" s="126"/>
      <c r="P83" s="126"/>
      <c r="Q83" s="126"/>
    </row>
    <row r="84" spans="1:19" ht="31.15" customHeight="1" x14ac:dyDescent="0.25">
      <c r="A84" s="392" t="s">
        <v>18</v>
      </c>
      <c r="B84" s="389" t="s">
        <v>191</v>
      </c>
      <c r="C84" s="4" t="s">
        <v>6</v>
      </c>
      <c r="D84" s="296"/>
      <c r="E84" s="296"/>
      <c r="F84" s="296"/>
      <c r="G84" s="296"/>
      <c r="H84" s="296"/>
      <c r="I84" s="296"/>
      <c r="J84" s="219"/>
      <c r="K84" s="219"/>
      <c r="L84" s="219"/>
      <c r="M84" s="219"/>
      <c r="N84" s="219"/>
    </row>
    <row r="85" spans="1:19" ht="31.15" customHeight="1" x14ac:dyDescent="0.25">
      <c r="A85" s="392" t="s">
        <v>18</v>
      </c>
      <c r="B85" s="389" t="s">
        <v>192</v>
      </c>
      <c r="C85" s="4" t="s">
        <v>6</v>
      </c>
      <c r="D85" s="296"/>
      <c r="E85" s="296"/>
      <c r="F85" s="296"/>
      <c r="G85" s="296"/>
      <c r="H85" s="296"/>
      <c r="I85" s="296"/>
      <c r="J85" s="219"/>
      <c r="K85" s="219"/>
      <c r="L85" s="219"/>
      <c r="M85" s="219"/>
      <c r="N85" s="219"/>
    </row>
    <row r="86" spans="1:19" ht="31.15" customHeight="1" x14ac:dyDescent="0.25">
      <c r="A86" s="392" t="s">
        <v>18</v>
      </c>
      <c r="B86" s="389" t="s">
        <v>211</v>
      </c>
      <c r="C86" s="4"/>
      <c r="D86" s="296"/>
      <c r="E86" s="296"/>
      <c r="F86" s="296"/>
      <c r="G86" s="296"/>
      <c r="H86" s="296"/>
      <c r="I86" s="296"/>
      <c r="J86" s="219"/>
      <c r="K86" s="219"/>
      <c r="L86" s="219"/>
      <c r="M86" s="219"/>
      <c r="N86" s="126"/>
      <c r="O86" s="126"/>
      <c r="P86" s="126"/>
      <c r="Q86" s="126"/>
    </row>
    <row r="87" spans="1:19" ht="31.15" customHeight="1" x14ac:dyDescent="0.25">
      <c r="A87" s="392" t="s">
        <v>18</v>
      </c>
      <c r="B87" s="393" t="s">
        <v>193</v>
      </c>
      <c r="C87" s="4" t="s">
        <v>6</v>
      </c>
      <c r="D87" s="296">
        <v>0.5</v>
      </c>
      <c r="E87" s="296">
        <v>0.13</v>
      </c>
      <c r="F87" s="296">
        <v>0</v>
      </c>
      <c r="G87" s="296">
        <v>0</v>
      </c>
      <c r="H87" s="291">
        <f t="shared" si="33"/>
        <v>0</v>
      </c>
      <c r="I87" s="296"/>
      <c r="J87" s="219"/>
      <c r="K87" s="219"/>
      <c r="L87" s="219"/>
      <c r="M87" s="166"/>
      <c r="N87" s="166"/>
      <c r="O87" s="122"/>
      <c r="P87" s="122"/>
      <c r="Q87" s="122"/>
      <c r="R87" s="123"/>
      <c r="S87" s="123"/>
    </row>
    <row r="88" spans="1:19" ht="31.15" customHeight="1" x14ac:dyDescent="0.25">
      <c r="A88" s="3" t="s">
        <v>44</v>
      </c>
      <c r="B88" s="334" t="s">
        <v>45</v>
      </c>
      <c r="C88" s="3"/>
      <c r="D88" s="291">
        <f>SUM(D89:D93)</f>
        <v>344</v>
      </c>
      <c r="E88" s="291">
        <f t="shared" ref="E88:G88" si="38">SUM(E89:E93)</f>
        <v>328</v>
      </c>
      <c r="F88" s="291">
        <f t="shared" si="38"/>
        <v>275</v>
      </c>
      <c r="G88" s="291">
        <f t="shared" si="38"/>
        <v>275</v>
      </c>
      <c r="H88" s="291">
        <f t="shared" si="33"/>
        <v>83.841463414634148</v>
      </c>
      <c r="I88" s="291"/>
      <c r="J88" s="128"/>
      <c r="K88" s="128"/>
      <c r="L88" s="136"/>
      <c r="M88" s="136"/>
      <c r="N88" s="128"/>
    </row>
    <row r="89" spans="1:19" s="194" customFormat="1" ht="31.15" customHeight="1" x14ac:dyDescent="0.25">
      <c r="A89" s="5">
        <v>1</v>
      </c>
      <c r="B89" s="337" t="s">
        <v>46</v>
      </c>
      <c r="C89" s="5" t="s">
        <v>8</v>
      </c>
      <c r="D89" s="296">
        <f>29+5</f>
        <v>34</v>
      </c>
      <c r="E89" s="296">
        <f>30+16</f>
        <v>46</v>
      </c>
      <c r="F89" s="296">
        <v>44</v>
      </c>
      <c r="G89" s="296">
        <f>F89</f>
        <v>44</v>
      </c>
      <c r="H89" s="296">
        <f t="shared" si="33"/>
        <v>95.652173913043484</v>
      </c>
      <c r="I89" s="296"/>
      <c r="J89" s="222"/>
      <c r="K89" s="212"/>
      <c r="L89" s="318"/>
      <c r="M89" s="319"/>
      <c r="N89" s="222"/>
    </row>
    <row r="90" spans="1:19" s="194" customFormat="1" ht="31.15" customHeight="1" x14ac:dyDescent="0.25">
      <c r="A90" s="5">
        <v>2</v>
      </c>
      <c r="B90" s="337" t="s">
        <v>47</v>
      </c>
      <c r="C90" s="5" t="s">
        <v>8</v>
      </c>
      <c r="D90" s="296">
        <f>49+5</f>
        <v>54</v>
      </c>
      <c r="E90" s="296">
        <f>50+8</f>
        <v>58</v>
      </c>
      <c r="F90" s="296">
        <v>56</v>
      </c>
      <c r="G90" s="296">
        <f>F90</f>
        <v>56</v>
      </c>
      <c r="H90" s="296">
        <f t="shared" si="33"/>
        <v>96.551724137931032</v>
      </c>
      <c r="I90" s="296"/>
      <c r="J90" s="222"/>
      <c r="K90" s="212"/>
      <c r="L90" s="318"/>
      <c r="M90" s="319"/>
      <c r="N90" s="222"/>
    </row>
    <row r="91" spans="1:19" s="194" customFormat="1" ht="31.15" customHeight="1" x14ac:dyDescent="0.25">
      <c r="A91" s="5">
        <v>3</v>
      </c>
      <c r="B91" s="337" t="s">
        <v>48</v>
      </c>
      <c r="C91" s="5" t="s">
        <v>8</v>
      </c>
      <c r="D91" s="296">
        <f>33-5</f>
        <v>28</v>
      </c>
      <c r="E91" s="296">
        <f>29+9</f>
        <v>38</v>
      </c>
      <c r="F91" s="296">
        <v>32</v>
      </c>
      <c r="G91" s="296">
        <f>F91</f>
        <v>32</v>
      </c>
      <c r="H91" s="296">
        <f t="shared" si="33"/>
        <v>84.210526315789465</v>
      </c>
      <c r="I91" s="296"/>
      <c r="J91" s="222"/>
      <c r="K91" s="267"/>
      <c r="L91" s="318"/>
      <c r="M91" s="319"/>
      <c r="N91" s="222"/>
    </row>
    <row r="92" spans="1:19" ht="31.15" customHeight="1" x14ac:dyDescent="0.25">
      <c r="A92" s="5">
        <v>4</v>
      </c>
      <c r="B92" s="337" t="s">
        <v>49</v>
      </c>
      <c r="C92" s="5" t="s">
        <v>8</v>
      </c>
      <c r="D92" s="296"/>
      <c r="E92" s="296"/>
      <c r="F92" s="296"/>
      <c r="G92" s="296"/>
      <c r="H92" s="291"/>
      <c r="I92" s="296"/>
      <c r="J92" s="128"/>
      <c r="K92" s="128"/>
      <c r="L92" s="320"/>
      <c r="M92" s="319"/>
      <c r="N92" s="128"/>
    </row>
    <row r="93" spans="1:19" s="194" customFormat="1" ht="31.15" customHeight="1" x14ac:dyDescent="0.25">
      <c r="A93" s="5">
        <v>5</v>
      </c>
      <c r="B93" s="337" t="s">
        <v>50</v>
      </c>
      <c r="C93" s="5" t="s">
        <v>8</v>
      </c>
      <c r="D93" s="296">
        <f>213+15</f>
        <v>228</v>
      </c>
      <c r="E93" s="296">
        <f>206-20</f>
        <v>186</v>
      </c>
      <c r="F93" s="296">
        <v>143</v>
      </c>
      <c r="G93" s="296">
        <f>F93</f>
        <v>143</v>
      </c>
      <c r="H93" s="296">
        <f t="shared" si="33"/>
        <v>76.881720430107521</v>
      </c>
      <c r="I93" s="296"/>
      <c r="J93" s="267"/>
      <c r="K93" s="267"/>
      <c r="L93" s="320"/>
      <c r="M93" s="319"/>
      <c r="N93" s="222"/>
    </row>
    <row r="94" spans="1:19" s="131" customFormat="1" ht="31.15" customHeight="1" x14ac:dyDescent="0.25">
      <c r="A94" s="3" t="s">
        <v>51</v>
      </c>
      <c r="B94" s="335" t="s">
        <v>52</v>
      </c>
      <c r="C94" s="3" t="s">
        <v>6</v>
      </c>
      <c r="D94" s="291">
        <f>D95</f>
        <v>0</v>
      </c>
      <c r="E94" s="291">
        <f t="shared" ref="E94:G94" si="39">E95</f>
        <v>0</v>
      </c>
      <c r="F94" s="291">
        <f t="shared" si="39"/>
        <v>0</v>
      </c>
      <c r="G94" s="291">
        <f t="shared" si="39"/>
        <v>0</v>
      </c>
      <c r="H94" s="291"/>
      <c r="I94" s="291"/>
      <c r="J94" s="130"/>
      <c r="K94" s="321"/>
      <c r="L94" s="130"/>
      <c r="M94" s="130"/>
      <c r="N94" s="130"/>
    </row>
    <row r="95" spans="1:19" ht="31.15" customHeight="1" x14ac:dyDescent="0.25">
      <c r="A95" s="4" t="s">
        <v>18</v>
      </c>
      <c r="B95" s="389" t="s">
        <v>53</v>
      </c>
      <c r="C95" s="4" t="s">
        <v>6</v>
      </c>
      <c r="D95" s="296"/>
      <c r="E95" s="296"/>
      <c r="F95" s="296"/>
      <c r="G95" s="296"/>
      <c r="H95" s="291"/>
      <c r="I95" s="296"/>
      <c r="J95" s="128"/>
      <c r="K95" s="128"/>
      <c r="L95" s="128"/>
      <c r="M95" s="128"/>
      <c r="N95" s="128"/>
    </row>
    <row r="96" spans="1:19" ht="31.15" customHeight="1" x14ac:dyDescent="0.25">
      <c r="A96" s="3" t="s">
        <v>54</v>
      </c>
      <c r="B96" s="335" t="s">
        <v>55</v>
      </c>
      <c r="C96" s="3" t="s">
        <v>6</v>
      </c>
      <c r="D96" s="291">
        <f>D97+D98</f>
        <v>2.8</v>
      </c>
      <c r="E96" s="291">
        <f t="shared" ref="E96:G96" si="40">E97+E98</f>
        <v>2.75</v>
      </c>
      <c r="F96" s="291">
        <f t="shared" si="40"/>
        <v>0</v>
      </c>
      <c r="G96" s="291">
        <f t="shared" si="40"/>
        <v>0</v>
      </c>
      <c r="H96" s="291">
        <f t="shared" si="33"/>
        <v>0</v>
      </c>
      <c r="I96" s="291"/>
      <c r="J96" s="128"/>
      <c r="K96" s="128"/>
      <c r="L96" s="128"/>
      <c r="M96" s="128"/>
      <c r="N96" s="128"/>
    </row>
    <row r="97" spans="1:14" ht="31.15" customHeight="1" x14ac:dyDescent="0.25">
      <c r="A97" s="5" t="s">
        <v>18</v>
      </c>
      <c r="B97" s="391" t="s">
        <v>213</v>
      </c>
      <c r="C97" s="4" t="s">
        <v>6</v>
      </c>
      <c r="D97" s="296"/>
      <c r="E97" s="296">
        <v>2.1</v>
      </c>
      <c r="F97" s="296"/>
      <c r="G97" s="296"/>
      <c r="H97" s="291">
        <f t="shared" si="33"/>
        <v>0</v>
      </c>
      <c r="I97" s="296"/>
      <c r="J97" s="128"/>
      <c r="K97" s="226"/>
      <c r="L97" s="214"/>
      <c r="M97" s="128"/>
      <c r="N97" s="128"/>
    </row>
    <row r="98" spans="1:14" ht="31.15" customHeight="1" x14ac:dyDescent="0.25">
      <c r="A98" s="395" t="s">
        <v>18</v>
      </c>
      <c r="B98" s="391" t="s">
        <v>56</v>
      </c>
      <c r="C98" s="4" t="s">
        <v>6</v>
      </c>
      <c r="D98" s="296">
        <v>2.8</v>
      </c>
      <c r="E98" s="296">
        <f>1.9-1.25</f>
        <v>0.64999999999999991</v>
      </c>
      <c r="F98" s="296"/>
      <c r="G98" s="296"/>
      <c r="H98" s="291">
        <f t="shared" si="33"/>
        <v>0</v>
      </c>
      <c r="I98" s="296"/>
      <c r="J98" s="128"/>
      <c r="K98" s="128"/>
      <c r="L98" s="128"/>
      <c r="M98" s="128"/>
      <c r="N98" s="128"/>
    </row>
    <row r="99" spans="1:14" ht="16.5" x14ac:dyDescent="0.25">
      <c r="A99" s="372"/>
      <c r="B99" s="372"/>
      <c r="C99" s="372"/>
      <c r="D99" s="373"/>
      <c r="E99" s="373"/>
      <c r="F99" s="373"/>
      <c r="G99" s="373"/>
      <c r="H99" s="373"/>
      <c r="I99" s="373"/>
      <c r="J99" s="127"/>
      <c r="K99" s="127"/>
      <c r="L99" s="127"/>
      <c r="M99" s="127"/>
      <c r="N99" s="127"/>
    </row>
    <row r="100" spans="1:14" ht="16.5" x14ac:dyDescent="0.25">
      <c r="A100" s="372"/>
      <c r="B100" s="372"/>
      <c r="C100" s="372"/>
      <c r="D100" s="373"/>
      <c r="E100" s="373"/>
      <c r="F100" s="373"/>
      <c r="G100" s="373"/>
      <c r="H100" s="373"/>
      <c r="I100" s="373"/>
      <c r="J100" s="127"/>
      <c r="K100" s="127"/>
      <c r="L100" s="127"/>
      <c r="M100" s="127"/>
      <c r="N100" s="127"/>
    </row>
    <row r="101" spans="1:14" ht="16.5" x14ac:dyDescent="0.25">
      <c r="A101" s="372"/>
      <c r="B101" s="372"/>
      <c r="C101" s="372"/>
      <c r="D101" s="373"/>
      <c r="E101" s="373"/>
      <c r="F101" s="373"/>
      <c r="G101" s="373"/>
      <c r="H101" s="373"/>
      <c r="I101" s="373"/>
      <c r="J101" s="127"/>
      <c r="K101" s="127"/>
      <c r="L101" s="127"/>
      <c r="M101" s="127"/>
      <c r="N101" s="127"/>
    </row>
    <row r="102" spans="1:14" ht="16.5" x14ac:dyDescent="0.25">
      <c r="A102" s="372"/>
      <c r="B102" s="372"/>
      <c r="C102" s="372"/>
      <c r="D102" s="396"/>
      <c r="E102" s="396"/>
      <c r="F102" s="396"/>
      <c r="G102" s="396"/>
      <c r="H102" s="396"/>
      <c r="I102" s="396"/>
      <c r="J102" s="127"/>
      <c r="K102" s="127"/>
      <c r="L102" s="127"/>
      <c r="M102" s="127"/>
      <c r="N102" s="127"/>
    </row>
    <row r="103" spans="1:14" ht="16.5" x14ac:dyDescent="0.25">
      <c r="A103" s="372"/>
      <c r="B103" s="372"/>
      <c r="C103" s="372"/>
      <c r="D103" s="373"/>
      <c r="E103" s="373"/>
      <c r="F103" s="373"/>
      <c r="G103" s="373"/>
      <c r="H103" s="373"/>
      <c r="I103" s="373"/>
      <c r="J103" s="127"/>
      <c r="K103" s="127"/>
      <c r="L103" s="127"/>
      <c r="M103" s="127"/>
      <c r="N103" s="127"/>
    </row>
    <row r="104" spans="1:14" ht="16.5" x14ac:dyDescent="0.25">
      <c r="A104" s="372"/>
      <c r="B104" s="372"/>
      <c r="C104" s="372"/>
      <c r="D104" s="373"/>
      <c r="E104" s="373"/>
      <c r="F104" s="373"/>
      <c r="G104" s="373"/>
      <c r="H104" s="373"/>
      <c r="I104" s="373"/>
      <c r="J104" s="127"/>
      <c r="K104" s="127"/>
      <c r="L104" s="127"/>
      <c r="M104" s="127"/>
      <c r="N104" s="127"/>
    </row>
    <row r="105" spans="1:14" ht="16.5" x14ac:dyDescent="0.25">
      <c r="A105" s="372"/>
      <c r="B105" s="397"/>
      <c r="C105" s="372"/>
      <c r="D105" s="373"/>
      <c r="E105" s="373"/>
      <c r="F105" s="373"/>
      <c r="G105" s="373"/>
      <c r="H105" s="373"/>
      <c r="I105" s="373"/>
      <c r="J105" s="127"/>
      <c r="K105" s="127"/>
      <c r="L105" s="127"/>
      <c r="M105" s="127"/>
      <c r="N105" s="127"/>
    </row>
    <row r="106" spans="1:14" ht="16.5" x14ac:dyDescent="0.25">
      <c r="A106" s="372"/>
      <c r="B106" s="372"/>
      <c r="C106" s="372"/>
      <c r="D106" s="373"/>
      <c r="E106" s="373"/>
      <c r="F106" s="373"/>
      <c r="G106" s="373"/>
      <c r="H106" s="373"/>
      <c r="I106" s="373"/>
      <c r="J106" s="127"/>
      <c r="K106" s="127"/>
      <c r="L106" s="127"/>
      <c r="M106" s="127"/>
      <c r="N106" s="127"/>
    </row>
    <row r="107" spans="1:14" ht="16.5" x14ac:dyDescent="0.25">
      <c r="A107" s="372"/>
      <c r="B107" s="372"/>
      <c r="C107" s="372"/>
      <c r="D107" s="373"/>
      <c r="E107" s="373"/>
      <c r="F107" s="373"/>
      <c r="G107" s="373"/>
      <c r="H107" s="373"/>
      <c r="I107" s="373"/>
      <c r="J107" s="127"/>
      <c r="K107" s="127"/>
      <c r="L107" s="127"/>
      <c r="M107" s="127"/>
      <c r="N107" s="127"/>
    </row>
    <row r="108" spans="1:14" ht="16.5" x14ac:dyDescent="0.25">
      <c r="A108" s="372"/>
      <c r="B108" s="372"/>
      <c r="C108" s="372"/>
      <c r="D108" s="373"/>
      <c r="E108" s="373"/>
      <c r="F108" s="373"/>
      <c r="G108" s="373"/>
      <c r="H108" s="373"/>
      <c r="I108" s="373"/>
      <c r="J108" s="127"/>
      <c r="K108" s="127"/>
      <c r="L108" s="127"/>
      <c r="M108" s="127"/>
      <c r="N108" s="127"/>
    </row>
    <row r="109" spans="1:14" ht="16.5" x14ac:dyDescent="0.25">
      <c r="A109" s="372"/>
      <c r="B109" s="372"/>
      <c r="C109" s="372"/>
      <c r="D109" s="373"/>
      <c r="E109" s="373"/>
      <c r="F109" s="373"/>
      <c r="G109" s="373"/>
      <c r="H109" s="373"/>
      <c r="I109" s="373"/>
      <c r="J109" s="127"/>
      <c r="K109" s="127"/>
      <c r="L109" s="127"/>
      <c r="M109" s="127"/>
      <c r="N109" s="127"/>
    </row>
    <row r="110" spans="1:14" ht="16.5" x14ac:dyDescent="0.25">
      <c r="A110" s="372"/>
      <c r="B110" s="372"/>
      <c r="C110" s="372"/>
      <c r="D110" s="373"/>
      <c r="E110" s="373"/>
      <c r="F110" s="373"/>
      <c r="G110" s="373"/>
      <c r="H110" s="373"/>
      <c r="I110" s="373"/>
      <c r="J110" s="127"/>
      <c r="K110" s="127"/>
      <c r="L110" s="127"/>
      <c r="M110" s="127"/>
      <c r="N110" s="127"/>
    </row>
    <row r="111" spans="1:14" ht="16.5" x14ac:dyDescent="0.25">
      <c r="A111" s="372"/>
      <c r="B111" s="372"/>
      <c r="C111" s="372"/>
      <c r="D111" s="373"/>
      <c r="E111" s="373"/>
      <c r="F111" s="373"/>
      <c r="G111" s="373"/>
      <c r="H111" s="373"/>
      <c r="I111" s="373"/>
      <c r="J111" s="127"/>
      <c r="K111" s="127"/>
      <c r="L111" s="127"/>
      <c r="M111" s="127"/>
      <c r="N111" s="127"/>
    </row>
    <row r="112" spans="1:14" ht="16.5" x14ac:dyDescent="0.25">
      <c r="A112" s="372"/>
      <c r="B112" s="372"/>
      <c r="C112" s="372"/>
      <c r="D112" s="373"/>
      <c r="E112" s="373"/>
      <c r="F112" s="373"/>
      <c r="G112" s="373"/>
      <c r="H112" s="373"/>
      <c r="I112" s="373"/>
      <c r="J112" s="127"/>
      <c r="K112" s="127"/>
      <c r="L112" s="127"/>
      <c r="M112" s="127"/>
      <c r="N112" s="127"/>
    </row>
    <row r="113" spans="1:14" ht="16.5" x14ac:dyDescent="0.25">
      <c r="A113" s="372"/>
      <c r="B113" s="372"/>
      <c r="C113" s="372"/>
      <c r="D113" s="373"/>
      <c r="E113" s="373"/>
      <c r="F113" s="373"/>
      <c r="G113" s="373"/>
      <c r="H113" s="373"/>
      <c r="I113" s="373"/>
      <c r="J113" s="127"/>
      <c r="K113" s="127"/>
      <c r="L113" s="127"/>
      <c r="M113" s="127"/>
      <c r="N113" s="127"/>
    </row>
    <row r="114" spans="1:14" ht="16.5" x14ac:dyDescent="0.25">
      <c r="A114" s="372"/>
      <c r="B114" s="372"/>
      <c r="C114" s="372"/>
      <c r="D114" s="373"/>
      <c r="E114" s="373"/>
      <c r="F114" s="373"/>
      <c r="G114" s="373"/>
      <c r="H114" s="373"/>
      <c r="I114" s="373"/>
      <c r="J114" s="127"/>
      <c r="K114" s="127"/>
      <c r="L114" s="127"/>
      <c r="M114" s="127"/>
      <c r="N114" s="127"/>
    </row>
    <row r="115" spans="1:14" ht="16.5" x14ac:dyDescent="0.25">
      <c r="A115" s="372"/>
      <c r="B115" s="372"/>
      <c r="C115" s="372"/>
      <c r="D115" s="373"/>
      <c r="E115" s="373"/>
      <c r="F115" s="373"/>
      <c r="G115" s="373"/>
      <c r="H115" s="373"/>
      <c r="I115" s="373"/>
      <c r="J115" s="127"/>
      <c r="K115" s="127"/>
      <c r="L115" s="127"/>
      <c r="M115" s="127"/>
      <c r="N115" s="127"/>
    </row>
    <row r="116" spans="1:14" ht="16.5" x14ac:dyDescent="0.25">
      <c r="A116" s="372"/>
      <c r="B116" s="372"/>
      <c r="C116" s="372"/>
      <c r="D116" s="373"/>
      <c r="E116" s="373"/>
      <c r="F116" s="373"/>
      <c r="G116" s="373"/>
      <c r="H116" s="373"/>
      <c r="I116" s="373"/>
      <c r="J116" s="127"/>
      <c r="K116" s="127"/>
      <c r="L116" s="127"/>
      <c r="M116" s="127"/>
      <c r="N116" s="127"/>
    </row>
    <row r="117" spans="1:14" ht="16.5" x14ac:dyDescent="0.25">
      <c r="A117" s="372"/>
      <c r="B117" s="372"/>
      <c r="C117" s="372"/>
      <c r="D117" s="373"/>
      <c r="E117" s="373"/>
      <c r="F117" s="373"/>
      <c r="G117" s="373"/>
      <c r="H117" s="373"/>
      <c r="I117" s="373"/>
      <c r="J117" s="127"/>
      <c r="K117" s="127"/>
      <c r="L117" s="127"/>
      <c r="M117" s="127"/>
      <c r="N117" s="127"/>
    </row>
    <row r="118" spans="1:14" ht="16.5" x14ac:dyDescent="0.25">
      <c r="A118" s="372"/>
      <c r="B118" s="372"/>
      <c r="C118" s="372"/>
      <c r="D118" s="373"/>
      <c r="E118" s="373"/>
      <c r="F118" s="373"/>
      <c r="G118" s="373"/>
      <c r="H118" s="373"/>
      <c r="I118" s="373"/>
      <c r="J118" s="127"/>
      <c r="K118" s="127"/>
      <c r="L118" s="127"/>
      <c r="M118" s="127"/>
      <c r="N118" s="127"/>
    </row>
    <row r="119" spans="1:14" ht="16.5" x14ac:dyDescent="0.25">
      <c r="A119" s="372"/>
      <c r="B119" s="372"/>
      <c r="C119" s="372"/>
      <c r="D119" s="373"/>
      <c r="E119" s="373"/>
      <c r="F119" s="373"/>
      <c r="G119" s="373"/>
      <c r="H119" s="373"/>
      <c r="I119" s="373"/>
      <c r="J119" s="127"/>
      <c r="K119" s="127"/>
      <c r="L119" s="127"/>
      <c r="M119" s="127"/>
      <c r="N119" s="127"/>
    </row>
    <row r="120" spans="1:14" ht="16.5" x14ac:dyDescent="0.25">
      <c r="A120" s="372"/>
      <c r="B120" s="372"/>
      <c r="C120" s="372"/>
      <c r="D120" s="373"/>
      <c r="E120" s="373"/>
      <c r="F120" s="373"/>
      <c r="G120" s="373"/>
      <c r="H120" s="373"/>
      <c r="I120" s="373"/>
      <c r="J120" s="127"/>
      <c r="K120" s="127"/>
      <c r="L120" s="127"/>
      <c r="M120" s="127"/>
      <c r="N120" s="127"/>
    </row>
    <row r="121" spans="1:14" ht="16.5" x14ac:dyDescent="0.25">
      <c r="A121" s="372"/>
      <c r="B121" s="372"/>
      <c r="C121" s="372"/>
      <c r="D121" s="373"/>
      <c r="E121" s="373"/>
      <c r="F121" s="373"/>
      <c r="G121" s="373"/>
      <c r="H121" s="373"/>
      <c r="I121" s="373"/>
      <c r="J121" s="127"/>
      <c r="K121" s="127"/>
      <c r="L121" s="127"/>
      <c r="M121" s="127"/>
      <c r="N121" s="127"/>
    </row>
    <row r="122" spans="1:14" ht="16.5" x14ac:dyDescent="0.25">
      <c r="A122" s="372"/>
      <c r="B122" s="372"/>
      <c r="C122" s="372"/>
      <c r="D122" s="373"/>
      <c r="E122" s="373"/>
      <c r="F122" s="373"/>
      <c r="G122" s="373"/>
      <c r="H122" s="373"/>
      <c r="I122" s="373"/>
      <c r="J122" s="127"/>
      <c r="K122" s="127"/>
      <c r="L122" s="127"/>
      <c r="M122" s="127"/>
      <c r="N122" s="127"/>
    </row>
    <row r="123" spans="1:14" ht="16.5" x14ac:dyDescent="0.25">
      <c r="A123" s="372"/>
      <c r="B123" s="372"/>
      <c r="C123" s="372"/>
      <c r="D123" s="373"/>
      <c r="E123" s="373"/>
      <c r="F123" s="373"/>
      <c r="G123" s="373"/>
      <c r="H123" s="373"/>
      <c r="I123" s="373"/>
      <c r="J123" s="127"/>
      <c r="K123" s="127"/>
      <c r="L123" s="127"/>
      <c r="M123" s="127"/>
      <c r="N123" s="127"/>
    </row>
    <row r="124" spans="1:14" ht="16.5" x14ac:dyDescent="0.25">
      <c r="A124" s="372"/>
      <c r="B124" s="372"/>
      <c r="C124" s="372"/>
      <c r="D124" s="373"/>
      <c r="E124" s="373"/>
      <c r="F124" s="373"/>
      <c r="G124" s="373"/>
      <c r="H124" s="373"/>
      <c r="I124" s="373"/>
      <c r="J124" s="127"/>
      <c r="K124" s="127"/>
      <c r="L124" s="127"/>
      <c r="M124" s="127"/>
      <c r="N124" s="127"/>
    </row>
    <row r="125" spans="1:14" ht="16.5" x14ac:dyDescent="0.25">
      <c r="A125" s="372"/>
      <c r="B125" s="372"/>
      <c r="C125" s="372"/>
      <c r="D125" s="373"/>
      <c r="E125" s="373"/>
      <c r="F125" s="373"/>
      <c r="G125" s="373"/>
      <c r="H125" s="373"/>
      <c r="I125" s="373"/>
      <c r="J125" s="127"/>
      <c r="K125" s="127"/>
      <c r="L125" s="127"/>
      <c r="M125" s="127"/>
      <c r="N125" s="127"/>
    </row>
    <row r="126" spans="1:14" ht="16.5" x14ac:dyDescent="0.25">
      <c r="A126" s="372"/>
      <c r="B126" s="372"/>
      <c r="C126" s="372"/>
      <c r="D126" s="373"/>
      <c r="E126" s="373"/>
      <c r="F126" s="373"/>
      <c r="G126" s="373"/>
      <c r="H126" s="373"/>
      <c r="I126" s="373"/>
      <c r="J126" s="127"/>
      <c r="K126" s="127"/>
      <c r="L126" s="127"/>
      <c r="M126" s="127"/>
      <c r="N126" s="127"/>
    </row>
    <row r="127" spans="1:14" ht="16.5" x14ac:dyDescent="0.25">
      <c r="A127" s="372"/>
      <c r="B127" s="372"/>
      <c r="C127" s="372"/>
      <c r="D127" s="373"/>
      <c r="E127" s="373"/>
      <c r="F127" s="373"/>
      <c r="G127" s="373"/>
      <c r="H127" s="373"/>
      <c r="I127" s="373"/>
      <c r="J127" s="127"/>
      <c r="K127" s="127"/>
      <c r="L127" s="127"/>
      <c r="M127" s="127"/>
      <c r="N127" s="127"/>
    </row>
    <row r="128" spans="1:14" ht="16.5" x14ac:dyDescent="0.25">
      <c r="A128" s="372"/>
      <c r="B128" s="372"/>
      <c r="C128" s="372"/>
      <c r="D128" s="373"/>
      <c r="E128" s="373"/>
      <c r="F128" s="373"/>
      <c r="G128" s="373"/>
      <c r="H128" s="373"/>
      <c r="I128" s="373"/>
      <c r="J128" s="127"/>
      <c r="K128" s="127"/>
      <c r="L128" s="127"/>
      <c r="M128" s="127"/>
      <c r="N128" s="127"/>
    </row>
    <row r="129" spans="1:14" ht="16.5" x14ac:dyDescent="0.25">
      <c r="A129" s="372"/>
      <c r="B129" s="372"/>
      <c r="C129" s="372"/>
      <c r="D129" s="373"/>
      <c r="E129" s="373"/>
      <c r="F129" s="373"/>
      <c r="G129" s="373"/>
      <c r="H129" s="373"/>
      <c r="I129" s="373"/>
      <c r="J129" s="127"/>
      <c r="K129" s="127"/>
      <c r="L129" s="127"/>
      <c r="M129" s="127"/>
      <c r="N129" s="127"/>
    </row>
    <row r="130" spans="1:14" ht="16.5" x14ac:dyDescent="0.25">
      <c r="A130" s="372"/>
      <c r="B130" s="372"/>
      <c r="C130" s="372"/>
      <c r="D130" s="373"/>
      <c r="E130" s="373"/>
      <c r="F130" s="373"/>
      <c r="G130" s="373"/>
      <c r="H130" s="373"/>
      <c r="I130" s="373"/>
      <c r="J130" s="127"/>
      <c r="K130" s="127"/>
      <c r="L130" s="127"/>
      <c r="M130" s="127"/>
      <c r="N130" s="127"/>
    </row>
    <row r="131" spans="1:14" ht="16.5" x14ac:dyDescent="0.25">
      <c r="A131" s="372"/>
      <c r="B131" s="372"/>
      <c r="C131" s="372"/>
      <c r="D131" s="373"/>
      <c r="E131" s="373"/>
      <c r="F131" s="373"/>
      <c r="G131" s="373"/>
      <c r="H131" s="373"/>
      <c r="I131" s="373"/>
      <c r="J131" s="127"/>
      <c r="K131" s="127"/>
      <c r="L131" s="127"/>
      <c r="M131" s="127"/>
      <c r="N131" s="127"/>
    </row>
    <row r="132" spans="1:14" ht="16.5" x14ac:dyDescent="0.25">
      <c r="A132" s="372"/>
      <c r="B132" s="372"/>
      <c r="C132" s="372"/>
      <c r="D132" s="373"/>
      <c r="E132" s="373"/>
      <c r="F132" s="373"/>
      <c r="G132" s="373"/>
      <c r="H132" s="373"/>
      <c r="I132" s="373"/>
      <c r="J132" s="127"/>
      <c r="K132" s="127"/>
      <c r="L132" s="127"/>
      <c r="M132" s="127"/>
      <c r="N132" s="127"/>
    </row>
    <row r="133" spans="1:14" ht="16.5" x14ac:dyDescent="0.25">
      <c r="A133" s="372"/>
      <c r="B133" s="372"/>
      <c r="C133" s="372"/>
      <c r="D133" s="373"/>
      <c r="E133" s="373"/>
      <c r="F133" s="373"/>
      <c r="G133" s="373"/>
      <c r="H133" s="373"/>
      <c r="I133" s="373"/>
      <c r="J133" s="127"/>
      <c r="K133" s="127"/>
      <c r="L133" s="127"/>
      <c r="M133" s="127"/>
      <c r="N133" s="127"/>
    </row>
    <row r="134" spans="1:14" ht="16.5" x14ac:dyDescent="0.25">
      <c r="A134" s="372"/>
      <c r="B134" s="372"/>
      <c r="C134" s="372"/>
      <c r="D134" s="373"/>
      <c r="E134" s="373"/>
      <c r="F134" s="373"/>
      <c r="G134" s="373"/>
      <c r="H134" s="373"/>
      <c r="I134" s="373"/>
      <c r="J134" s="127"/>
      <c r="K134" s="127"/>
      <c r="L134" s="127"/>
      <c r="M134" s="127"/>
      <c r="N134" s="127"/>
    </row>
    <row r="135" spans="1:14" ht="16.5" x14ac:dyDescent="0.25">
      <c r="A135" s="372"/>
      <c r="B135" s="372"/>
      <c r="C135" s="372"/>
      <c r="D135" s="373"/>
      <c r="E135" s="373"/>
      <c r="F135" s="373"/>
      <c r="G135" s="373"/>
      <c r="H135" s="373"/>
      <c r="I135" s="373"/>
      <c r="J135" s="127"/>
      <c r="K135" s="127"/>
      <c r="L135" s="127"/>
      <c r="M135" s="127"/>
      <c r="N135" s="127"/>
    </row>
    <row r="136" spans="1:14" ht="16.5" x14ac:dyDescent="0.25">
      <c r="A136" s="372"/>
      <c r="B136" s="372"/>
      <c r="C136" s="372"/>
      <c r="D136" s="373"/>
      <c r="E136" s="373"/>
      <c r="F136" s="373"/>
      <c r="G136" s="373"/>
      <c r="H136" s="373"/>
      <c r="I136" s="373"/>
      <c r="J136" s="127"/>
      <c r="K136" s="127"/>
      <c r="L136" s="127"/>
      <c r="M136" s="127"/>
      <c r="N136" s="127"/>
    </row>
    <row r="137" spans="1:14" ht="16.5" x14ac:dyDescent="0.25">
      <c r="A137" s="372"/>
      <c r="B137" s="372"/>
      <c r="C137" s="372"/>
      <c r="D137" s="373"/>
      <c r="E137" s="373"/>
      <c r="F137" s="373"/>
      <c r="G137" s="373"/>
      <c r="H137" s="373"/>
      <c r="I137" s="373"/>
      <c r="J137" s="127"/>
      <c r="K137" s="127"/>
      <c r="L137" s="127"/>
      <c r="M137" s="127"/>
      <c r="N137" s="127"/>
    </row>
    <row r="138" spans="1:14" ht="16.5" x14ac:dyDescent="0.25">
      <c r="A138" s="372"/>
      <c r="B138" s="372"/>
      <c r="C138" s="372"/>
      <c r="D138" s="373"/>
      <c r="E138" s="373"/>
      <c r="F138" s="373"/>
      <c r="G138" s="373"/>
      <c r="H138" s="373"/>
      <c r="I138" s="373"/>
      <c r="J138" s="127"/>
      <c r="K138" s="127"/>
      <c r="L138" s="127"/>
      <c r="M138" s="127"/>
      <c r="N138" s="127"/>
    </row>
    <row r="139" spans="1:14" ht="16.5" x14ac:dyDescent="0.25">
      <c r="A139" s="372"/>
      <c r="B139" s="372"/>
      <c r="C139" s="372"/>
      <c r="D139" s="373"/>
      <c r="E139" s="373"/>
      <c r="F139" s="373"/>
      <c r="G139" s="373"/>
      <c r="H139" s="373"/>
      <c r="I139" s="373"/>
      <c r="J139" s="127"/>
      <c r="K139" s="127"/>
      <c r="L139" s="127"/>
      <c r="M139" s="127"/>
      <c r="N139" s="127"/>
    </row>
    <row r="140" spans="1:14" ht="16.5" x14ac:dyDescent="0.25">
      <c r="A140" s="372"/>
      <c r="B140" s="372"/>
      <c r="C140" s="372"/>
      <c r="D140" s="373"/>
      <c r="E140" s="373"/>
      <c r="F140" s="373"/>
      <c r="G140" s="373"/>
      <c r="H140" s="373"/>
      <c r="I140" s="373"/>
      <c r="J140" s="127"/>
      <c r="K140" s="127"/>
      <c r="L140" s="127"/>
      <c r="M140" s="127"/>
      <c r="N140" s="127"/>
    </row>
    <row r="141" spans="1:14" ht="16.5" x14ac:dyDescent="0.25">
      <c r="A141" s="372"/>
      <c r="B141" s="372"/>
      <c r="C141" s="372"/>
      <c r="D141" s="373"/>
      <c r="E141" s="373"/>
      <c r="F141" s="373"/>
      <c r="G141" s="373"/>
      <c r="H141" s="373"/>
      <c r="I141" s="373"/>
      <c r="J141" s="127"/>
      <c r="K141" s="127"/>
      <c r="L141" s="127"/>
      <c r="M141" s="127"/>
      <c r="N141" s="127"/>
    </row>
    <row r="142" spans="1:14" ht="16.5" x14ac:dyDescent="0.25">
      <c r="A142" s="372"/>
      <c r="B142" s="372"/>
      <c r="C142" s="372"/>
      <c r="D142" s="373"/>
      <c r="E142" s="373"/>
      <c r="F142" s="373"/>
      <c r="G142" s="373"/>
      <c r="H142" s="373"/>
      <c r="I142" s="373"/>
      <c r="J142" s="127"/>
      <c r="K142" s="127"/>
      <c r="L142" s="127"/>
      <c r="M142" s="127"/>
      <c r="N142" s="127"/>
    </row>
    <row r="143" spans="1:14" ht="16.5" x14ac:dyDescent="0.25">
      <c r="A143" s="372"/>
      <c r="B143" s="372"/>
      <c r="C143" s="372"/>
      <c r="D143" s="373"/>
      <c r="E143" s="373"/>
      <c r="F143" s="373"/>
      <c r="G143" s="373"/>
      <c r="H143" s="373"/>
      <c r="I143" s="373"/>
      <c r="J143" s="127"/>
      <c r="K143" s="127"/>
      <c r="L143" s="127"/>
      <c r="M143" s="127"/>
      <c r="N143" s="127"/>
    </row>
    <row r="144" spans="1:14" ht="16.5" x14ac:dyDescent="0.25">
      <c r="A144" s="372"/>
      <c r="B144" s="372"/>
      <c r="C144" s="372"/>
      <c r="D144" s="373"/>
      <c r="E144" s="373"/>
      <c r="F144" s="373"/>
      <c r="G144" s="373"/>
      <c r="H144" s="373"/>
      <c r="I144" s="373"/>
      <c r="J144" s="127"/>
      <c r="K144" s="127"/>
      <c r="L144" s="127"/>
      <c r="M144" s="127"/>
      <c r="N144" s="127"/>
    </row>
    <row r="145" spans="1:14" ht="16.5" x14ac:dyDescent="0.25">
      <c r="A145" s="372"/>
      <c r="B145" s="372"/>
      <c r="C145" s="372"/>
      <c r="D145" s="373"/>
      <c r="E145" s="373"/>
      <c r="F145" s="373"/>
      <c r="G145" s="373"/>
      <c r="H145" s="373"/>
      <c r="I145" s="373"/>
      <c r="J145" s="127"/>
      <c r="K145" s="127"/>
      <c r="L145" s="127"/>
      <c r="M145" s="127"/>
      <c r="N145" s="127"/>
    </row>
    <row r="146" spans="1:14" ht="16.5" x14ac:dyDescent="0.25">
      <c r="A146" s="372"/>
      <c r="B146" s="372"/>
      <c r="C146" s="372"/>
      <c r="D146" s="373"/>
      <c r="E146" s="373"/>
      <c r="F146" s="373"/>
      <c r="G146" s="373"/>
      <c r="H146" s="373"/>
      <c r="I146" s="373"/>
      <c r="J146" s="127"/>
      <c r="K146" s="127"/>
      <c r="L146" s="127"/>
      <c r="M146" s="127"/>
      <c r="N146" s="127"/>
    </row>
    <row r="147" spans="1:14" ht="16.5" x14ac:dyDescent="0.25">
      <c r="A147" s="372"/>
      <c r="B147" s="372"/>
      <c r="C147" s="372"/>
      <c r="D147" s="373"/>
      <c r="E147" s="373"/>
      <c r="F147" s="373"/>
      <c r="G147" s="373"/>
      <c r="H147" s="373"/>
      <c r="I147" s="373"/>
      <c r="J147" s="127"/>
      <c r="K147" s="127"/>
      <c r="L147" s="127"/>
      <c r="M147" s="127"/>
      <c r="N147" s="127"/>
    </row>
    <row r="148" spans="1:14" ht="16.5" x14ac:dyDescent="0.25">
      <c r="A148" s="372"/>
      <c r="B148" s="372"/>
      <c r="C148" s="372"/>
      <c r="D148" s="373"/>
      <c r="E148" s="373"/>
      <c r="F148" s="373"/>
      <c r="G148" s="373"/>
      <c r="H148" s="373"/>
      <c r="I148" s="373"/>
      <c r="J148" s="127"/>
      <c r="K148" s="127"/>
      <c r="L148" s="127"/>
      <c r="M148" s="127"/>
      <c r="N148" s="127"/>
    </row>
    <row r="149" spans="1:14" ht="16.5" x14ac:dyDescent="0.25">
      <c r="A149" s="372"/>
      <c r="B149" s="372"/>
      <c r="C149" s="372"/>
      <c r="D149" s="373"/>
      <c r="E149" s="373"/>
      <c r="F149" s="373"/>
      <c r="G149" s="373"/>
      <c r="H149" s="373"/>
      <c r="I149" s="373"/>
      <c r="J149" s="127"/>
      <c r="K149" s="127"/>
      <c r="L149" s="127"/>
      <c r="M149" s="127"/>
      <c r="N149" s="127"/>
    </row>
    <row r="150" spans="1:14" ht="16.5" x14ac:dyDescent="0.25">
      <c r="A150" s="372"/>
      <c r="B150" s="372"/>
      <c r="C150" s="372"/>
      <c r="D150" s="373"/>
      <c r="E150" s="373"/>
      <c r="F150" s="373"/>
      <c r="G150" s="373"/>
      <c r="H150" s="373"/>
      <c r="I150" s="373"/>
      <c r="J150" s="127"/>
      <c r="K150" s="127"/>
      <c r="L150" s="127"/>
      <c r="M150" s="127"/>
      <c r="N150" s="127"/>
    </row>
    <row r="151" spans="1:14" ht="16.5" x14ac:dyDescent="0.25">
      <c r="A151" s="372"/>
      <c r="B151" s="372"/>
      <c r="C151" s="372"/>
      <c r="D151" s="373"/>
      <c r="E151" s="373"/>
      <c r="F151" s="373"/>
      <c r="G151" s="373"/>
      <c r="H151" s="373"/>
      <c r="I151" s="373"/>
      <c r="J151" s="127"/>
      <c r="K151" s="127"/>
      <c r="L151" s="127"/>
      <c r="M151" s="127"/>
      <c r="N151" s="127"/>
    </row>
    <row r="152" spans="1:14" ht="16.5" x14ac:dyDescent="0.25">
      <c r="A152" s="372"/>
      <c r="B152" s="372"/>
      <c r="C152" s="372"/>
      <c r="D152" s="373"/>
      <c r="E152" s="373"/>
      <c r="F152" s="373"/>
      <c r="G152" s="373"/>
      <c r="H152" s="373"/>
      <c r="I152" s="373"/>
      <c r="J152" s="127"/>
      <c r="K152" s="127"/>
      <c r="L152" s="127"/>
      <c r="M152" s="127"/>
      <c r="N152" s="127"/>
    </row>
    <row r="153" spans="1:14" ht="16.5" x14ac:dyDescent="0.25">
      <c r="A153" s="372"/>
      <c r="B153" s="372"/>
      <c r="C153" s="372"/>
      <c r="D153" s="373"/>
      <c r="E153" s="373"/>
      <c r="F153" s="373"/>
      <c r="G153" s="373"/>
      <c r="H153" s="373"/>
      <c r="I153" s="373"/>
      <c r="J153" s="127"/>
      <c r="K153" s="127"/>
      <c r="L153" s="127"/>
      <c r="M153" s="127"/>
      <c r="N153" s="127"/>
    </row>
    <row r="154" spans="1:14" ht="16.5" x14ac:dyDescent="0.25">
      <c r="A154" s="372"/>
      <c r="B154" s="372"/>
      <c r="C154" s="372"/>
      <c r="D154" s="373"/>
      <c r="E154" s="373"/>
      <c r="F154" s="373"/>
      <c r="G154" s="373"/>
      <c r="H154" s="373"/>
      <c r="I154" s="373"/>
      <c r="J154" s="127"/>
      <c r="K154" s="127"/>
      <c r="L154" s="127"/>
      <c r="M154" s="127"/>
      <c r="N154" s="127"/>
    </row>
    <row r="155" spans="1:14" ht="16.5" x14ac:dyDescent="0.25">
      <c r="A155" s="372"/>
      <c r="B155" s="372"/>
      <c r="C155" s="372"/>
      <c r="D155" s="373"/>
      <c r="E155" s="373"/>
      <c r="F155" s="373"/>
      <c r="G155" s="373"/>
      <c r="H155" s="373"/>
      <c r="I155" s="373"/>
      <c r="J155" s="127"/>
      <c r="K155" s="127"/>
      <c r="L155" s="127"/>
      <c r="M155" s="127"/>
      <c r="N155" s="127"/>
    </row>
    <row r="156" spans="1:14" ht="16.5" x14ac:dyDescent="0.25">
      <c r="A156" s="372"/>
      <c r="B156" s="372"/>
      <c r="C156" s="372"/>
      <c r="D156" s="373"/>
      <c r="E156" s="373"/>
      <c r="F156" s="373"/>
      <c r="G156" s="373"/>
      <c r="H156" s="373"/>
      <c r="I156" s="373"/>
      <c r="J156" s="127"/>
      <c r="K156" s="127"/>
      <c r="L156" s="127"/>
      <c r="M156" s="127"/>
      <c r="N156" s="127"/>
    </row>
    <row r="157" spans="1:14" ht="16.5" x14ac:dyDescent="0.25">
      <c r="A157" s="372"/>
      <c r="B157" s="372"/>
      <c r="C157" s="372"/>
      <c r="D157" s="373"/>
      <c r="E157" s="373"/>
      <c r="F157" s="373"/>
      <c r="G157" s="373"/>
      <c r="H157" s="373"/>
      <c r="I157" s="373"/>
      <c r="J157" s="127"/>
      <c r="K157" s="127"/>
      <c r="L157" s="127"/>
      <c r="M157" s="127"/>
      <c r="N157" s="127"/>
    </row>
    <row r="158" spans="1:14" ht="16.5" x14ac:dyDescent="0.25">
      <c r="A158" s="372"/>
      <c r="B158" s="372"/>
      <c r="C158" s="372"/>
      <c r="D158" s="373"/>
      <c r="E158" s="373"/>
      <c r="F158" s="373"/>
      <c r="G158" s="373"/>
      <c r="H158" s="373"/>
      <c r="I158" s="373"/>
      <c r="J158" s="127"/>
      <c r="K158" s="127"/>
      <c r="L158" s="127"/>
      <c r="M158" s="127"/>
      <c r="N158" s="127"/>
    </row>
    <row r="159" spans="1:14" ht="16.5" x14ac:dyDescent="0.25">
      <c r="A159" s="372"/>
      <c r="B159" s="372"/>
      <c r="C159" s="372"/>
      <c r="D159" s="373"/>
      <c r="E159" s="373"/>
      <c r="F159" s="373"/>
      <c r="G159" s="373"/>
      <c r="H159" s="373"/>
      <c r="I159" s="373"/>
      <c r="J159" s="127"/>
      <c r="K159" s="127"/>
      <c r="L159" s="127"/>
      <c r="M159" s="127"/>
      <c r="N159" s="127"/>
    </row>
    <row r="160" spans="1:14" ht="16.5" x14ac:dyDescent="0.25">
      <c r="A160" s="372"/>
      <c r="B160" s="372"/>
      <c r="C160" s="372"/>
      <c r="D160" s="373"/>
      <c r="E160" s="373"/>
      <c r="F160" s="373"/>
      <c r="G160" s="373"/>
      <c r="H160" s="373"/>
      <c r="I160" s="373"/>
      <c r="J160" s="127"/>
      <c r="K160" s="127"/>
      <c r="L160" s="127"/>
      <c r="M160" s="127"/>
      <c r="N160" s="127"/>
    </row>
    <row r="161" spans="1:14" ht="16.5" x14ac:dyDescent="0.25">
      <c r="A161" s="372"/>
      <c r="B161" s="372"/>
      <c r="C161" s="372"/>
      <c r="D161" s="373"/>
      <c r="E161" s="373"/>
      <c r="F161" s="373"/>
      <c r="G161" s="373"/>
      <c r="H161" s="373"/>
      <c r="I161" s="373"/>
      <c r="J161" s="127"/>
      <c r="K161" s="127"/>
      <c r="L161" s="127"/>
      <c r="M161" s="127"/>
      <c r="N161" s="127"/>
    </row>
    <row r="162" spans="1:14" ht="16.5" x14ac:dyDescent="0.25">
      <c r="A162" s="372"/>
      <c r="B162" s="372"/>
      <c r="C162" s="372"/>
      <c r="D162" s="373"/>
      <c r="E162" s="373"/>
      <c r="F162" s="373"/>
      <c r="G162" s="373"/>
      <c r="H162" s="373"/>
      <c r="I162" s="373"/>
      <c r="J162" s="127"/>
      <c r="K162" s="127"/>
      <c r="L162" s="127"/>
      <c r="M162" s="127"/>
      <c r="N162" s="127"/>
    </row>
    <row r="163" spans="1:14" ht="16.5" x14ac:dyDescent="0.25">
      <c r="A163" s="372"/>
      <c r="B163" s="372"/>
      <c r="C163" s="372"/>
      <c r="D163" s="373"/>
      <c r="E163" s="373"/>
      <c r="F163" s="373"/>
      <c r="G163" s="373"/>
      <c r="H163" s="373"/>
      <c r="I163" s="373"/>
      <c r="J163" s="127"/>
      <c r="K163" s="127"/>
      <c r="L163" s="127"/>
      <c r="M163" s="127"/>
      <c r="N163" s="127"/>
    </row>
    <row r="164" spans="1:14" ht="16.5" x14ac:dyDescent="0.25">
      <c r="A164" s="372"/>
      <c r="B164" s="372"/>
      <c r="C164" s="372"/>
      <c r="D164" s="373"/>
      <c r="E164" s="373"/>
      <c r="F164" s="373"/>
      <c r="G164" s="373"/>
      <c r="H164" s="373"/>
      <c r="I164" s="373"/>
      <c r="J164" s="127"/>
      <c r="K164" s="127"/>
      <c r="L164" s="127"/>
      <c r="M164" s="127"/>
      <c r="N164" s="127"/>
    </row>
    <row r="165" spans="1:14" ht="16.5" x14ac:dyDescent="0.25">
      <c r="A165" s="372"/>
      <c r="B165" s="372"/>
      <c r="C165" s="372"/>
      <c r="D165" s="373"/>
      <c r="E165" s="373"/>
      <c r="F165" s="373"/>
      <c r="G165" s="373"/>
      <c r="H165" s="373"/>
      <c r="I165" s="373"/>
      <c r="J165" s="127"/>
      <c r="K165" s="127"/>
      <c r="L165" s="127"/>
      <c r="M165" s="127"/>
      <c r="N165" s="127"/>
    </row>
    <row r="166" spans="1:14" ht="16.5" x14ac:dyDescent="0.25">
      <c r="A166" s="372"/>
      <c r="B166" s="372"/>
      <c r="C166" s="372"/>
      <c r="D166" s="373"/>
      <c r="E166" s="373"/>
      <c r="F166" s="373"/>
      <c r="G166" s="373"/>
      <c r="H166" s="373"/>
      <c r="I166" s="373"/>
      <c r="J166" s="127"/>
      <c r="K166" s="127"/>
      <c r="L166" s="127"/>
      <c r="M166" s="127"/>
      <c r="N166" s="127"/>
    </row>
    <row r="167" spans="1:14" ht="16.5" x14ac:dyDescent="0.25">
      <c r="A167" s="372"/>
      <c r="B167" s="372"/>
      <c r="C167" s="372"/>
      <c r="D167" s="373"/>
      <c r="E167" s="373"/>
      <c r="F167" s="373"/>
      <c r="G167" s="373"/>
      <c r="H167" s="373"/>
      <c r="I167" s="373"/>
      <c r="J167" s="127"/>
      <c r="K167" s="127"/>
      <c r="L167" s="127"/>
      <c r="M167" s="127"/>
      <c r="N167" s="127"/>
    </row>
    <row r="168" spans="1:14" ht="16.5" x14ac:dyDescent="0.25">
      <c r="A168" s="372"/>
      <c r="B168" s="372"/>
      <c r="C168" s="372"/>
      <c r="D168" s="373"/>
      <c r="E168" s="373"/>
      <c r="F168" s="373"/>
      <c r="G168" s="373"/>
      <c r="H168" s="373"/>
      <c r="I168" s="373"/>
      <c r="J168" s="127"/>
      <c r="K168" s="127"/>
      <c r="L168" s="127"/>
      <c r="M168" s="127"/>
      <c r="N168" s="127"/>
    </row>
    <row r="169" spans="1:14" ht="16.5" x14ac:dyDescent="0.25">
      <c r="A169" s="372"/>
      <c r="B169" s="372"/>
      <c r="C169" s="372"/>
      <c r="D169" s="373"/>
      <c r="E169" s="373"/>
      <c r="F169" s="373"/>
      <c r="G169" s="373"/>
      <c r="H169" s="373"/>
      <c r="I169" s="373"/>
      <c r="J169" s="127"/>
      <c r="K169" s="127"/>
      <c r="L169" s="127"/>
      <c r="M169" s="127"/>
      <c r="N169" s="127"/>
    </row>
    <row r="170" spans="1:14" ht="16.5" x14ac:dyDescent="0.25">
      <c r="A170" s="372"/>
      <c r="B170" s="372"/>
      <c r="C170" s="372"/>
      <c r="D170" s="373"/>
      <c r="E170" s="373"/>
      <c r="F170" s="373"/>
      <c r="G170" s="373"/>
      <c r="H170" s="373"/>
      <c r="I170" s="373"/>
      <c r="J170" s="127"/>
      <c r="K170" s="127"/>
      <c r="L170" s="127"/>
      <c r="M170" s="127"/>
      <c r="N170" s="127"/>
    </row>
    <row r="171" spans="1:14" ht="16.5" x14ac:dyDescent="0.25">
      <c r="A171" s="372"/>
      <c r="B171" s="372"/>
      <c r="C171" s="372"/>
      <c r="D171" s="373"/>
      <c r="E171" s="373"/>
      <c r="F171" s="373"/>
      <c r="G171" s="373"/>
      <c r="H171" s="373"/>
      <c r="I171" s="373"/>
      <c r="J171" s="127"/>
      <c r="K171" s="127"/>
      <c r="L171" s="127"/>
      <c r="M171" s="127"/>
      <c r="N171" s="127"/>
    </row>
    <row r="172" spans="1:14" ht="16.5" x14ac:dyDescent="0.25">
      <c r="A172" s="372"/>
      <c r="B172" s="372"/>
      <c r="C172" s="372"/>
      <c r="D172" s="373"/>
      <c r="E172" s="373"/>
      <c r="F172" s="373"/>
      <c r="G172" s="373"/>
      <c r="H172" s="373"/>
      <c r="I172" s="373"/>
      <c r="J172" s="127"/>
      <c r="K172" s="127"/>
      <c r="L172" s="127"/>
      <c r="M172" s="127"/>
      <c r="N172" s="127"/>
    </row>
    <row r="173" spans="1:14" ht="16.5" x14ac:dyDescent="0.25">
      <c r="A173" s="372"/>
      <c r="B173" s="372"/>
      <c r="C173" s="372"/>
      <c r="D173" s="373"/>
      <c r="E173" s="373"/>
      <c r="F173" s="373"/>
      <c r="G173" s="373"/>
      <c r="H173" s="373"/>
      <c r="I173" s="373"/>
      <c r="J173" s="127"/>
      <c r="K173" s="127"/>
      <c r="L173" s="127"/>
      <c r="M173" s="127"/>
      <c r="N173" s="127"/>
    </row>
    <row r="174" spans="1:14" ht="16.5" x14ac:dyDescent="0.25">
      <c r="A174" s="372"/>
      <c r="B174" s="372"/>
      <c r="C174" s="372"/>
      <c r="D174" s="373"/>
      <c r="E174" s="373"/>
      <c r="F174" s="373"/>
      <c r="G174" s="373"/>
      <c r="H174" s="373"/>
      <c r="I174" s="373"/>
      <c r="J174" s="127"/>
      <c r="K174" s="127"/>
      <c r="L174" s="127"/>
      <c r="M174" s="127"/>
      <c r="N174" s="127"/>
    </row>
    <row r="175" spans="1:14" ht="16.5" x14ac:dyDescent="0.25">
      <c r="A175" s="372"/>
      <c r="B175" s="372"/>
      <c r="C175" s="372"/>
      <c r="D175" s="373"/>
      <c r="E175" s="373"/>
      <c r="F175" s="373"/>
      <c r="G175" s="373"/>
      <c r="H175" s="373"/>
      <c r="I175" s="373"/>
      <c r="J175" s="127"/>
      <c r="K175" s="127"/>
      <c r="L175" s="127"/>
      <c r="M175" s="127"/>
      <c r="N175" s="127"/>
    </row>
    <row r="176" spans="1:14" ht="16.5" x14ac:dyDescent="0.25">
      <c r="A176" s="372"/>
      <c r="B176" s="372"/>
      <c r="C176" s="372"/>
      <c r="D176" s="373"/>
      <c r="E176" s="373"/>
      <c r="F176" s="373"/>
      <c r="G176" s="373"/>
      <c r="H176" s="373"/>
      <c r="I176" s="373"/>
      <c r="J176" s="127"/>
      <c r="K176" s="127"/>
      <c r="L176" s="127"/>
      <c r="M176" s="127"/>
      <c r="N176" s="127"/>
    </row>
    <row r="177" spans="1:14" ht="16.5" x14ac:dyDescent="0.25">
      <c r="A177" s="372"/>
      <c r="B177" s="372"/>
      <c r="C177" s="372"/>
      <c r="D177" s="373"/>
      <c r="E177" s="373"/>
      <c r="F177" s="373"/>
      <c r="G177" s="373"/>
      <c r="H177" s="373"/>
      <c r="I177" s="373"/>
      <c r="J177" s="127"/>
      <c r="K177" s="127"/>
      <c r="L177" s="127"/>
      <c r="M177" s="127"/>
      <c r="N177" s="127"/>
    </row>
    <row r="178" spans="1:14" ht="16.5" x14ac:dyDescent="0.25">
      <c r="A178" s="372"/>
      <c r="B178" s="372"/>
      <c r="C178" s="372"/>
      <c r="D178" s="373"/>
      <c r="E178" s="373"/>
      <c r="F178" s="373"/>
      <c r="G178" s="373"/>
      <c r="H178" s="373"/>
      <c r="I178" s="373"/>
      <c r="J178" s="127"/>
      <c r="K178" s="127"/>
      <c r="L178" s="127"/>
      <c r="M178" s="127"/>
      <c r="N178" s="127"/>
    </row>
    <row r="179" spans="1:14" ht="16.5" x14ac:dyDescent="0.25">
      <c r="A179" s="372"/>
      <c r="B179" s="372"/>
      <c r="C179" s="372"/>
      <c r="D179" s="373"/>
      <c r="E179" s="373"/>
      <c r="F179" s="373"/>
      <c r="G179" s="373"/>
      <c r="H179" s="373"/>
      <c r="I179" s="373"/>
      <c r="J179" s="127"/>
      <c r="K179" s="127"/>
      <c r="L179" s="127"/>
      <c r="M179" s="127"/>
      <c r="N179" s="127"/>
    </row>
    <row r="180" spans="1:14" ht="16.5" x14ac:dyDescent="0.25">
      <c r="A180" s="372"/>
      <c r="B180" s="372"/>
      <c r="C180" s="372"/>
      <c r="D180" s="373"/>
      <c r="E180" s="373"/>
      <c r="F180" s="373"/>
      <c r="G180" s="373"/>
      <c r="H180" s="373"/>
      <c r="I180" s="373"/>
      <c r="J180" s="127"/>
      <c r="K180" s="127"/>
      <c r="L180" s="127"/>
      <c r="M180" s="127"/>
      <c r="N180" s="127"/>
    </row>
    <row r="181" spans="1:14" ht="16.5" x14ac:dyDescent="0.25">
      <c r="A181" s="372"/>
      <c r="B181" s="372"/>
      <c r="C181" s="372"/>
      <c r="D181" s="373"/>
      <c r="E181" s="373"/>
      <c r="F181" s="373"/>
      <c r="G181" s="373"/>
      <c r="H181" s="373"/>
      <c r="I181" s="373"/>
      <c r="J181" s="127"/>
      <c r="K181" s="127"/>
      <c r="L181" s="127"/>
      <c r="M181" s="127"/>
      <c r="N181" s="127"/>
    </row>
    <row r="182" spans="1:14" ht="16.5" x14ac:dyDescent="0.25">
      <c r="A182" s="372"/>
      <c r="B182" s="372"/>
      <c r="C182" s="372"/>
      <c r="D182" s="373"/>
      <c r="E182" s="373"/>
      <c r="F182" s="373"/>
      <c r="G182" s="373"/>
      <c r="H182" s="373"/>
      <c r="I182" s="373"/>
      <c r="J182" s="127"/>
      <c r="K182" s="127"/>
      <c r="L182" s="127"/>
      <c r="M182" s="127"/>
      <c r="N182" s="127"/>
    </row>
    <row r="183" spans="1:14" ht="16.5" x14ac:dyDescent="0.25">
      <c r="A183" s="372"/>
      <c r="B183" s="372"/>
      <c r="C183" s="372"/>
      <c r="D183" s="373"/>
      <c r="E183" s="373"/>
      <c r="F183" s="373"/>
      <c r="G183" s="373"/>
      <c r="H183" s="373"/>
      <c r="I183" s="373"/>
      <c r="J183" s="127"/>
      <c r="K183" s="127"/>
      <c r="L183" s="127"/>
      <c r="M183" s="127"/>
      <c r="N183" s="127"/>
    </row>
    <row r="184" spans="1:14" ht="16.5" x14ac:dyDescent="0.25">
      <c r="A184" s="372"/>
      <c r="B184" s="372"/>
      <c r="C184" s="372"/>
      <c r="D184" s="373"/>
      <c r="E184" s="373"/>
      <c r="F184" s="373"/>
      <c r="G184" s="373"/>
      <c r="H184" s="373"/>
      <c r="I184" s="373"/>
      <c r="J184" s="127"/>
      <c r="K184" s="127"/>
      <c r="L184" s="127"/>
      <c r="M184" s="127"/>
      <c r="N184" s="127"/>
    </row>
    <row r="185" spans="1:14" ht="16.5" x14ac:dyDescent="0.25">
      <c r="A185" s="372"/>
      <c r="B185" s="372"/>
      <c r="C185" s="372"/>
      <c r="D185" s="373"/>
      <c r="E185" s="373"/>
      <c r="F185" s="373"/>
      <c r="G185" s="373"/>
      <c r="H185" s="373"/>
      <c r="I185" s="373"/>
      <c r="J185" s="127"/>
      <c r="K185" s="127"/>
      <c r="L185" s="127"/>
      <c r="M185" s="127"/>
      <c r="N185" s="127"/>
    </row>
    <row r="186" spans="1:14" ht="16.5" x14ac:dyDescent="0.25">
      <c r="A186" s="372"/>
      <c r="B186" s="372"/>
      <c r="C186" s="372"/>
      <c r="D186" s="373"/>
      <c r="E186" s="373"/>
      <c r="F186" s="373"/>
      <c r="G186" s="373"/>
      <c r="H186" s="373"/>
      <c r="I186" s="373"/>
      <c r="J186" s="127"/>
      <c r="K186" s="127"/>
      <c r="L186" s="127"/>
      <c r="M186" s="127"/>
      <c r="N186" s="127"/>
    </row>
    <row r="187" spans="1:14" ht="16.5" x14ac:dyDescent="0.25">
      <c r="A187" s="372"/>
      <c r="B187" s="372"/>
      <c r="C187" s="372"/>
      <c r="D187" s="373"/>
      <c r="E187" s="373"/>
      <c r="F187" s="373"/>
      <c r="G187" s="373"/>
      <c r="H187" s="373"/>
      <c r="I187" s="373"/>
      <c r="J187" s="127"/>
      <c r="K187" s="127"/>
      <c r="L187" s="127"/>
      <c r="M187" s="127"/>
      <c r="N187" s="127"/>
    </row>
    <row r="188" spans="1:14" ht="16.5" x14ac:dyDescent="0.25">
      <c r="A188" s="372"/>
      <c r="B188" s="372"/>
      <c r="C188" s="372"/>
      <c r="D188" s="373"/>
      <c r="E188" s="373"/>
      <c r="F188" s="373"/>
      <c r="G188" s="373"/>
      <c r="H188" s="373"/>
      <c r="I188" s="373"/>
      <c r="J188" s="127"/>
      <c r="K188" s="127"/>
      <c r="L188" s="127"/>
      <c r="M188" s="127"/>
      <c r="N188" s="127"/>
    </row>
    <row r="189" spans="1:14" ht="16.5" x14ac:dyDescent="0.25">
      <c r="A189" s="372"/>
      <c r="B189" s="372"/>
      <c r="C189" s="372"/>
      <c r="D189" s="373"/>
      <c r="E189" s="373"/>
      <c r="F189" s="373"/>
      <c r="G189" s="373"/>
      <c r="H189" s="373"/>
      <c r="I189" s="373"/>
      <c r="J189" s="127"/>
      <c r="K189" s="127"/>
      <c r="L189" s="127"/>
      <c r="M189" s="127"/>
      <c r="N189" s="127"/>
    </row>
    <row r="190" spans="1:14" ht="16.5" x14ac:dyDescent="0.25">
      <c r="A190" s="372"/>
      <c r="B190" s="372"/>
      <c r="C190" s="372"/>
      <c r="D190" s="373"/>
      <c r="E190" s="373"/>
      <c r="F190" s="373"/>
      <c r="G190" s="373"/>
      <c r="H190" s="373"/>
      <c r="I190" s="373"/>
      <c r="J190" s="127"/>
      <c r="K190" s="127"/>
      <c r="L190" s="127"/>
      <c r="M190" s="127"/>
      <c r="N190" s="127"/>
    </row>
    <row r="191" spans="1:14" ht="16.5" x14ac:dyDescent="0.25">
      <c r="A191" s="372"/>
      <c r="B191" s="372"/>
      <c r="C191" s="372"/>
      <c r="D191" s="373"/>
      <c r="E191" s="373"/>
      <c r="F191" s="373"/>
      <c r="G191" s="373"/>
      <c r="H191" s="373"/>
      <c r="I191" s="373"/>
      <c r="J191" s="127"/>
      <c r="K191" s="127"/>
      <c r="L191" s="127"/>
      <c r="M191" s="127"/>
      <c r="N191" s="127"/>
    </row>
    <row r="192" spans="1:14" ht="16.5" x14ac:dyDescent="0.25">
      <c r="A192" s="372"/>
      <c r="B192" s="372"/>
      <c r="C192" s="372"/>
      <c r="D192" s="373"/>
      <c r="E192" s="373"/>
      <c r="F192" s="373"/>
      <c r="G192" s="373"/>
      <c r="H192" s="373"/>
      <c r="I192" s="373"/>
      <c r="J192" s="127"/>
      <c r="K192" s="127"/>
      <c r="L192" s="127"/>
      <c r="M192" s="127"/>
      <c r="N192" s="127"/>
    </row>
    <row r="193" spans="1:14" ht="16.5" x14ac:dyDescent="0.25">
      <c r="A193" s="372"/>
      <c r="B193" s="372"/>
      <c r="C193" s="372"/>
      <c r="D193" s="373"/>
      <c r="E193" s="373"/>
      <c r="F193" s="373"/>
      <c r="G193" s="373"/>
      <c r="H193" s="373"/>
      <c r="I193" s="373"/>
      <c r="J193" s="127"/>
      <c r="K193" s="127"/>
      <c r="L193" s="127"/>
      <c r="M193" s="127"/>
      <c r="N193" s="127"/>
    </row>
    <row r="194" spans="1:14" ht="16.5" x14ac:dyDescent="0.25">
      <c r="A194" s="372"/>
      <c r="B194" s="372"/>
      <c r="C194" s="372"/>
      <c r="D194" s="373"/>
      <c r="E194" s="373"/>
      <c r="F194" s="373"/>
      <c r="G194" s="373"/>
      <c r="H194" s="373"/>
      <c r="I194" s="373"/>
      <c r="J194" s="127"/>
      <c r="K194" s="127"/>
      <c r="L194" s="127"/>
      <c r="M194" s="127"/>
      <c r="N194" s="127"/>
    </row>
    <row r="195" spans="1:14" ht="16.5" x14ac:dyDescent="0.25">
      <c r="A195" s="372"/>
      <c r="B195" s="372"/>
      <c r="C195" s="372"/>
      <c r="D195" s="373"/>
      <c r="E195" s="373"/>
      <c r="F195" s="373"/>
      <c r="G195" s="373"/>
      <c r="H195" s="373"/>
      <c r="I195" s="373"/>
      <c r="J195" s="127"/>
      <c r="K195" s="127"/>
      <c r="L195" s="127"/>
      <c r="M195" s="127"/>
      <c r="N195" s="127"/>
    </row>
    <row r="196" spans="1:14" ht="16.5" x14ac:dyDescent="0.25">
      <c r="A196" s="372"/>
      <c r="B196" s="372"/>
      <c r="C196" s="372"/>
      <c r="D196" s="373"/>
      <c r="E196" s="373"/>
      <c r="F196" s="373"/>
      <c r="G196" s="373"/>
      <c r="H196" s="373"/>
      <c r="I196" s="373"/>
      <c r="J196" s="127"/>
      <c r="K196" s="127"/>
      <c r="L196" s="127"/>
      <c r="M196" s="127"/>
      <c r="N196" s="127"/>
    </row>
    <row r="197" spans="1:14" ht="16.5" x14ac:dyDescent="0.25">
      <c r="A197" s="372"/>
      <c r="B197" s="372"/>
      <c r="C197" s="372"/>
      <c r="D197" s="373"/>
      <c r="E197" s="373"/>
      <c r="F197" s="373"/>
      <c r="G197" s="373"/>
      <c r="H197" s="373"/>
      <c r="I197" s="373"/>
      <c r="J197" s="127"/>
      <c r="K197" s="127"/>
      <c r="L197" s="127"/>
      <c r="M197" s="127"/>
      <c r="N197" s="127"/>
    </row>
    <row r="198" spans="1:14" ht="16.5" x14ac:dyDescent="0.25">
      <c r="A198" s="372"/>
      <c r="B198" s="372"/>
      <c r="C198" s="372"/>
      <c r="D198" s="373"/>
      <c r="E198" s="373"/>
      <c r="F198" s="373"/>
      <c r="G198" s="373"/>
      <c r="H198" s="373"/>
      <c r="I198" s="373"/>
      <c r="J198" s="127"/>
      <c r="K198" s="127"/>
      <c r="L198" s="127"/>
      <c r="M198" s="127"/>
      <c r="N198" s="127"/>
    </row>
    <row r="199" spans="1:14" ht="16.5" x14ac:dyDescent="0.25">
      <c r="A199" s="372"/>
      <c r="B199" s="372"/>
      <c r="C199" s="372"/>
      <c r="D199" s="373"/>
      <c r="E199" s="373"/>
      <c r="F199" s="373"/>
      <c r="G199" s="373"/>
      <c r="H199" s="373"/>
      <c r="I199" s="373"/>
      <c r="J199" s="127"/>
      <c r="K199" s="127"/>
      <c r="L199" s="127"/>
      <c r="M199" s="127"/>
      <c r="N199" s="127"/>
    </row>
    <row r="200" spans="1:14" ht="16.5" x14ac:dyDescent="0.25">
      <c r="A200" s="372"/>
      <c r="B200" s="372"/>
      <c r="C200" s="372"/>
      <c r="D200" s="373"/>
      <c r="E200" s="373"/>
      <c r="F200" s="373"/>
      <c r="G200" s="373"/>
      <c r="H200" s="373"/>
      <c r="I200" s="373"/>
      <c r="J200" s="127"/>
      <c r="K200" s="127"/>
      <c r="L200" s="127"/>
      <c r="M200" s="127"/>
      <c r="N200" s="127"/>
    </row>
    <row r="201" spans="1:14" ht="16.5" x14ac:dyDescent="0.25">
      <c r="A201" s="372"/>
      <c r="B201" s="372"/>
      <c r="C201" s="372"/>
      <c r="D201" s="373"/>
      <c r="E201" s="373"/>
      <c r="F201" s="373"/>
      <c r="G201" s="373"/>
      <c r="H201" s="373"/>
      <c r="I201" s="373"/>
      <c r="J201" s="127"/>
      <c r="K201" s="127"/>
      <c r="L201" s="127"/>
      <c r="M201" s="127"/>
      <c r="N201" s="127"/>
    </row>
    <row r="202" spans="1:14" ht="16.5" x14ac:dyDescent="0.25">
      <c r="A202" s="372"/>
      <c r="B202" s="372"/>
      <c r="C202" s="372"/>
      <c r="D202" s="373"/>
      <c r="E202" s="373"/>
      <c r="F202" s="373"/>
      <c r="G202" s="373"/>
      <c r="H202" s="373"/>
      <c r="I202" s="373"/>
      <c r="J202" s="127"/>
      <c r="K202" s="127"/>
      <c r="L202" s="127"/>
      <c r="M202" s="127"/>
      <c r="N202" s="127"/>
    </row>
    <row r="203" spans="1:14" ht="16.5" x14ac:dyDescent="0.25">
      <c r="A203" s="372"/>
      <c r="B203" s="372"/>
      <c r="C203" s="372"/>
      <c r="D203" s="373"/>
      <c r="E203" s="373"/>
      <c r="F203" s="373"/>
      <c r="G203" s="373"/>
      <c r="H203" s="373"/>
      <c r="I203" s="373"/>
      <c r="J203" s="127"/>
      <c r="K203" s="127"/>
      <c r="L203" s="127"/>
      <c r="M203" s="127"/>
      <c r="N203" s="127"/>
    </row>
    <row r="204" spans="1:14" ht="16.5" x14ac:dyDescent="0.25">
      <c r="A204" s="372"/>
      <c r="B204" s="372"/>
      <c r="C204" s="372"/>
      <c r="D204" s="373"/>
      <c r="E204" s="373"/>
      <c r="F204" s="373"/>
      <c r="G204" s="373"/>
      <c r="H204" s="373"/>
      <c r="I204" s="373"/>
      <c r="J204" s="127"/>
      <c r="K204" s="127"/>
      <c r="L204" s="127"/>
      <c r="M204" s="127"/>
      <c r="N204" s="127"/>
    </row>
    <row r="205" spans="1:14" ht="16.5" x14ac:dyDescent="0.25">
      <c r="A205" s="372"/>
      <c r="B205" s="372"/>
      <c r="C205" s="372"/>
      <c r="D205" s="373"/>
      <c r="E205" s="373"/>
      <c r="F205" s="373"/>
      <c r="G205" s="373"/>
      <c r="H205" s="373"/>
      <c r="I205" s="373"/>
      <c r="J205" s="127"/>
      <c r="K205" s="127"/>
      <c r="L205" s="127"/>
      <c r="M205" s="127"/>
      <c r="N205" s="127"/>
    </row>
    <row r="206" spans="1:14" ht="16.5" x14ac:dyDescent="0.25">
      <c r="A206" s="372"/>
      <c r="B206" s="372"/>
      <c r="C206" s="372"/>
      <c r="D206" s="373"/>
      <c r="E206" s="373"/>
      <c r="F206" s="373"/>
      <c r="G206" s="373"/>
      <c r="H206" s="373"/>
      <c r="I206" s="373"/>
      <c r="J206" s="127"/>
      <c r="K206" s="127"/>
      <c r="L206" s="127"/>
      <c r="M206" s="127"/>
      <c r="N206" s="127"/>
    </row>
    <row r="207" spans="1:14" ht="16.5" x14ac:dyDescent="0.25">
      <c r="A207" s="372"/>
      <c r="B207" s="372"/>
      <c r="C207" s="372"/>
      <c r="D207" s="373"/>
      <c r="E207" s="373"/>
      <c r="F207" s="373"/>
      <c r="G207" s="373"/>
      <c r="H207" s="373"/>
      <c r="I207" s="373"/>
      <c r="J207" s="127"/>
      <c r="K207" s="127"/>
      <c r="L207" s="127"/>
      <c r="M207" s="127"/>
      <c r="N207" s="127"/>
    </row>
    <row r="208" spans="1:14" ht="16.5" x14ac:dyDescent="0.25">
      <c r="A208" s="372"/>
      <c r="B208" s="372"/>
      <c r="C208" s="372"/>
      <c r="D208" s="373"/>
      <c r="E208" s="373"/>
      <c r="F208" s="373"/>
      <c r="G208" s="373"/>
      <c r="H208" s="373"/>
      <c r="I208" s="373"/>
      <c r="J208" s="127"/>
      <c r="K208" s="127"/>
      <c r="L208" s="127"/>
      <c r="M208" s="127"/>
      <c r="N208" s="127"/>
    </row>
    <row r="209" spans="1:14" ht="16.5" x14ac:dyDescent="0.25">
      <c r="A209" s="372"/>
      <c r="B209" s="372"/>
      <c r="C209" s="372"/>
      <c r="D209" s="373"/>
      <c r="E209" s="373"/>
      <c r="F209" s="373"/>
      <c r="G209" s="373"/>
      <c r="H209" s="373"/>
      <c r="I209" s="373"/>
      <c r="J209" s="127"/>
      <c r="K209" s="127"/>
      <c r="L209" s="127"/>
      <c r="M209" s="127"/>
      <c r="N209" s="127"/>
    </row>
    <row r="210" spans="1:14" ht="16.5" x14ac:dyDescent="0.25">
      <c r="A210" s="372"/>
      <c r="B210" s="372"/>
      <c r="C210" s="372"/>
      <c r="D210" s="373"/>
      <c r="E210" s="373"/>
      <c r="F210" s="373"/>
      <c r="G210" s="373"/>
      <c r="H210" s="373"/>
      <c r="I210" s="373"/>
      <c r="J210" s="127"/>
      <c r="K210" s="127"/>
      <c r="L210" s="127"/>
      <c r="M210" s="127"/>
      <c r="N210" s="127"/>
    </row>
    <row r="211" spans="1:14" ht="16.5" x14ac:dyDescent="0.25">
      <c r="A211" s="372"/>
      <c r="B211" s="372"/>
      <c r="C211" s="372"/>
      <c r="D211" s="373"/>
      <c r="E211" s="373"/>
      <c r="F211" s="373"/>
      <c r="G211" s="373"/>
      <c r="H211" s="373"/>
      <c r="I211" s="373"/>
      <c r="J211" s="127"/>
      <c r="K211" s="127"/>
      <c r="L211" s="127"/>
      <c r="M211" s="127"/>
      <c r="N211" s="127"/>
    </row>
    <row r="212" spans="1:14" ht="16.5" x14ac:dyDescent="0.25">
      <c r="A212" s="372"/>
      <c r="B212" s="372"/>
      <c r="C212" s="372"/>
      <c r="D212" s="373"/>
      <c r="E212" s="373"/>
      <c r="F212" s="373"/>
      <c r="G212" s="373"/>
      <c r="H212" s="373"/>
      <c r="I212" s="373"/>
      <c r="J212" s="127"/>
      <c r="K212" s="127"/>
      <c r="L212" s="127"/>
      <c r="M212" s="127"/>
      <c r="N212" s="127"/>
    </row>
    <row r="213" spans="1:14" ht="16.5" x14ac:dyDescent="0.25">
      <c r="A213" s="372"/>
      <c r="B213" s="372"/>
      <c r="C213" s="372"/>
      <c r="D213" s="373"/>
      <c r="E213" s="373"/>
      <c r="F213" s="373"/>
      <c r="G213" s="373"/>
      <c r="H213" s="373"/>
      <c r="I213" s="373"/>
      <c r="J213" s="127"/>
      <c r="K213" s="127"/>
      <c r="L213" s="127"/>
      <c r="M213" s="127"/>
      <c r="N213" s="127"/>
    </row>
    <row r="214" spans="1:14" ht="16.5" x14ac:dyDescent="0.25">
      <c r="A214" s="372"/>
      <c r="B214" s="372"/>
      <c r="C214" s="372"/>
      <c r="D214" s="373"/>
      <c r="E214" s="373"/>
      <c r="F214" s="373"/>
      <c r="G214" s="373"/>
      <c r="H214" s="373"/>
      <c r="I214" s="373"/>
      <c r="J214" s="127"/>
      <c r="K214" s="127"/>
      <c r="L214" s="127"/>
      <c r="M214" s="127"/>
      <c r="N214" s="127"/>
    </row>
    <row r="215" spans="1:14" ht="16.5" x14ac:dyDescent="0.25">
      <c r="A215" s="372"/>
      <c r="B215" s="372"/>
      <c r="C215" s="372"/>
      <c r="D215" s="373"/>
      <c r="E215" s="373"/>
      <c r="F215" s="373"/>
      <c r="G215" s="373"/>
      <c r="H215" s="373"/>
      <c r="I215" s="373"/>
      <c r="J215" s="127"/>
      <c r="K215" s="127"/>
      <c r="L215" s="127"/>
      <c r="M215" s="127"/>
      <c r="N215" s="127"/>
    </row>
    <row r="216" spans="1:14" ht="16.5" x14ac:dyDescent="0.25">
      <c r="A216" s="372"/>
      <c r="B216" s="372"/>
      <c r="C216" s="372"/>
      <c r="D216" s="373"/>
      <c r="E216" s="373"/>
      <c r="F216" s="373"/>
      <c r="G216" s="373"/>
      <c r="H216" s="373"/>
      <c r="I216" s="373"/>
      <c r="J216" s="127"/>
      <c r="K216" s="127"/>
      <c r="L216" s="127"/>
      <c r="M216" s="127"/>
      <c r="N216" s="127"/>
    </row>
    <row r="217" spans="1:14" ht="16.5" x14ac:dyDescent="0.25">
      <c r="A217" s="372"/>
      <c r="B217" s="372"/>
      <c r="C217" s="372"/>
      <c r="D217" s="373"/>
      <c r="E217" s="373"/>
      <c r="F217" s="373"/>
      <c r="G217" s="373"/>
      <c r="H217" s="373"/>
      <c r="I217" s="373"/>
      <c r="J217" s="127"/>
      <c r="K217" s="127"/>
      <c r="L217" s="127"/>
      <c r="M217" s="127"/>
      <c r="N217" s="127"/>
    </row>
    <row r="218" spans="1:14" ht="16.5" x14ac:dyDescent="0.25">
      <c r="A218" s="372"/>
      <c r="B218" s="372"/>
      <c r="C218" s="372"/>
      <c r="D218" s="373"/>
      <c r="E218" s="373"/>
      <c r="F218" s="373"/>
      <c r="G218" s="373"/>
      <c r="H218" s="373"/>
      <c r="I218" s="373"/>
      <c r="J218" s="127"/>
      <c r="K218" s="127"/>
      <c r="L218" s="127"/>
      <c r="M218" s="127"/>
      <c r="N218" s="127"/>
    </row>
    <row r="219" spans="1:14" ht="16.5" x14ac:dyDescent="0.25">
      <c r="A219" s="372"/>
      <c r="B219" s="372"/>
      <c r="C219" s="372"/>
      <c r="D219" s="373"/>
      <c r="E219" s="373"/>
      <c r="F219" s="373"/>
      <c r="G219" s="373"/>
      <c r="H219" s="373"/>
      <c r="I219" s="373"/>
      <c r="J219" s="127"/>
      <c r="K219" s="127"/>
      <c r="L219" s="127"/>
      <c r="M219" s="127"/>
      <c r="N219" s="127"/>
    </row>
    <row r="220" spans="1:14" ht="16.5" x14ac:dyDescent="0.25">
      <c r="A220" s="372"/>
      <c r="B220" s="372"/>
      <c r="C220" s="372"/>
      <c r="D220" s="373"/>
      <c r="E220" s="373"/>
      <c r="F220" s="373"/>
      <c r="G220" s="373"/>
      <c r="H220" s="373"/>
      <c r="I220" s="373"/>
      <c r="J220" s="127"/>
      <c r="K220" s="127"/>
      <c r="L220" s="127"/>
      <c r="M220" s="127"/>
      <c r="N220" s="127"/>
    </row>
    <row r="221" spans="1:14" ht="16.5" x14ac:dyDescent="0.25">
      <c r="A221" s="372"/>
      <c r="B221" s="372"/>
      <c r="C221" s="372"/>
      <c r="D221" s="373"/>
      <c r="E221" s="373"/>
      <c r="F221" s="373"/>
      <c r="G221" s="373"/>
      <c r="H221" s="373"/>
      <c r="I221" s="373"/>
      <c r="J221" s="127"/>
      <c r="K221" s="127"/>
      <c r="L221" s="127"/>
      <c r="M221" s="127"/>
      <c r="N221" s="127"/>
    </row>
    <row r="222" spans="1:14" ht="16.5" x14ac:dyDescent="0.25">
      <c r="A222" s="372"/>
      <c r="B222" s="372"/>
      <c r="C222" s="372"/>
      <c r="D222" s="373"/>
      <c r="E222" s="373"/>
      <c r="F222" s="373"/>
      <c r="G222" s="373"/>
      <c r="H222" s="373"/>
      <c r="I222" s="373"/>
      <c r="J222" s="127"/>
      <c r="K222" s="127"/>
      <c r="L222" s="127"/>
      <c r="M222" s="127"/>
      <c r="N222" s="127"/>
    </row>
    <row r="223" spans="1:14" ht="16.5" x14ac:dyDescent="0.25">
      <c r="A223" s="372"/>
      <c r="B223" s="372"/>
      <c r="C223" s="372"/>
      <c r="D223" s="373"/>
      <c r="E223" s="373"/>
      <c r="F223" s="373"/>
      <c r="G223" s="373"/>
      <c r="H223" s="373"/>
      <c r="I223" s="373"/>
      <c r="J223" s="127"/>
      <c r="K223" s="127"/>
      <c r="L223" s="127"/>
      <c r="M223" s="127"/>
      <c r="N223" s="127"/>
    </row>
    <row r="224" spans="1:14" ht="16.5" x14ac:dyDescent="0.25">
      <c r="A224" s="372"/>
      <c r="B224" s="372"/>
      <c r="C224" s="372"/>
      <c r="D224" s="373"/>
      <c r="E224" s="373"/>
      <c r="F224" s="373"/>
      <c r="G224" s="373"/>
      <c r="H224" s="373"/>
      <c r="I224" s="373"/>
      <c r="J224" s="127"/>
      <c r="K224" s="127"/>
      <c r="L224" s="127"/>
      <c r="M224" s="127"/>
      <c r="N224" s="127"/>
    </row>
    <row r="225" spans="1:14" ht="16.5" x14ac:dyDescent="0.25">
      <c r="A225" s="372"/>
      <c r="B225" s="372"/>
      <c r="C225" s="372"/>
      <c r="D225" s="373"/>
      <c r="E225" s="373"/>
      <c r="F225" s="373"/>
      <c r="G225" s="373"/>
      <c r="H225" s="373"/>
      <c r="I225" s="373"/>
      <c r="J225" s="127"/>
      <c r="K225" s="127"/>
      <c r="L225" s="127"/>
      <c r="M225" s="127"/>
      <c r="N225" s="127"/>
    </row>
    <row r="226" spans="1:14" ht="16.5" x14ac:dyDescent="0.25">
      <c r="A226" s="372"/>
      <c r="B226" s="372"/>
      <c r="C226" s="372"/>
      <c r="D226" s="373"/>
      <c r="E226" s="373"/>
      <c r="F226" s="373"/>
      <c r="G226" s="373"/>
      <c r="H226" s="373"/>
      <c r="I226" s="373"/>
      <c r="J226" s="127"/>
      <c r="K226" s="127"/>
      <c r="L226" s="127"/>
      <c r="M226" s="127"/>
      <c r="N226" s="127"/>
    </row>
    <row r="227" spans="1:14" ht="16.5" x14ac:dyDescent="0.25">
      <c r="A227" s="372"/>
      <c r="B227" s="372"/>
      <c r="C227" s="372"/>
      <c r="D227" s="373"/>
      <c r="E227" s="373"/>
      <c r="F227" s="373"/>
      <c r="G227" s="373"/>
      <c r="H227" s="373"/>
      <c r="I227" s="373"/>
      <c r="J227" s="127"/>
      <c r="K227" s="127"/>
      <c r="L227" s="127"/>
      <c r="M227" s="127"/>
      <c r="N227" s="127"/>
    </row>
    <row r="228" spans="1:14" ht="16.5" x14ac:dyDescent="0.25">
      <c r="A228" s="372"/>
      <c r="B228" s="372"/>
      <c r="C228" s="372"/>
      <c r="D228" s="373"/>
      <c r="E228" s="373"/>
      <c r="F228" s="373"/>
      <c r="G228" s="373"/>
      <c r="H228" s="373"/>
      <c r="I228" s="373"/>
      <c r="J228" s="127"/>
      <c r="K228" s="127"/>
      <c r="L228" s="127"/>
      <c r="M228" s="127"/>
      <c r="N228" s="127"/>
    </row>
    <row r="229" spans="1:14" ht="16.5" x14ac:dyDescent="0.25">
      <c r="A229" s="372"/>
      <c r="B229" s="372"/>
      <c r="C229" s="372"/>
      <c r="D229" s="373"/>
      <c r="E229" s="373"/>
      <c r="F229" s="373"/>
      <c r="G229" s="373"/>
      <c r="H229" s="373"/>
      <c r="I229" s="373"/>
      <c r="J229" s="127"/>
      <c r="K229" s="127"/>
      <c r="L229" s="127"/>
      <c r="M229" s="127"/>
      <c r="N229" s="127"/>
    </row>
    <row r="230" spans="1:14" ht="16.5" x14ac:dyDescent="0.25">
      <c r="A230" s="372"/>
      <c r="B230" s="372"/>
      <c r="C230" s="372"/>
      <c r="D230" s="373"/>
      <c r="E230" s="373"/>
      <c r="F230" s="373"/>
      <c r="G230" s="373"/>
      <c r="H230" s="373"/>
      <c r="I230" s="373"/>
      <c r="J230" s="127"/>
      <c r="K230" s="127"/>
      <c r="L230" s="127"/>
      <c r="M230" s="127"/>
      <c r="N230" s="127"/>
    </row>
    <row r="231" spans="1:14" ht="16.5" x14ac:dyDescent="0.25">
      <c r="A231" s="372"/>
      <c r="B231" s="372"/>
      <c r="C231" s="372"/>
      <c r="D231" s="373"/>
      <c r="E231" s="373"/>
      <c r="F231" s="373"/>
      <c r="G231" s="373"/>
      <c r="H231" s="373"/>
      <c r="I231" s="373"/>
      <c r="J231" s="127"/>
      <c r="K231" s="127"/>
      <c r="L231" s="127"/>
      <c r="M231" s="127"/>
      <c r="N231" s="127"/>
    </row>
    <row r="232" spans="1:14" ht="16.5" x14ac:dyDescent="0.25">
      <c r="A232" s="372"/>
      <c r="B232" s="372"/>
      <c r="C232" s="372"/>
      <c r="D232" s="373"/>
      <c r="E232" s="373"/>
      <c r="F232" s="373"/>
      <c r="G232" s="373"/>
      <c r="H232" s="373"/>
      <c r="I232" s="373"/>
      <c r="J232" s="127"/>
      <c r="K232" s="127"/>
      <c r="L232" s="127"/>
      <c r="M232" s="127"/>
      <c r="N232" s="127"/>
    </row>
    <row r="233" spans="1:14" ht="16.5" x14ac:dyDescent="0.25">
      <c r="A233" s="372"/>
      <c r="B233" s="372"/>
      <c r="C233" s="372"/>
      <c r="D233" s="373"/>
      <c r="E233" s="373"/>
      <c r="F233" s="373"/>
      <c r="G233" s="373"/>
      <c r="H233" s="373"/>
      <c r="I233" s="373"/>
      <c r="J233" s="127"/>
      <c r="K233" s="127"/>
      <c r="L233" s="127"/>
      <c r="M233" s="127"/>
      <c r="N233" s="127"/>
    </row>
    <row r="234" spans="1:14" ht="16.5" x14ac:dyDescent="0.25">
      <c r="A234" s="372"/>
      <c r="B234" s="372"/>
      <c r="C234" s="372"/>
      <c r="D234" s="373"/>
      <c r="E234" s="373"/>
      <c r="F234" s="373"/>
      <c r="G234" s="373"/>
      <c r="H234" s="373"/>
      <c r="I234" s="373"/>
      <c r="J234" s="127"/>
      <c r="K234" s="127"/>
      <c r="L234" s="127"/>
      <c r="M234" s="127"/>
      <c r="N234" s="127"/>
    </row>
    <row r="235" spans="1:14" ht="16.5" x14ac:dyDescent="0.25">
      <c r="A235" s="372"/>
      <c r="B235" s="372"/>
      <c r="C235" s="372"/>
      <c r="D235" s="373"/>
      <c r="E235" s="373"/>
      <c r="F235" s="373"/>
      <c r="G235" s="373"/>
      <c r="H235" s="373"/>
      <c r="I235" s="373"/>
      <c r="J235" s="127"/>
      <c r="K235" s="127"/>
      <c r="L235" s="127"/>
      <c r="M235" s="127"/>
      <c r="N235" s="127"/>
    </row>
    <row r="236" spans="1:14" ht="16.5" x14ac:dyDescent="0.25">
      <c r="A236" s="372"/>
      <c r="B236" s="372"/>
      <c r="C236" s="372"/>
      <c r="D236" s="373"/>
      <c r="E236" s="373"/>
      <c r="F236" s="373"/>
      <c r="G236" s="373"/>
      <c r="H236" s="373"/>
      <c r="I236" s="373"/>
      <c r="J236" s="127"/>
      <c r="K236" s="127"/>
      <c r="L236" s="127"/>
      <c r="M236" s="127"/>
      <c r="N236" s="127"/>
    </row>
    <row r="237" spans="1:14" ht="16.5" x14ac:dyDescent="0.25">
      <c r="A237" s="372"/>
      <c r="B237" s="372"/>
      <c r="C237" s="372"/>
      <c r="D237" s="373"/>
      <c r="E237" s="373"/>
      <c r="F237" s="373"/>
      <c r="G237" s="373"/>
      <c r="H237" s="373"/>
      <c r="I237" s="373"/>
      <c r="J237" s="127"/>
      <c r="K237" s="127"/>
      <c r="L237" s="127"/>
      <c r="M237" s="127"/>
      <c r="N237" s="127"/>
    </row>
    <row r="238" spans="1:14" ht="16.5" x14ac:dyDescent="0.25">
      <c r="A238" s="372"/>
      <c r="B238" s="372"/>
      <c r="C238" s="372"/>
      <c r="D238" s="373"/>
      <c r="E238" s="373"/>
      <c r="F238" s="373"/>
      <c r="G238" s="373"/>
      <c r="H238" s="373"/>
      <c r="I238" s="373"/>
      <c r="J238" s="127"/>
      <c r="K238" s="127"/>
      <c r="L238" s="127"/>
      <c r="M238" s="127"/>
      <c r="N238" s="127"/>
    </row>
    <row r="239" spans="1:14" ht="16.5" x14ac:dyDescent="0.25">
      <c r="A239" s="372"/>
      <c r="B239" s="372"/>
      <c r="C239" s="372"/>
      <c r="D239" s="373"/>
      <c r="E239" s="373"/>
      <c r="F239" s="373"/>
      <c r="G239" s="373"/>
      <c r="H239" s="373"/>
      <c r="I239" s="373"/>
      <c r="J239" s="127"/>
      <c r="K239" s="127"/>
      <c r="L239" s="127"/>
      <c r="M239" s="127"/>
      <c r="N239" s="127"/>
    </row>
    <row r="240" spans="1:14" ht="16.5" x14ac:dyDescent="0.25">
      <c r="A240" s="372"/>
      <c r="B240" s="372"/>
      <c r="C240" s="372"/>
      <c r="D240" s="373"/>
      <c r="E240" s="373"/>
      <c r="F240" s="373"/>
      <c r="G240" s="373"/>
      <c r="H240" s="373"/>
      <c r="I240" s="373"/>
      <c r="J240" s="127"/>
      <c r="K240" s="127"/>
      <c r="L240" s="127"/>
      <c r="M240" s="127"/>
      <c r="N240" s="127"/>
    </row>
    <row r="241" spans="1:14" ht="16.5" x14ac:dyDescent="0.25">
      <c r="A241" s="372"/>
      <c r="B241" s="372"/>
      <c r="C241" s="372"/>
      <c r="D241" s="373"/>
      <c r="E241" s="373"/>
      <c r="F241" s="373"/>
      <c r="G241" s="373"/>
      <c r="H241" s="373"/>
      <c r="I241" s="373"/>
      <c r="J241" s="127"/>
      <c r="K241" s="127"/>
      <c r="L241" s="127"/>
      <c r="M241" s="127"/>
      <c r="N241" s="127"/>
    </row>
    <row r="242" spans="1:14" ht="16.5" x14ac:dyDescent="0.25">
      <c r="A242" s="372"/>
      <c r="B242" s="372"/>
      <c r="C242" s="372"/>
      <c r="D242" s="373"/>
      <c r="E242" s="373"/>
      <c r="F242" s="373"/>
      <c r="G242" s="373"/>
      <c r="H242" s="373"/>
      <c r="I242" s="373"/>
      <c r="J242" s="127"/>
      <c r="K242" s="127"/>
      <c r="L242" s="127"/>
      <c r="M242" s="127"/>
      <c r="N242" s="127"/>
    </row>
    <row r="243" spans="1:14" ht="16.5" x14ac:dyDescent="0.25">
      <c r="A243" s="372"/>
      <c r="B243" s="372"/>
      <c r="C243" s="372"/>
      <c r="D243" s="373"/>
      <c r="E243" s="373"/>
      <c r="F243" s="373"/>
      <c r="G243" s="373"/>
      <c r="H243" s="373"/>
      <c r="I243" s="373"/>
      <c r="J243" s="127"/>
      <c r="K243" s="127"/>
      <c r="L243" s="127"/>
      <c r="M243" s="127"/>
      <c r="N243" s="127"/>
    </row>
    <row r="244" spans="1:14" ht="16.5" x14ac:dyDescent="0.25">
      <c r="A244" s="372"/>
      <c r="B244" s="372"/>
      <c r="C244" s="372"/>
      <c r="D244" s="373"/>
      <c r="E244" s="373"/>
      <c r="F244" s="373"/>
      <c r="G244" s="373"/>
      <c r="H244" s="373"/>
      <c r="I244" s="373"/>
      <c r="J244" s="127"/>
      <c r="K244" s="127"/>
      <c r="L244" s="127"/>
      <c r="M244" s="127"/>
      <c r="N244" s="127"/>
    </row>
    <row r="245" spans="1:14" ht="16.5" x14ac:dyDescent="0.25">
      <c r="A245" s="372"/>
      <c r="B245" s="372"/>
      <c r="C245" s="372"/>
      <c r="D245" s="373"/>
      <c r="E245" s="373"/>
      <c r="F245" s="373"/>
      <c r="G245" s="373"/>
      <c r="H245" s="373"/>
      <c r="I245" s="373"/>
      <c r="J245" s="127"/>
      <c r="K245" s="127"/>
      <c r="L245" s="127"/>
      <c r="M245" s="127"/>
      <c r="N245" s="127"/>
    </row>
    <row r="246" spans="1:14" ht="16.5" x14ac:dyDescent="0.25">
      <c r="A246" s="372"/>
      <c r="B246" s="372"/>
      <c r="C246" s="372"/>
      <c r="D246" s="373"/>
      <c r="E246" s="373"/>
      <c r="F246" s="373"/>
      <c r="G246" s="373"/>
      <c r="H246" s="373"/>
      <c r="I246" s="373"/>
      <c r="J246" s="127"/>
      <c r="K246" s="127"/>
      <c r="L246" s="127"/>
      <c r="M246" s="127"/>
      <c r="N246" s="127"/>
    </row>
    <row r="247" spans="1:14" ht="16.5" x14ac:dyDescent="0.25">
      <c r="A247" s="372"/>
      <c r="B247" s="372"/>
      <c r="C247" s="372"/>
      <c r="D247" s="373"/>
      <c r="E247" s="373"/>
      <c r="F247" s="373"/>
      <c r="G247" s="373"/>
      <c r="H247" s="373"/>
      <c r="I247" s="373"/>
      <c r="J247" s="127"/>
      <c r="K247" s="127"/>
      <c r="L247" s="127"/>
      <c r="M247" s="127"/>
      <c r="N247" s="127"/>
    </row>
    <row r="248" spans="1:14" ht="16.5" x14ac:dyDescent="0.25">
      <c r="A248" s="372"/>
      <c r="B248" s="372"/>
      <c r="C248" s="372"/>
      <c r="D248" s="373"/>
      <c r="E248" s="373"/>
      <c r="F248" s="373"/>
      <c r="G248" s="373"/>
      <c r="H248" s="373"/>
      <c r="I248" s="373"/>
      <c r="J248" s="127"/>
      <c r="K248" s="127"/>
      <c r="L248" s="127"/>
      <c r="M248" s="127"/>
      <c r="N248" s="127"/>
    </row>
    <row r="249" spans="1:14" ht="16.5" x14ac:dyDescent="0.25">
      <c r="A249" s="372"/>
      <c r="B249" s="372"/>
      <c r="C249" s="372"/>
      <c r="D249" s="373"/>
      <c r="E249" s="373"/>
      <c r="F249" s="373"/>
      <c r="G249" s="373"/>
      <c r="H249" s="373"/>
      <c r="I249" s="373"/>
      <c r="J249" s="127"/>
      <c r="K249" s="127"/>
      <c r="L249" s="127"/>
      <c r="M249" s="127"/>
      <c r="N249" s="127"/>
    </row>
    <row r="250" spans="1:14" ht="16.5" x14ac:dyDescent="0.25">
      <c r="A250" s="372"/>
      <c r="B250" s="372"/>
      <c r="C250" s="372"/>
      <c r="D250" s="373"/>
      <c r="E250" s="373"/>
      <c r="F250" s="373"/>
      <c r="G250" s="373"/>
      <c r="H250" s="373"/>
      <c r="I250" s="373"/>
      <c r="J250" s="127"/>
      <c r="K250" s="127"/>
      <c r="L250" s="127"/>
      <c r="M250" s="127"/>
      <c r="N250" s="127"/>
    </row>
    <row r="251" spans="1:14" ht="16.5" x14ac:dyDescent="0.25">
      <c r="A251" s="372"/>
      <c r="B251" s="372"/>
      <c r="C251" s="372"/>
      <c r="D251" s="373"/>
      <c r="E251" s="373"/>
      <c r="F251" s="373"/>
      <c r="G251" s="373"/>
      <c r="H251" s="373"/>
      <c r="I251" s="373"/>
      <c r="J251" s="127"/>
      <c r="K251" s="127"/>
      <c r="L251" s="127"/>
      <c r="M251" s="127"/>
      <c r="N251" s="127"/>
    </row>
    <row r="252" spans="1:14" ht="16.5" x14ac:dyDescent="0.25">
      <c r="A252" s="372"/>
      <c r="B252" s="372"/>
      <c r="C252" s="372"/>
      <c r="D252" s="373"/>
      <c r="E252" s="373"/>
      <c r="F252" s="373"/>
      <c r="G252" s="373"/>
      <c r="H252" s="373"/>
      <c r="I252" s="373"/>
      <c r="J252" s="127"/>
      <c r="K252" s="127"/>
      <c r="L252" s="127"/>
      <c r="M252" s="127"/>
      <c r="N252" s="127"/>
    </row>
    <row r="253" spans="1:14" ht="16.5" x14ac:dyDescent="0.25">
      <c r="A253" s="372"/>
      <c r="B253" s="372"/>
      <c r="C253" s="372"/>
      <c r="D253" s="373"/>
      <c r="E253" s="373"/>
      <c r="F253" s="373"/>
      <c r="G253" s="373"/>
      <c r="H253" s="373"/>
      <c r="I253" s="373"/>
      <c r="J253" s="127"/>
      <c r="K253" s="127"/>
      <c r="L253" s="127"/>
      <c r="M253" s="127"/>
      <c r="N253" s="127"/>
    </row>
    <row r="254" spans="1:14" ht="16.5" x14ac:dyDescent="0.25">
      <c r="A254" s="372"/>
      <c r="B254" s="372"/>
      <c r="C254" s="372"/>
      <c r="D254" s="373"/>
      <c r="E254" s="373"/>
      <c r="F254" s="373"/>
      <c r="G254" s="373"/>
      <c r="H254" s="373"/>
      <c r="I254" s="373"/>
      <c r="J254" s="127"/>
      <c r="K254" s="127"/>
      <c r="L254" s="127"/>
      <c r="M254" s="127"/>
      <c r="N254" s="127"/>
    </row>
    <row r="255" spans="1:14" ht="16.5" x14ac:dyDescent="0.25">
      <c r="A255" s="372"/>
      <c r="B255" s="372"/>
      <c r="C255" s="372"/>
      <c r="D255" s="373"/>
      <c r="E255" s="373"/>
      <c r="F255" s="373"/>
      <c r="G255" s="373"/>
      <c r="H255" s="373"/>
      <c r="I255" s="373"/>
      <c r="J255" s="127"/>
      <c r="K255" s="127"/>
      <c r="L255" s="127"/>
      <c r="M255" s="127"/>
      <c r="N255" s="127"/>
    </row>
    <row r="256" spans="1:14" ht="16.5" x14ac:dyDescent="0.25">
      <c r="A256" s="372"/>
      <c r="B256" s="372"/>
      <c r="C256" s="372"/>
      <c r="D256" s="373"/>
      <c r="E256" s="373"/>
      <c r="F256" s="373"/>
      <c r="G256" s="373"/>
      <c r="H256" s="373"/>
      <c r="I256" s="373"/>
      <c r="J256" s="127"/>
      <c r="K256" s="127"/>
      <c r="L256" s="127"/>
      <c r="M256" s="127"/>
      <c r="N256" s="127"/>
    </row>
    <row r="257" spans="1:14" ht="16.5" x14ac:dyDescent="0.25">
      <c r="A257" s="372"/>
      <c r="B257" s="372"/>
      <c r="C257" s="372"/>
      <c r="D257" s="373"/>
      <c r="E257" s="373"/>
      <c r="F257" s="373"/>
      <c r="G257" s="373"/>
      <c r="H257" s="373"/>
      <c r="I257" s="373"/>
      <c r="J257" s="127"/>
      <c r="K257" s="127"/>
      <c r="L257" s="127"/>
      <c r="M257" s="127"/>
      <c r="N257" s="127"/>
    </row>
    <row r="258" spans="1:14" ht="16.5" x14ac:dyDescent="0.25">
      <c r="A258" s="372"/>
      <c r="B258" s="372"/>
      <c r="C258" s="372"/>
      <c r="D258" s="373"/>
      <c r="E258" s="373"/>
      <c r="F258" s="373"/>
      <c r="G258" s="373"/>
      <c r="H258" s="373"/>
      <c r="I258" s="373"/>
      <c r="J258" s="127"/>
      <c r="K258" s="127"/>
      <c r="L258" s="127"/>
      <c r="M258" s="127"/>
      <c r="N258" s="127"/>
    </row>
    <row r="259" spans="1:14" ht="16.5" x14ac:dyDescent="0.25">
      <c r="A259" s="372"/>
      <c r="B259" s="372"/>
      <c r="C259" s="372"/>
      <c r="D259" s="373"/>
      <c r="E259" s="373"/>
      <c r="F259" s="373"/>
      <c r="G259" s="373"/>
      <c r="H259" s="373"/>
      <c r="I259" s="373"/>
      <c r="J259" s="127"/>
      <c r="K259" s="127"/>
      <c r="L259" s="127"/>
      <c r="M259" s="127"/>
      <c r="N259" s="127"/>
    </row>
    <row r="260" spans="1:14" ht="16.5" x14ac:dyDescent="0.25">
      <c r="A260" s="372"/>
      <c r="B260" s="372"/>
      <c r="C260" s="372"/>
      <c r="D260" s="373"/>
      <c r="E260" s="373"/>
      <c r="F260" s="373"/>
      <c r="G260" s="373"/>
      <c r="H260" s="373"/>
      <c r="I260" s="373"/>
      <c r="J260" s="127"/>
      <c r="K260" s="127"/>
      <c r="L260" s="127"/>
      <c r="M260" s="127"/>
      <c r="N260" s="127"/>
    </row>
    <row r="261" spans="1:14" ht="16.5" x14ac:dyDescent="0.25">
      <c r="A261" s="372"/>
      <c r="B261" s="372"/>
      <c r="C261" s="372"/>
      <c r="D261" s="373"/>
      <c r="E261" s="373"/>
      <c r="F261" s="373"/>
      <c r="G261" s="373"/>
      <c r="H261" s="373"/>
      <c r="I261" s="373"/>
      <c r="J261" s="127"/>
      <c r="K261" s="127"/>
      <c r="L261" s="127"/>
      <c r="M261" s="127"/>
      <c r="N261" s="127"/>
    </row>
    <row r="262" spans="1:14" ht="16.5" x14ac:dyDescent="0.25">
      <c r="A262" s="372"/>
      <c r="B262" s="372"/>
      <c r="C262" s="372"/>
      <c r="D262" s="373"/>
      <c r="E262" s="373"/>
      <c r="F262" s="373"/>
      <c r="G262" s="373"/>
      <c r="H262" s="373"/>
      <c r="I262" s="373"/>
      <c r="J262" s="127"/>
      <c r="K262" s="127"/>
      <c r="L262" s="127"/>
      <c r="M262" s="127"/>
      <c r="N262" s="127"/>
    </row>
    <row r="263" spans="1:14" ht="16.5" x14ac:dyDescent="0.25">
      <c r="A263" s="372"/>
      <c r="B263" s="372"/>
      <c r="C263" s="372"/>
      <c r="D263" s="373"/>
      <c r="E263" s="373"/>
      <c r="F263" s="373"/>
      <c r="G263" s="373"/>
      <c r="H263" s="373"/>
      <c r="I263" s="373"/>
      <c r="J263" s="127"/>
      <c r="K263" s="127"/>
      <c r="L263" s="127"/>
      <c r="M263" s="127"/>
      <c r="N263" s="127"/>
    </row>
    <row r="264" spans="1:14" ht="16.5" x14ac:dyDescent="0.25">
      <c r="A264" s="372"/>
      <c r="B264" s="372"/>
      <c r="C264" s="372"/>
      <c r="D264" s="373"/>
      <c r="E264" s="373"/>
      <c r="F264" s="373"/>
      <c r="G264" s="373"/>
      <c r="H264" s="373"/>
      <c r="I264" s="373"/>
      <c r="J264" s="127"/>
      <c r="K264" s="127"/>
      <c r="L264" s="127"/>
      <c r="M264" s="127"/>
      <c r="N264" s="127"/>
    </row>
    <row r="265" spans="1:14" ht="16.5" x14ac:dyDescent="0.25">
      <c r="A265" s="372"/>
      <c r="B265" s="372"/>
      <c r="C265" s="372"/>
      <c r="D265" s="373"/>
      <c r="E265" s="373"/>
      <c r="F265" s="373"/>
      <c r="G265" s="373"/>
      <c r="H265" s="373"/>
      <c r="I265" s="373"/>
      <c r="J265" s="127"/>
      <c r="K265" s="127"/>
      <c r="L265" s="127"/>
      <c r="M265" s="127"/>
      <c r="N265" s="127"/>
    </row>
    <row r="266" spans="1:14" ht="16.5" x14ac:dyDescent="0.25">
      <c r="A266" s="372"/>
      <c r="B266" s="372"/>
      <c r="C266" s="372"/>
      <c r="D266" s="373"/>
      <c r="E266" s="373"/>
      <c r="F266" s="373"/>
      <c r="G266" s="373"/>
      <c r="H266" s="373"/>
      <c r="I266" s="373"/>
      <c r="J266" s="127"/>
      <c r="K266" s="127"/>
      <c r="L266" s="127"/>
      <c r="M266" s="127"/>
      <c r="N266" s="127"/>
    </row>
    <row r="267" spans="1:14" ht="16.5" x14ac:dyDescent="0.25">
      <c r="A267" s="372"/>
      <c r="B267" s="372"/>
      <c r="C267" s="372"/>
      <c r="D267" s="373"/>
      <c r="E267" s="373"/>
      <c r="F267" s="373"/>
      <c r="G267" s="373"/>
      <c r="H267" s="373"/>
      <c r="I267" s="373"/>
      <c r="J267" s="127"/>
      <c r="K267" s="127"/>
      <c r="L267" s="127"/>
      <c r="M267" s="127"/>
      <c r="N267" s="127"/>
    </row>
    <row r="268" spans="1:14" ht="16.5" x14ac:dyDescent="0.25">
      <c r="A268" s="372"/>
      <c r="B268" s="372"/>
      <c r="C268" s="372"/>
      <c r="D268" s="373"/>
      <c r="E268" s="373"/>
      <c r="F268" s="373"/>
      <c r="G268" s="373"/>
      <c r="H268" s="373"/>
      <c r="I268" s="373"/>
      <c r="J268" s="127"/>
      <c r="K268" s="127"/>
      <c r="L268" s="127"/>
      <c r="M268" s="127"/>
      <c r="N268" s="127"/>
    </row>
    <row r="269" spans="1:14" ht="16.5" x14ac:dyDescent="0.25">
      <c r="A269" s="372"/>
      <c r="B269" s="372"/>
      <c r="C269" s="372"/>
      <c r="D269" s="373"/>
      <c r="E269" s="373"/>
      <c r="F269" s="373"/>
      <c r="G269" s="373"/>
      <c r="H269" s="373"/>
      <c r="I269" s="373"/>
      <c r="J269" s="127"/>
      <c r="K269" s="127"/>
      <c r="L269" s="127"/>
      <c r="M269" s="127"/>
      <c r="N269" s="127"/>
    </row>
    <row r="270" spans="1:14" ht="16.5" x14ac:dyDescent="0.25">
      <c r="A270" s="372"/>
      <c r="B270" s="372"/>
      <c r="C270" s="372"/>
      <c r="D270" s="373"/>
      <c r="E270" s="373"/>
      <c r="F270" s="373"/>
      <c r="G270" s="373"/>
      <c r="H270" s="373"/>
      <c r="I270" s="373"/>
      <c r="J270" s="127"/>
      <c r="K270" s="127"/>
      <c r="L270" s="127"/>
      <c r="M270" s="127"/>
      <c r="N270" s="127"/>
    </row>
    <row r="271" spans="1:14" ht="16.5" x14ac:dyDescent="0.25">
      <c r="A271" s="372"/>
      <c r="B271" s="372"/>
      <c r="C271" s="372"/>
      <c r="D271" s="373"/>
      <c r="E271" s="373"/>
      <c r="F271" s="373"/>
      <c r="G271" s="373"/>
      <c r="H271" s="373"/>
      <c r="I271" s="373"/>
      <c r="J271" s="127"/>
      <c r="K271" s="127"/>
      <c r="L271" s="127"/>
      <c r="M271" s="127"/>
      <c r="N271" s="127"/>
    </row>
    <row r="272" spans="1:14" ht="16.5" x14ac:dyDescent="0.25">
      <c r="A272" s="372"/>
      <c r="B272" s="372"/>
      <c r="C272" s="372"/>
      <c r="D272" s="373"/>
      <c r="E272" s="373"/>
      <c r="F272" s="373"/>
      <c r="G272" s="373"/>
      <c r="H272" s="373"/>
      <c r="I272" s="373"/>
      <c r="J272" s="127"/>
      <c r="K272" s="127"/>
      <c r="L272" s="127"/>
      <c r="M272" s="127"/>
      <c r="N272" s="127"/>
    </row>
    <row r="273" spans="1:14" ht="16.5" x14ac:dyDescent="0.25">
      <c r="A273" s="372"/>
      <c r="B273" s="372"/>
      <c r="C273" s="372"/>
      <c r="D273" s="373"/>
      <c r="E273" s="373"/>
      <c r="F273" s="373"/>
      <c r="G273" s="373"/>
      <c r="H273" s="373"/>
      <c r="I273" s="373"/>
      <c r="J273" s="127"/>
      <c r="K273" s="127"/>
      <c r="L273" s="127"/>
      <c r="M273" s="127"/>
      <c r="N273" s="127"/>
    </row>
    <row r="274" spans="1:14" ht="16.5" x14ac:dyDescent="0.25">
      <c r="A274" s="372"/>
      <c r="B274" s="372"/>
      <c r="C274" s="372"/>
      <c r="D274" s="373"/>
      <c r="E274" s="373"/>
      <c r="F274" s="373"/>
      <c r="G274" s="373"/>
      <c r="H274" s="373"/>
      <c r="I274" s="373"/>
      <c r="J274" s="127"/>
      <c r="K274" s="127"/>
      <c r="L274" s="127"/>
      <c r="M274" s="127"/>
      <c r="N274" s="127"/>
    </row>
    <row r="275" spans="1:14" ht="16.5" x14ac:dyDescent="0.25">
      <c r="A275" s="372"/>
      <c r="B275" s="372"/>
      <c r="C275" s="372"/>
      <c r="D275" s="373"/>
      <c r="E275" s="373"/>
      <c r="F275" s="373"/>
      <c r="G275" s="373"/>
      <c r="H275" s="373"/>
      <c r="I275" s="373"/>
      <c r="J275" s="127"/>
      <c r="K275" s="127"/>
      <c r="L275" s="127"/>
      <c r="M275" s="127"/>
      <c r="N275" s="127"/>
    </row>
    <row r="276" spans="1:14" ht="16.5" x14ac:dyDescent="0.25">
      <c r="A276" s="372"/>
      <c r="B276" s="372"/>
      <c r="C276" s="372"/>
      <c r="D276" s="373"/>
      <c r="E276" s="373"/>
      <c r="F276" s="373"/>
      <c r="G276" s="373"/>
      <c r="H276" s="373"/>
      <c r="I276" s="373"/>
      <c r="J276" s="127"/>
      <c r="K276" s="127"/>
      <c r="L276" s="127"/>
      <c r="M276" s="127"/>
      <c r="N276" s="127"/>
    </row>
    <row r="277" spans="1:14" ht="16.5" x14ac:dyDescent="0.25">
      <c r="A277" s="372"/>
      <c r="B277" s="372"/>
      <c r="C277" s="372"/>
      <c r="D277" s="373"/>
      <c r="E277" s="373"/>
      <c r="F277" s="373"/>
      <c r="G277" s="373"/>
      <c r="H277" s="373"/>
      <c r="I277" s="373"/>
      <c r="J277" s="127"/>
      <c r="K277" s="127"/>
      <c r="L277" s="127"/>
      <c r="M277" s="127"/>
      <c r="N277" s="127"/>
    </row>
    <row r="278" spans="1:14" ht="16.5" x14ac:dyDescent="0.25">
      <c r="A278" s="372"/>
      <c r="B278" s="372"/>
      <c r="C278" s="372"/>
      <c r="D278" s="373"/>
      <c r="E278" s="373"/>
      <c r="F278" s="373"/>
      <c r="G278" s="373"/>
      <c r="H278" s="373"/>
      <c r="I278" s="373"/>
      <c r="J278" s="127"/>
      <c r="K278" s="127"/>
      <c r="L278" s="127"/>
      <c r="M278" s="127"/>
      <c r="N278" s="127"/>
    </row>
    <row r="279" spans="1:14" ht="16.5" x14ac:dyDescent="0.25">
      <c r="A279" s="372"/>
      <c r="B279" s="372"/>
      <c r="C279" s="372"/>
      <c r="D279" s="373"/>
      <c r="E279" s="373"/>
      <c r="F279" s="373"/>
      <c r="G279" s="373"/>
      <c r="H279" s="373"/>
      <c r="I279" s="373"/>
      <c r="J279" s="127"/>
      <c r="K279" s="127"/>
      <c r="L279" s="127"/>
      <c r="M279" s="127"/>
      <c r="N279" s="127"/>
    </row>
    <row r="280" spans="1:14" ht="16.5" x14ac:dyDescent="0.25">
      <c r="A280" s="372"/>
      <c r="B280" s="372"/>
      <c r="C280" s="372"/>
      <c r="D280" s="373"/>
      <c r="E280" s="373"/>
      <c r="F280" s="373"/>
      <c r="G280" s="373"/>
      <c r="H280" s="373"/>
      <c r="I280" s="373"/>
      <c r="J280" s="127"/>
      <c r="K280" s="127"/>
      <c r="L280" s="127"/>
      <c r="M280" s="127"/>
      <c r="N280" s="127"/>
    </row>
    <row r="281" spans="1:14" ht="16.5" x14ac:dyDescent="0.25">
      <c r="A281" s="372"/>
      <c r="B281" s="372"/>
      <c r="C281" s="372"/>
      <c r="D281" s="373"/>
      <c r="E281" s="373"/>
      <c r="F281" s="373"/>
      <c r="G281" s="373"/>
      <c r="H281" s="373"/>
      <c r="I281" s="373"/>
      <c r="J281" s="127"/>
      <c r="K281" s="127"/>
      <c r="L281" s="127"/>
      <c r="M281" s="127"/>
      <c r="N281" s="127"/>
    </row>
    <row r="282" spans="1:14" ht="16.5" x14ac:dyDescent="0.25">
      <c r="A282" s="372"/>
      <c r="B282" s="372"/>
      <c r="C282" s="372"/>
      <c r="D282" s="373"/>
      <c r="E282" s="373"/>
      <c r="F282" s="373"/>
      <c r="G282" s="373"/>
      <c r="H282" s="373"/>
      <c r="I282" s="373"/>
      <c r="J282" s="127"/>
      <c r="K282" s="127"/>
      <c r="L282" s="127"/>
      <c r="M282" s="127"/>
      <c r="N282" s="127"/>
    </row>
    <row r="283" spans="1:14" ht="16.5" x14ac:dyDescent="0.25">
      <c r="A283" s="372"/>
      <c r="B283" s="372"/>
      <c r="C283" s="372"/>
      <c r="D283" s="373"/>
      <c r="E283" s="373"/>
      <c r="F283" s="373"/>
      <c r="G283" s="373"/>
      <c r="H283" s="373"/>
      <c r="I283" s="373"/>
      <c r="J283" s="127"/>
      <c r="K283" s="127"/>
      <c r="L283" s="127"/>
      <c r="M283" s="127"/>
      <c r="N283" s="127"/>
    </row>
    <row r="284" spans="1:14" ht="16.5" x14ac:dyDescent="0.25">
      <c r="A284" s="372"/>
      <c r="B284" s="372"/>
      <c r="C284" s="372"/>
      <c r="D284" s="373"/>
      <c r="E284" s="373"/>
      <c r="F284" s="373"/>
      <c r="G284" s="373"/>
      <c r="H284" s="373"/>
      <c r="I284" s="373"/>
      <c r="J284" s="127"/>
      <c r="K284" s="127"/>
      <c r="L284" s="127"/>
      <c r="M284" s="127"/>
      <c r="N284" s="127"/>
    </row>
    <row r="285" spans="1:14" ht="16.5" x14ac:dyDescent="0.25">
      <c r="A285" s="372"/>
      <c r="B285" s="372"/>
      <c r="C285" s="372"/>
      <c r="D285" s="373"/>
      <c r="E285" s="373"/>
      <c r="F285" s="373"/>
      <c r="G285" s="373"/>
      <c r="H285" s="373"/>
      <c r="I285" s="373"/>
      <c r="J285" s="127"/>
      <c r="K285" s="127"/>
      <c r="L285" s="127"/>
      <c r="M285" s="127"/>
      <c r="N285" s="127"/>
    </row>
    <row r="286" spans="1:14" ht="16.5" x14ac:dyDescent="0.25">
      <c r="A286" s="372"/>
      <c r="B286" s="372"/>
      <c r="C286" s="372"/>
      <c r="D286" s="373"/>
      <c r="E286" s="373"/>
      <c r="F286" s="373"/>
      <c r="G286" s="373"/>
      <c r="H286" s="373"/>
      <c r="I286" s="373"/>
      <c r="J286" s="127"/>
      <c r="K286" s="127"/>
      <c r="L286" s="127"/>
      <c r="M286" s="127"/>
      <c r="N286" s="127"/>
    </row>
    <row r="287" spans="1:14" ht="16.5" x14ac:dyDescent="0.25">
      <c r="A287" s="372"/>
      <c r="B287" s="372"/>
      <c r="C287" s="372"/>
      <c r="D287" s="373"/>
      <c r="E287" s="373"/>
      <c r="F287" s="373"/>
      <c r="G287" s="373"/>
      <c r="H287" s="373"/>
      <c r="I287" s="373"/>
      <c r="J287" s="127"/>
      <c r="K287" s="127"/>
      <c r="L287" s="127"/>
      <c r="M287" s="127"/>
      <c r="N287" s="127"/>
    </row>
    <row r="288" spans="1:14" ht="16.5" x14ac:dyDescent="0.25">
      <c r="A288" s="372"/>
      <c r="B288" s="372"/>
      <c r="C288" s="372"/>
      <c r="D288" s="373"/>
      <c r="E288" s="373"/>
      <c r="F288" s="373"/>
      <c r="G288" s="373"/>
      <c r="H288" s="373"/>
      <c r="I288" s="373"/>
      <c r="J288" s="127"/>
      <c r="K288" s="127"/>
      <c r="L288" s="127"/>
      <c r="M288" s="127"/>
      <c r="N288" s="127"/>
    </row>
    <row r="289" spans="1:14" ht="16.5" x14ac:dyDescent="0.25">
      <c r="A289" s="372"/>
      <c r="B289" s="372"/>
      <c r="C289" s="372"/>
      <c r="D289" s="373"/>
      <c r="E289" s="373"/>
      <c r="F289" s="373"/>
      <c r="G289" s="373"/>
      <c r="H289" s="373"/>
      <c r="I289" s="373"/>
      <c r="J289" s="127"/>
      <c r="K289" s="127"/>
      <c r="L289" s="127"/>
      <c r="M289" s="127"/>
      <c r="N289" s="127"/>
    </row>
    <row r="290" spans="1:14" ht="16.5" x14ac:dyDescent="0.25">
      <c r="A290" s="372"/>
      <c r="B290" s="372"/>
      <c r="C290" s="372"/>
      <c r="D290" s="373"/>
      <c r="E290" s="373"/>
      <c r="F290" s="373"/>
      <c r="G290" s="373"/>
      <c r="H290" s="373"/>
      <c r="I290" s="373"/>
      <c r="J290" s="127"/>
      <c r="K290" s="127"/>
      <c r="L290" s="127"/>
      <c r="M290" s="127"/>
      <c r="N290" s="127"/>
    </row>
    <row r="291" spans="1:14" ht="16.5" x14ac:dyDescent="0.25">
      <c r="A291" s="372"/>
      <c r="B291" s="372"/>
      <c r="C291" s="372"/>
      <c r="D291" s="373"/>
      <c r="E291" s="373"/>
      <c r="F291" s="373"/>
      <c r="G291" s="373"/>
      <c r="H291" s="373"/>
      <c r="I291" s="373"/>
      <c r="J291" s="127"/>
      <c r="K291" s="127"/>
      <c r="L291" s="127"/>
      <c r="M291" s="127"/>
      <c r="N291" s="127"/>
    </row>
    <row r="292" spans="1:14" ht="16.5" x14ac:dyDescent="0.25">
      <c r="A292" s="372"/>
      <c r="B292" s="372"/>
      <c r="C292" s="372"/>
      <c r="D292" s="373"/>
      <c r="E292" s="373"/>
      <c r="F292" s="373"/>
      <c r="G292" s="373"/>
      <c r="H292" s="373"/>
      <c r="I292" s="373"/>
      <c r="J292" s="127"/>
      <c r="K292" s="127"/>
      <c r="L292" s="127"/>
      <c r="M292" s="127"/>
      <c r="N292" s="127"/>
    </row>
    <row r="293" spans="1:14" ht="16.5" x14ac:dyDescent="0.25">
      <c r="A293" s="372"/>
      <c r="B293" s="372"/>
      <c r="C293" s="372"/>
      <c r="D293" s="373"/>
      <c r="E293" s="373"/>
      <c r="F293" s="373"/>
      <c r="G293" s="373"/>
      <c r="H293" s="373"/>
      <c r="I293" s="373"/>
      <c r="J293" s="127"/>
      <c r="K293" s="127"/>
      <c r="L293" s="127"/>
      <c r="M293" s="127"/>
      <c r="N293" s="127"/>
    </row>
    <row r="294" spans="1:14" ht="16.5" x14ac:dyDescent="0.25">
      <c r="A294" s="372"/>
      <c r="B294" s="372"/>
      <c r="C294" s="372"/>
      <c r="D294" s="373"/>
      <c r="E294" s="373"/>
      <c r="F294" s="373"/>
      <c r="G294" s="373"/>
      <c r="H294" s="373"/>
      <c r="I294" s="373"/>
      <c r="J294" s="127"/>
      <c r="K294" s="127"/>
      <c r="L294" s="127"/>
      <c r="M294" s="127"/>
      <c r="N294" s="127"/>
    </row>
    <row r="295" spans="1:14" ht="16.5" x14ac:dyDescent="0.25">
      <c r="A295" s="372"/>
      <c r="B295" s="372"/>
      <c r="C295" s="372"/>
      <c r="D295" s="373"/>
      <c r="E295" s="373"/>
      <c r="F295" s="373"/>
      <c r="G295" s="373"/>
      <c r="H295" s="373"/>
      <c r="I295" s="373"/>
      <c r="J295" s="127"/>
      <c r="K295" s="127"/>
      <c r="L295" s="127"/>
      <c r="M295" s="127"/>
      <c r="N295" s="127"/>
    </row>
    <row r="296" spans="1:14" ht="16.5" x14ac:dyDescent="0.25">
      <c r="A296" s="372"/>
      <c r="B296" s="372"/>
      <c r="C296" s="372"/>
      <c r="D296" s="373"/>
      <c r="E296" s="373"/>
      <c r="F296" s="373"/>
      <c r="G296" s="373"/>
      <c r="H296" s="373"/>
      <c r="I296" s="373"/>
      <c r="J296" s="127"/>
      <c r="K296" s="127"/>
      <c r="L296" s="127"/>
      <c r="M296" s="127"/>
      <c r="N296" s="127"/>
    </row>
    <row r="297" spans="1:14" ht="16.5" x14ac:dyDescent="0.25">
      <c r="A297" s="372"/>
      <c r="B297" s="372"/>
      <c r="C297" s="372"/>
      <c r="D297" s="373"/>
      <c r="E297" s="373"/>
      <c r="F297" s="373"/>
      <c r="G297" s="373"/>
      <c r="H297" s="373"/>
      <c r="I297" s="373"/>
      <c r="J297" s="127"/>
      <c r="K297" s="127"/>
      <c r="L297" s="127"/>
      <c r="M297" s="127"/>
      <c r="N297" s="127"/>
    </row>
    <row r="298" spans="1:14" ht="16.5" x14ac:dyDescent="0.25">
      <c r="A298" s="372"/>
      <c r="B298" s="372"/>
      <c r="C298" s="372"/>
      <c r="D298" s="373"/>
      <c r="E298" s="373"/>
      <c r="F298" s="373"/>
      <c r="G298" s="373"/>
      <c r="H298" s="373"/>
      <c r="I298" s="373"/>
      <c r="J298" s="127"/>
      <c r="K298" s="127"/>
      <c r="L298" s="127"/>
      <c r="M298" s="127"/>
      <c r="N298" s="127"/>
    </row>
    <row r="299" spans="1:14" ht="16.5" x14ac:dyDescent="0.25">
      <c r="A299" s="372"/>
      <c r="B299" s="372"/>
      <c r="C299" s="372"/>
      <c r="D299" s="373"/>
      <c r="E299" s="373"/>
      <c r="F299" s="373"/>
      <c r="G299" s="373"/>
      <c r="H299" s="373"/>
      <c r="I299" s="373"/>
      <c r="J299" s="127"/>
      <c r="K299" s="127"/>
      <c r="L299" s="127"/>
      <c r="M299" s="127"/>
      <c r="N299" s="127"/>
    </row>
    <row r="300" spans="1:14" ht="16.5" x14ac:dyDescent="0.25">
      <c r="A300" s="372"/>
      <c r="B300" s="372"/>
      <c r="C300" s="372"/>
      <c r="D300" s="373"/>
      <c r="E300" s="373"/>
      <c r="F300" s="373"/>
      <c r="G300" s="373"/>
      <c r="H300" s="373"/>
      <c r="I300" s="373"/>
      <c r="J300" s="127"/>
      <c r="K300" s="127"/>
      <c r="L300" s="127"/>
      <c r="M300" s="127"/>
      <c r="N300" s="127"/>
    </row>
    <row r="301" spans="1:14" ht="16.5" x14ac:dyDescent="0.25">
      <c r="A301" s="372"/>
      <c r="B301" s="372"/>
      <c r="C301" s="372"/>
      <c r="D301" s="373"/>
      <c r="E301" s="373"/>
      <c r="F301" s="373"/>
      <c r="G301" s="373"/>
      <c r="H301" s="373"/>
      <c r="I301" s="373"/>
      <c r="J301" s="127"/>
      <c r="K301" s="127"/>
      <c r="L301" s="127"/>
      <c r="M301" s="127"/>
      <c r="N301" s="127"/>
    </row>
    <row r="302" spans="1:14" ht="16.5" x14ac:dyDescent="0.25">
      <c r="A302" s="372"/>
      <c r="B302" s="372"/>
      <c r="C302" s="372"/>
      <c r="D302" s="373"/>
      <c r="E302" s="373"/>
      <c r="F302" s="373"/>
      <c r="G302" s="373"/>
      <c r="H302" s="373"/>
      <c r="I302" s="373"/>
      <c r="J302" s="127"/>
      <c r="K302" s="127"/>
      <c r="L302" s="127"/>
      <c r="M302" s="127"/>
      <c r="N302" s="127"/>
    </row>
    <row r="303" spans="1:14" ht="16.5" x14ac:dyDescent="0.25">
      <c r="A303" s="372"/>
      <c r="B303" s="372"/>
      <c r="C303" s="372"/>
      <c r="D303" s="373"/>
      <c r="E303" s="373"/>
      <c r="F303" s="373"/>
      <c r="G303" s="373"/>
      <c r="H303" s="373"/>
      <c r="I303" s="373"/>
      <c r="J303" s="127"/>
      <c r="K303" s="127"/>
      <c r="L303" s="127"/>
      <c r="M303" s="127"/>
      <c r="N303" s="127"/>
    </row>
    <row r="304" spans="1:14" ht="16.5" x14ac:dyDescent="0.25">
      <c r="A304" s="372"/>
      <c r="B304" s="372"/>
      <c r="C304" s="372"/>
      <c r="D304" s="373"/>
      <c r="E304" s="373"/>
      <c r="F304" s="373"/>
      <c r="G304" s="373"/>
      <c r="H304" s="373"/>
      <c r="I304" s="373"/>
      <c r="J304" s="127"/>
      <c r="K304" s="127"/>
      <c r="L304" s="127"/>
      <c r="M304" s="127"/>
      <c r="N304" s="127"/>
    </row>
    <row r="305" spans="1:14" ht="16.5" x14ac:dyDescent="0.25">
      <c r="A305" s="372"/>
      <c r="B305" s="372"/>
      <c r="C305" s="372"/>
      <c r="D305" s="373"/>
      <c r="E305" s="373"/>
      <c r="F305" s="373"/>
      <c r="G305" s="373"/>
      <c r="H305" s="373"/>
      <c r="I305" s="373"/>
      <c r="J305" s="127"/>
      <c r="K305" s="127"/>
      <c r="L305" s="127"/>
      <c r="M305" s="127"/>
      <c r="N305" s="127"/>
    </row>
    <row r="306" spans="1:14" ht="16.5" x14ac:dyDescent="0.25">
      <c r="A306" s="372"/>
      <c r="B306" s="372"/>
      <c r="C306" s="372"/>
      <c r="D306" s="373"/>
      <c r="E306" s="373"/>
      <c r="F306" s="373"/>
      <c r="G306" s="373"/>
      <c r="H306" s="373"/>
      <c r="I306" s="373"/>
      <c r="J306" s="127"/>
      <c r="K306" s="127"/>
      <c r="L306" s="127"/>
      <c r="M306" s="127"/>
      <c r="N306" s="127"/>
    </row>
    <row r="307" spans="1:14" ht="16.5" x14ac:dyDescent="0.25">
      <c r="A307" s="372"/>
      <c r="B307" s="372"/>
      <c r="C307" s="372"/>
      <c r="D307" s="373"/>
      <c r="E307" s="373"/>
      <c r="F307" s="373"/>
      <c r="G307" s="373"/>
      <c r="H307" s="373"/>
      <c r="I307" s="373"/>
      <c r="J307" s="127"/>
      <c r="K307" s="127"/>
      <c r="L307" s="127"/>
      <c r="M307" s="127"/>
      <c r="N307" s="127"/>
    </row>
    <row r="308" spans="1:14" ht="16.5" x14ac:dyDescent="0.25">
      <c r="A308" s="372"/>
      <c r="B308" s="372"/>
      <c r="C308" s="372"/>
      <c r="D308" s="373"/>
      <c r="E308" s="373"/>
      <c r="F308" s="373"/>
      <c r="G308" s="373"/>
      <c r="H308" s="373"/>
      <c r="I308" s="373"/>
      <c r="J308" s="127"/>
      <c r="K308" s="127"/>
      <c r="L308" s="127"/>
      <c r="M308" s="127"/>
      <c r="N308" s="127"/>
    </row>
    <row r="309" spans="1:14" ht="16.5" x14ac:dyDescent="0.25">
      <c r="A309" s="372"/>
      <c r="B309" s="372"/>
      <c r="C309" s="372"/>
      <c r="D309" s="373"/>
      <c r="E309" s="373"/>
      <c r="F309" s="373"/>
      <c r="G309" s="373"/>
      <c r="H309" s="373"/>
      <c r="I309" s="373"/>
      <c r="J309" s="127"/>
      <c r="K309" s="127"/>
      <c r="L309" s="127"/>
      <c r="M309" s="127"/>
      <c r="N309" s="127"/>
    </row>
    <row r="310" spans="1:14" ht="16.5" x14ac:dyDescent="0.25">
      <c r="A310" s="372"/>
      <c r="B310" s="372"/>
      <c r="C310" s="372"/>
      <c r="D310" s="373"/>
      <c r="E310" s="373"/>
      <c r="F310" s="373"/>
      <c r="G310" s="373"/>
      <c r="H310" s="373"/>
      <c r="I310" s="373"/>
      <c r="J310" s="127"/>
      <c r="K310" s="127"/>
      <c r="L310" s="127"/>
      <c r="M310" s="127"/>
      <c r="N310" s="127"/>
    </row>
    <row r="311" spans="1:14" ht="16.5" x14ac:dyDescent="0.25">
      <c r="A311" s="372"/>
      <c r="B311" s="372"/>
      <c r="C311" s="372"/>
      <c r="D311" s="373"/>
      <c r="E311" s="373"/>
      <c r="F311" s="373"/>
      <c r="G311" s="373"/>
      <c r="H311" s="373"/>
      <c r="I311" s="373"/>
      <c r="J311" s="127"/>
      <c r="K311" s="127"/>
      <c r="L311" s="127"/>
      <c r="M311" s="127"/>
      <c r="N311" s="127"/>
    </row>
    <row r="312" spans="1:14" ht="16.5" x14ac:dyDescent="0.25">
      <c r="A312" s="372"/>
      <c r="B312" s="372"/>
      <c r="C312" s="372"/>
      <c r="D312" s="373"/>
      <c r="E312" s="373"/>
      <c r="F312" s="373"/>
      <c r="G312" s="373"/>
      <c r="H312" s="373"/>
      <c r="I312" s="373"/>
      <c r="J312" s="127"/>
      <c r="K312" s="127"/>
      <c r="L312" s="127"/>
      <c r="M312" s="127"/>
      <c r="N312" s="127"/>
    </row>
    <row r="313" spans="1:14" ht="16.5" x14ac:dyDescent="0.25">
      <c r="A313" s="372"/>
      <c r="B313" s="372"/>
      <c r="C313" s="372"/>
      <c r="D313" s="373"/>
      <c r="E313" s="373"/>
      <c r="F313" s="373"/>
      <c r="G313" s="373"/>
      <c r="H313" s="373"/>
      <c r="I313" s="373"/>
      <c r="J313" s="127"/>
      <c r="K313" s="127"/>
      <c r="L313" s="127"/>
      <c r="M313" s="127"/>
      <c r="N313" s="127"/>
    </row>
    <row r="314" spans="1:14" ht="16.5" x14ac:dyDescent="0.25">
      <c r="A314" s="372"/>
      <c r="B314" s="372"/>
      <c r="C314" s="372"/>
      <c r="D314" s="373"/>
      <c r="E314" s="373"/>
      <c r="F314" s="373"/>
      <c r="G314" s="373"/>
      <c r="H314" s="373"/>
      <c r="I314" s="373"/>
      <c r="J314" s="127"/>
      <c r="K314" s="127"/>
      <c r="L314" s="127"/>
      <c r="M314" s="127"/>
      <c r="N314" s="127"/>
    </row>
    <row r="315" spans="1:14" ht="16.5" x14ac:dyDescent="0.25">
      <c r="A315" s="372"/>
      <c r="B315" s="372"/>
      <c r="C315" s="372"/>
      <c r="D315" s="373"/>
      <c r="E315" s="373"/>
      <c r="F315" s="373"/>
      <c r="G315" s="373"/>
      <c r="H315" s="373"/>
      <c r="I315" s="373"/>
      <c r="J315" s="127"/>
      <c r="K315" s="127"/>
      <c r="L315" s="127"/>
      <c r="M315" s="127"/>
      <c r="N315" s="127"/>
    </row>
    <row r="316" spans="1:14" ht="16.5" x14ac:dyDescent="0.25">
      <c r="A316" s="372"/>
      <c r="B316" s="372"/>
      <c r="C316" s="372"/>
      <c r="D316" s="373"/>
      <c r="E316" s="373"/>
      <c r="F316" s="373"/>
      <c r="G316" s="373"/>
      <c r="H316" s="373"/>
      <c r="I316" s="373"/>
      <c r="J316" s="127"/>
      <c r="K316" s="127"/>
      <c r="L316" s="127"/>
      <c r="M316" s="127"/>
      <c r="N316" s="127"/>
    </row>
    <row r="317" spans="1:14" ht="16.5" x14ac:dyDescent="0.25">
      <c r="A317" s="372"/>
      <c r="B317" s="372"/>
      <c r="C317" s="372"/>
      <c r="D317" s="373"/>
      <c r="E317" s="373"/>
      <c r="F317" s="373"/>
      <c r="G317" s="373"/>
      <c r="H317" s="373"/>
      <c r="I317" s="373"/>
      <c r="J317" s="127"/>
      <c r="K317" s="127"/>
      <c r="L317" s="127"/>
      <c r="M317" s="127"/>
      <c r="N317" s="127"/>
    </row>
    <row r="318" spans="1:14" ht="16.5" x14ac:dyDescent="0.25">
      <c r="A318" s="372"/>
      <c r="B318" s="372"/>
      <c r="C318" s="372"/>
      <c r="D318" s="373"/>
      <c r="E318" s="373"/>
      <c r="F318" s="373"/>
      <c r="G318" s="373"/>
      <c r="H318" s="373"/>
      <c r="I318" s="373"/>
      <c r="J318" s="127"/>
      <c r="K318" s="127"/>
      <c r="L318" s="127"/>
      <c r="M318" s="127"/>
      <c r="N318" s="127"/>
    </row>
    <row r="319" spans="1:14" ht="16.5" x14ac:dyDescent="0.25">
      <c r="A319" s="372"/>
      <c r="B319" s="372"/>
      <c r="C319" s="372"/>
      <c r="D319" s="373"/>
      <c r="E319" s="373"/>
      <c r="F319" s="373"/>
      <c r="G319" s="373"/>
      <c r="H319" s="373"/>
      <c r="I319" s="373"/>
      <c r="J319" s="127"/>
      <c r="K319" s="127"/>
      <c r="L319" s="127"/>
      <c r="M319" s="127"/>
      <c r="N319" s="127"/>
    </row>
    <row r="320" spans="1:14" ht="16.5" x14ac:dyDescent="0.25">
      <c r="A320" s="372"/>
      <c r="B320" s="372"/>
      <c r="C320" s="372"/>
      <c r="D320" s="373"/>
      <c r="E320" s="373"/>
      <c r="F320" s="373"/>
      <c r="G320" s="373"/>
      <c r="H320" s="373"/>
      <c r="I320" s="373"/>
      <c r="J320" s="127"/>
      <c r="K320" s="127"/>
      <c r="L320" s="127"/>
      <c r="M320" s="127"/>
      <c r="N320" s="127"/>
    </row>
    <row r="321" spans="1:14" ht="16.5" x14ac:dyDescent="0.25">
      <c r="A321" s="372"/>
      <c r="B321" s="372"/>
      <c r="C321" s="372"/>
      <c r="D321" s="373"/>
      <c r="E321" s="373"/>
      <c r="F321" s="373"/>
      <c r="G321" s="373"/>
      <c r="H321" s="373"/>
      <c r="I321" s="373"/>
      <c r="J321" s="127"/>
      <c r="K321" s="127"/>
      <c r="L321" s="127"/>
      <c r="M321" s="127"/>
      <c r="N321" s="127"/>
    </row>
    <row r="322" spans="1:14" ht="16.5" x14ac:dyDescent="0.25">
      <c r="A322" s="372"/>
      <c r="B322" s="372"/>
      <c r="C322" s="372"/>
      <c r="D322" s="373"/>
      <c r="E322" s="373"/>
      <c r="F322" s="373"/>
      <c r="G322" s="373"/>
      <c r="H322" s="373"/>
      <c r="I322" s="373"/>
      <c r="J322" s="127"/>
      <c r="K322" s="127"/>
      <c r="L322" s="127"/>
      <c r="M322" s="127"/>
      <c r="N322" s="127"/>
    </row>
    <row r="323" spans="1:14" ht="16.5" x14ac:dyDescent="0.25">
      <c r="A323" s="372"/>
      <c r="B323" s="372"/>
      <c r="C323" s="372"/>
      <c r="D323" s="373"/>
      <c r="E323" s="373"/>
      <c r="F323" s="373"/>
      <c r="G323" s="373"/>
      <c r="H323" s="373"/>
      <c r="I323" s="373"/>
      <c r="J323" s="127"/>
      <c r="K323" s="127"/>
      <c r="L323" s="127"/>
      <c r="M323" s="127"/>
      <c r="N323" s="127"/>
    </row>
    <row r="324" spans="1:14" ht="16.5" x14ac:dyDescent="0.25">
      <c r="A324" s="372"/>
      <c r="B324" s="372"/>
      <c r="C324" s="372"/>
      <c r="D324" s="373"/>
      <c r="E324" s="373"/>
      <c r="F324" s="373"/>
      <c r="G324" s="373"/>
      <c r="H324" s="373"/>
      <c r="I324" s="373"/>
      <c r="J324" s="127"/>
      <c r="K324" s="127"/>
      <c r="L324" s="127"/>
      <c r="M324" s="127"/>
      <c r="N324" s="127"/>
    </row>
    <row r="325" spans="1:14" ht="16.5" x14ac:dyDescent="0.25">
      <c r="A325" s="372"/>
      <c r="B325" s="372"/>
      <c r="C325" s="372"/>
      <c r="D325" s="373"/>
      <c r="E325" s="373"/>
      <c r="F325" s="373"/>
      <c r="G325" s="373"/>
      <c r="H325" s="373"/>
      <c r="I325" s="373"/>
      <c r="J325" s="127"/>
      <c r="K325" s="127"/>
      <c r="L325" s="127"/>
      <c r="M325" s="127"/>
      <c r="N325" s="127"/>
    </row>
    <row r="326" spans="1:14" ht="16.5" x14ac:dyDescent="0.25">
      <c r="A326" s="372"/>
      <c r="B326" s="372"/>
      <c r="C326" s="372"/>
      <c r="D326" s="373"/>
      <c r="E326" s="373"/>
      <c r="F326" s="373"/>
      <c r="G326" s="373"/>
      <c r="H326" s="373"/>
      <c r="I326" s="373"/>
      <c r="J326" s="127"/>
      <c r="K326" s="127"/>
      <c r="L326" s="127"/>
      <c r="M326" s="127"/>
      <c r="N326" s="127"/>
    </row>
    <row r="327" spans="1:14" ht="16.5" x14ac:dyDescent="0.25">
      <c r="A327" s="372"/>
      <c r="B327" s="372"/>
      <c r="C327" s="372"/>
      <c r="D327" s="373"/>
      <c r="E327" s="373"/>
      <c r="F327" s="373"/>
      <c r="G327" s="373"/>
      <c r="H327" s="373"/>
      <c r="I327" s="373"/>
      <c r="J327" s="127"/>
      <c r="K327" s="127"/>
      <c r="L327" s="127"/>
      <c r="M327" s="127"/>
      <c r="N327" s="127"/>
    </row>
    <row r="328" spans="1:14" ht="16.5" x14ac:dyDescent="0.25">
      <c r="A328" s="372"/>
      <c r="B328" s="372"/>
      <c r="C328" s="372"/>
      <c r="D328" s="373"/>
      <c r="E328" s="373"/>
      <c r="F328" s="373"/>
      <c r="G328" s="373"/>
      <c r="H328" s="373"/>
      <c r="I328" s="373"/>
      <c r="J328" s="127"/>
      <c r="K328" s="127"/>
      <c r="L328" s="127"/>
      <c r="M328" s="127"/>
      <c r="N328" s="127"/>
    </row>
    <row r="329" spans="1:14" ht="16.5" x14ac:dyDescent="0.25">
      <c r="A329" s="372"/>
      <c r="B329" s="372"/>
      <c r="C329" s="372"/>
      <c r="D329" s="373"/>
      <c r="E329" s="373"/>
      <c r="F329" s="373"/>
      <c r="G329" s="373"/>
      <c r="H329" s="373"/>
      <c r="I329" s="373"/>
      <c r="J329" s="127"/>
      <c r="K329" s="127"/>
      <c r="L329" s="127"/>
      <c r="M329" s="127"/>
      <c r="N329" s="127"/>
    </row>
    <row r="330" spans="1:14" ht="16.5" x14ac:dyDescent="0.25">
      <c r="A330" s="372"/>
      <c r="B330" s="372"/>
      <c r="C330" s="372"/>
      <c r="D330" s="373"/>
      <c r="E330" s="373"/>
      <c r="F330" s="373"/>
      <c r="G330" s="373"/>
      <c r="H330" s="373"/>
      <c r="I330" s="373"/>
      <c r="J330" s="127"/>
      <c r="K330" s="127"/>
      <c r="L330" s="127"/>
      <c r="M330" s="127"/>
      <c r="N330" s="127"/>
    </row>
    <row r="331" spans="1:14" ht="16.5" x14ac:dyDescent="0.25">
      <c r="A331" s="372"/>
      <c r="B331" s="372"/>
      <c r="C331" s="372"/>
      <c r="D331" s="373"/>
      <c r="E331" s="373"/>
      <c r="F331" s="373"/>
      <c r="G331" s="373"/>
      <c r="H331" s="373"/>
      <c r="I331" s="373"/>
      <c r="J331" s="127"/>
      <c r="K331" s="127"/>
      <c r="L331" s="127"/>
      <c r="M331" s="127"/>
      <c r="N331" s="127"/>
    </row>
    <row r="332" spans="1:14" ht="16.5" x14ac:dyDescent="0.25">
      <c r="A332" s="372"/>
      <c r="B332" s="372"/>
      <c r="C332" s="372"/>
      <c r="D332" s="373"/>
      <c r="E332" s="373"/>
      <c r="F332" s="373"/>
      <c r="G332" s="373"/>
      <c r="H332" s="373"/>
      <c r="I332" s="373"/>
      <c r="J332" s="127"/>
      <c r="K332" s="127"/>
      <c r="L332" s="127"/>
      <c r="M332" s="127"/>
      <c r="N332" s="127"/>
    </row>
    <row r="333" spans="1:14" ht="16.5" x14ac:dyDescent="0.25">
      <c r="A333" s="372"/>
      <c r="B333" s="372"/>
      <c r="C333" s="372"/>
      <c r="D333" s="373"/>
      <c r="E333" s="373"/>
      <c r="F333" s="373"/>
      <c r="G333" s="373"/>
      <c r="H333" s="373"/>
      <c r="I333" s="373"/>
      <c r="J333" s="127"/>
      <c r="K333" s="127"/>
      <c r="L333" s="127"/>
      <c r="M333" s="127"/>
      <c r="N333" s="127"/>
    </row>
    <row r="334" spans="1:14" ht="16.5" x14ac:dyDescent="0.25">
      <c r="A334" s="372"/>
      <c r="B334" s="372"/>
      <c r="C334" s="372"/>
      <c r="D334" s="373"/>
      <c r="E334" s="373"/>
      <c r="F334" s="373"/>
      <c r="G334" s="373"/>
      <c r="H334" s="373"/>
      <c r="I334" s="373"/>
      <c r="J334" s="127"/>
      <c r="K334" s="127"/>
      <c r="L334" s="127"/>
      <c r="M334" s="127"/>
      <c r="N334" s="127"/>
    </row>
    <row r="335" spans="1:14" ht="16.5" x14ac:dyDescent="0.25">
      <c r="A335" s="372"/>
      <c r="B335" s="372"/>
      <c r="C335" s="372"/>
      <c r="D335" s="373"/>
      <c r="E335" s="373"/>
      <c r="F335" s="373"/>
      <c r="G335" s="373"/>
      <c r="H335" s="373"/>
      <c r="I335" s="373"/>
      <c r="J335" s="127"/>
      <c r="K335" s="127"/>
      <c r="L335" s="127"/>
      <c r="M335" s="127"/>
      <c r="N335" s="127"/>
    </row>
    <row r="336" spans="1:14" ht="16.5" x14ac:dyDescent="0.25">
      <c r="A336" s="372"/>
      <c r="B336" s="372"/>
      <c r="C336" s="372"/>
      <c r="D336" s="373"/>
      <c r="E336" s="373"/>
      <c r="F336" s="373"/>
      <c r="G336" s="373"/>
      <c r="H336" s="373"/>
      <c r="I336" s="373"/>
      <c r="J336" s="127"/>
      <c r="K336" s="127"/>
      <c r="L336" s="127"/>
      <c r="M336" s="127"/>
      <c r="N336" s="127"/>
    </row>
    <row r="337" spans="1:14" ht="16.5" x14ac:dyDescent="0.25">
      <c r="A337" s="372"/>
      <c r="B337" s="372"/>
      <c r="C337" s="372"/>
      <c r="D337" s="373"/>
      <c r="E337" s="373"/>
      <c r="F337" s="373"/>
      <c r="G337" s="373"/>
      <c r="H337" s="373"/>
      <c r="I337" s="373"/>
      <c r="J337" s="127"/>
      <c r="K337" s="127"/>
      <c r="L337" s="127"/>
      <c r="M337" s="127"/>
      <c r="N337" s="127"/>
    </row>
    <row r="338" spans="1:14" ht="16.5" x14ac:dyDescent="0.25">
      <c r="A338" s="372"/>
      <c r="B338" s="372"/>
      <c r="C338" s="372"/>
      <c r="D338" s="373"/>
      <c r="E338" s="373"/>
      <c r="F338" s="373"/>
      <c r="G338" s="373"/>
      <c r="H338" s="373"/>
      <c r="I338" s="373"/>
      <c r="J338" s="127"/>
      <c r="K338" s="127"/>
      <c r="L338" s="127"/>
      <c r="M338" s="127"/>
      <c r="N338" s="127"/>
    </row>
    <row r="339" spans="1:14" ht="16.5" x14ac:dyDescent="0.25">
      <c r="A339" s="372"/>
      <c r="B339" s="372"/>
      <c r="C339" s="372"/>
      <c r="D339" s="373"/>
      <c r="E339" s="373"/>
      <c r="F339" s="373"/>
      <c r="G339" s="373"/>
      <c r="H339" s="373"/>
      <c r="I339" s="373"/>
      <c r="J339" s="127"/>
      <c r="K339" s="127"/>
      <c r="L339" s="127"/>
      <c r="M339" s="127"/>
      <c r="N339" s="127"/>
    </row>
    <row r="340" spans="1:14" ht="16.5" x14ac:dyDescent="0.25">
      <c r="A340" s="372"/>
      <c r="B340" s="372"/>
      <c r="C340" s="372"/>
      <c r="D340" s="373"/>
      <c r="E340" s="373"/>
      <c r="F340" s="373"/>
      <c r="G340" s="373"/>
      <c r="H340" s="373"/>
      <c r="I340" s="373"/>
      <c r="J340" s="127"/>
      <c r="K340" s="127"/>
      <c r="L340" s="127"/>
      <c r="M340" s="127"/>
      <c r="N340" s="127"/>
    </row>
    <row r="341" spans="1:14" ht="16.5" x14ac:dyDescent="0.25">
      <c r="A341" s="372"/>
      <c r="B341" s="372"/>
      <c r="C341" s="372"/>
      <c r="D341" s="373"/>
      <c r="E341" s="373"/>
      <c r="F341" s="373"/>
      <c r="G341" s="373"/>
      <c r="H341" s="373"/>
      <c r="I341" s="373"/>
      <c r="J341" s="127"/>
      <c r="K341" s="127"/>
      <c r="L341" s="127"/>
      <c r="M341" s="127"/>
      <c r="N341" s="127"/>
    </row>
    <row r="342" spans="1:14" ht="16.5" x14ac:dyDescent="0.25">
      <c r="A342" s="372"/>
      <c r="B342" s="372"/>
      <c r="C342" s="372"/>
      <c r="D342" s="373"/>
      <c r="E342" s="373"/>
      <c r="F342" s="373"/>
      <c r="G342" s="373"/>
      <c r="H342" s="373"/>
      <c r="I342" s="373"/>
      <c r="J342" s="127"/>
      <c r="K342" s="127"/>
      <c r="L342" s="127"/>
      <c r="M342" s="127"/>
      <c r="N342" s="127"/>
    </row>
    <row r="343" spans="1:14" ht="16.5" x14ac:dyDescent="0.25">
      <c r="A343" s="372"/>
      <c r="B343" s="372"/>
      <c r="C343" s="372"/>
      <c r="D343" s="373"/>
      <c r="E343" s="373"/>
      <c r="F343" s="373"/>
      <c r="G343" s="373"/>
      <c r="H343" s="373"/>
      <c r="I343" s="373"/>
      <c r="J343" s="127"/>
      <c r="K343" s="127"/>
      <c r="L343" s="127"/>
      <c r="M343" s="127"/>
      <c r="N343" s="127"/>
    </row>
    <row r="344" spans="1:14" ht="16.5" x14ac:dyDescent="0.25">
      <c r="A344" s="372"/>
      <c r="B344" s="372"/>
      <c r="C344" s="372"/>
      <c r="D344" s="373"/>
      <c r="E344" s="373"/>
      <c r="F344" s="373"/>
      <c r="G344" s="373"/>
      <c r="H344" s="373"/>
      <c r="I344" s="373"/>
      <c r="J344" s="127"/>
      <c r="K344" s="127"/>
      <c r="L344" s="127"/>
      <c r="M344" s="127"/>
      <c r="N344" s="127"/>
    </row>
    <row r="345" spans="1:14" ht="16.5" x14ac:dyDescent="0.25">
      <c r="A345" s="372"/>
      <c r="B345" s="372"/>
      <c r="C345" s="372"/>
      <c r="D345" s="373"/>
      <c r="E345" s="373"/>
      <c r="F345" s="373"/>
      <c r="G345" s="373"/>
      <c r="H345" s="373"/>
      <c r="I345" s="373"/>
      <c r="J345" s="127"/>
      <c r="K345" s="127"/>
      <c r="L345" s="127"/>
      <c r="M345" s="127"/>
      <c r="N345" s="127"/>
    </row>
    <row r="346" spans="1:14" ht="16.5" x14ac:dyDescent="0.25">
      <c r="A346" s="372"/>
      <c r="B346" s="372"/>
      <c r="C346" s="372"/>
      <c r="D346" s="373"/>
      <c r="E346" s="373"/>
      <c r="F346" s="373"/>
      <c r="G346" s="373"/>
      <c r="H346" s="373"/>
      <c r="I346" s="373"/>
      <c r="J346" s="127"/>
      <c r="K346" s="127"/>
      <c r="L346" s="127"/>
      <c r="M346" s="127"/>
      <c r="N346" s="127"/>
    </row>
    <row r="347" spans="1:14" ht="16.5" x14ac:dyDescent="0.25">
      <c r="A347" s="372"/>
      <c r="B347" s="372"/>
      <c r="C347" s="372"/>
      <c r="D347" s="373"/>
      <c r="E347" s="373"/>
      <c r="F347" s="373"/>
      <c r="G347" s="373"/>
      <c r="H347" s="373"/>
      <c r="I347" s="373"/>
      <c r="J347" s="127"/>
      <c r="K347" s="127"/>
      <c r="L347" s="127"/>
      <c r="M347" s="127"/>
      <c r="N347" s="127"/>
    </row>
    <row r="348" spans="1:14" ht="16.5" x14ac:dyDescent="0.25">
      <c r="A348" s="372"/>
      <c r="B348" s="372"/>
      <c r="C348" s="372"/>
      <c r="D348" s="373"/>
      <c r="E348" s="373"/>
      <c r="F348" s="373"/>
      <c r="G348" s="373"/>
      <c r="H348" s="373"/>
      <c r="I348" s="373"/>
      <c r="J348" s="127"/>
      <c r="K348" s="127"/>
      <c r="L348" s="127"/>
      <c r="M348" s="127"/>
      <c r="N348" s="127"/>
    </row>
    <row r="349" spans="1:14" ht="16.5" x14ac:dyDescent="0.25">
      <c r="A349" s="372"/>
      <c r="B349" s="372"/>
      <c r="C349" s="372"/>
      <c r="D349" s="373"/>
      <c r="E349" s="373"/>
      <c r="F349" s="373"/>
      <c r="G349" s="373"/>
      <c r="H349" s="373"/>
      <c r="I349" s="373"/>
      <c r="J349" s="127"/>
      <c r="K349" s="127"/>
      <c r="L349" s="127"/>
      <c r="M349" s="127"/>
      <c r="N349" s="127"/>
    </row>
    <row r="350" spans="1:14" ht="16.5" x14ac:dyDescent="0.25">
      <c r="A350" s="372"/>
      <c r="B350" s="372"/>
      <c r="C350" s="372"/>
      <c r="D350" s="373"/>
      <c r="E350" s="373"/>
      <c r="F350" s="373"/>
      <c r="G350" s="373"/>
      <c r="H350" s="373"/>
      <c r="I350" s="373"/>
      <c r="J350" s="127"/>
      <c r="K350" s="127"/>
      <c r="L350" s="127"/>
      <c r="M350" s="127"/>
      <c r="N350" s="127"/>
    </row>
    <row r="351" spans="1:14" ht="16.5" x14ac:dyDescent="0.25">
      <c r="A351" s="372"/>
      <c r="B351" s="372"/>
      <c r="C351" s="372"/>
      <c r="D351" s="373"/>
      <c r="E351" s="373"/>
      <c r="F351" s="373"/>
      <c r="G351" s="373"/>
      <c r="H351" s="373"/>
      <c r="I351" s="373"/>
      <c r="J351" s="127"/>
      <c r="K351" s="127"/>
      <c r="L351" s="127"/>
      <c r="M351" s="127"/>
      <c r="N351" s="127"/>
    </row>
    <row r="352" spans="1:14" ht="16.5" x14ac:dyDescent="0.25">
      <c r="A352" s="372"/>
      <c r="B352" s="372"/>
      <c r="C352" s="372"/>
      <c r="D352" s="373"/>
      <c r="E352" s="373"/>
      <c r="F352" s="373"/>
      <c r="G352" s="373"/>
      <c r="H352" s="373"/>
      <c r="I352" s="373"/>
      <c r="J352" s="127"/>
      <c r="K352" s="127"/>
      <c r="L352" s="127"/>
      <c r="M352" s="127"/>
      <c r="N352" s="127"/>
    </row>
    <row r="353" spans="1:14" ht="16.5" x14ac:dyDescent="0.25">
      <c r="A353" s="372"/>
      <c r="B353" s="372"/>
      <c r="C353" s="372"/>
      <c r="D353" s="373"/>
      <c r="E353" s="373"/>
      <c r="F353" s="373"/>
      <c r="G353" s="373"/>
      <c r="H353" s="373"/>
      <c r="I353" s="373"/>
      <c r="J353" s="127"/>
      <c r="K353" s="127"/>
      <c r="L353" s="127"/>
      <c r="M353" s="127"/>
      <c r="N353" s="127"/>
    </row>
    <row r="354" spans="1:14" ht="16.5" x14ac:dyDescent="0.25">
      <c r="A354" s="372"/>
      <c r="B354" s="372"/>
      <c r="C354" s="372"/>
      <c r="D354" s="373"/>
      <c r="E354" s="373"/>
      <c r="F354" s="373"/>
      <c r="G354" s="373"/>
      <c r="H354" s="373"/>
      <c r="I354" s="373"/>
      <c r="J354" s="127"/>
      <c r="K354" s="127"/>
      <c r="L354" s="127"/>
      <c r="M354" s="127"/>
      <c r="N354" s="127"/>
    </row>
    <row r="355" spans="1:14" ht="16.5" x14ac:dyDescent="0.25">
      <c r="A355" s="372"/>
      <c r="B355" s="372"/>
      <c r="C355" s="372"/>
      <c r="D355" s="373"/>
      <c r="E355" s="373"/>
      <c r="F355" s="373"/>
      <c r="G355" s="373"/>
      <c r="H355" s="373"/>
      <c r="I355" s="373"/>
      <c r="J355" s="127"/>
      <c r="K355" s="127"/>
      <c r="L355" s="127"/>
      <c r="M355" s="127"/>
      <c r="N355" s="127"/>
    </row>
    <row r="356" spans="1:14" ht="16.5" x14ac:dyDescent="0.25">
      <c r="A356" s="372"/>
      <c r="B356" s="372"/>
      <c r="C356" s="372"/>
      <c r="D356" s="373"/>
      <c r="E356" s="373"/>
      <c r="F356" s="373"/>
      <c r="G356" s="373"/>
      <c r="H356" s="373"/>
      <c r="I356" s="373"/>
      <c r="J356" s="127"/>
      <c r="K356" s="127"/>
      <c r="L356" s="127"/>
      <c r="M356" s="127"/>
      <c r="N356" s="127"/>
    </row>
    <row r="357" spans="1:14" ht="16.5" x14ac:dyDescent="0.25">
      <c r="A357" s="372"/>
      <c r="B357" s="372"/>
      <c r="C357" s="372"/>
      <c r="D357" s="373"/>
      <c r="E357" s="373"/>
      <c r="F357" s="373"/>
      <c r="G357" s="373"/>
      <c r="H357" s="373"/>
      <c r="I357" s="373"/>
      <c r="J357" s="127"/>
      <c r="K357" s="127"/>
      <c r="L357" s="127"/>
      <c r="M357" s="127"/>
      <c r="N357" s="127"/>
    </row>
    <row r="358" spans="1:14" ht="16.5" x14ac:dyDescent="0.25">
      <c r="A358" s="372"/>
      <c r="B358" s="372"/>
      <c r="C358" s="372"/>
      <c r="D358" s="373"/>
      <c r="E358" s="373"/>
      <c r="F358" s="373"/>
      <c r="G358" s="373"/>
      <c r="H358" s="373"/>
      <c r="I358" s="373"/>
      <c r="J358" s="127"/>
      <c r="K358" s="127"/>
      <c r="L358" s="127"/>
      <c r="M358" s="127"/>
      <c r="N358" s="127"/>
    </row>
    <row r="359" spans="1:14" ht="16.5" x14ac:dyDescent="0.25">
      <c r="A359" s="372"/>
      <c r="B359" s="372"/>
      <c r="C359" s="372"/>
      <c r="D359" s="373"/>
      <c r="E359" s="373"/>
      <c r="F359" s="373"/>
      <c r="G359" s="373"/>
      <c r="H359" s="373"/>
      <c r="I359" s="373"/>
      <c r="J359" s="127"/>
      <c r="K359" s="127"/>
      <c r="L359" s="127"/>
      <c r="M359" s="127"/>
      <c r="N359" s="127"/>
    </row>
    <row r="360" spans="1:14" ht="16.5" x14ac:dyDescent="0.25">
      <c r="A360" s="372"/>
      <c r="B360" s="372"/>
      <c r="C360" s="372"/>
      <c r="D360" s="373"/>
      <c r="E360" s="373"/>
      <c r="F360" s="373"/>
      <c r="G360" s="373"/>
      <c r="H360" s="373"/>
      <c r="I360" s="373"/>
      <c r="J360" s="127"/>
      <c r="K360" s="127"/>
      <c r="L360" s="127"/>
      <c r="M360" s="127"/>
      <c r="N360" s="127"/>
    </row>
    <row r="361" spans="1:14" ht="16.5" x14ac:dyDescent="0.25">
      <c r="A361" s="372"/>
      <c r="B361" s="372"/>
      <c r="C361" s="372"/>
      <c r="D361" s="373"/>
      <c r="E361" s="373"/>
      <c r="F361" s="373"/>
      <c r="G361" s="373"/>
      <c r="H361" s="373"/>
      <c r="I361" s="373"/>
      <c r="J361" s="127"/>
      <c r="K361" s="127"/>
      <c r="L361" s="127"/>
      <c r="M361" s="127"/>
      <c r="N361" s="127"/>
    </row>
    <row r="362" spans="1:14" ht="16.5" x14ac:dyDescent="0.25">
      <c r="A362" s="372"/>
      <c r="B362" s="372"/>
      <c r="C362" s="372"/>
      <c r="D362" s="373"/>
      <c r="E362" s="373"/>
      <c r="F362" s="373"/>
      <c r="G362" s="373"/>
      <c r="H362" s="373"/>
      <c r="I362" s="373"/>
      <c r="J362" s="127"/>
      <c r="K362" s="127"/>
      <c r="L362" s="127"/>
      <c r="M362" s="127"/>
      <c r="N362" s="127"/>
    </row>
    <row r="363" spans="1:14" ht="16.5" x14ac:dyDescent="0.25">
      <c r="A363" s="372"/>
      <c r="B363" s="372"/>
      <c r="C363" s="372"/>
      <c r="D363" s="373"/>
      <c r="E363" s="373"/>
      <c r="F363" s="373"/>
      <c r="G363" s="373"/>
      <c r="H363" s="373"/>
      <c r="I363" s="373"/>
      <c r="J363" s="127"/>
      <c r="K363" s="127"/>
      <c r="L363" s="127"/>
      <c r="M363" s="127"/>
      <c r="N363" s="127"/>
    </row>
    <row r="364" spans="1:14" ht="16.5" x14ac:dyDescent="0.25">
      <c r="A364" s="372"/>
      <c r="B364" s="372"/>
      <c r="C364" s="372"/>
      <c r="D364" s="373"/>
      <c r="E364" s="373"/>
      <c r="F364" s="373"/>
      <c r="G364" s="373"/>
      <c r="H364" s="373"/>
      <c r="I364" s="373"/>
      <c r="J364" s="127"/>
      <c r="K364" s="127"/>
      <c r="L364" s="127"/>
      <c r="M364" s="127"/>
      <c r="N364" s="127"/>
    </row>
    <row r="365" spans="1:14" ht="16.5" x14ac:dyDescent="0.25">
      <c r="A365" s="372"/>
      <c r="B365" s="372"/>
      <c r="C365" s="372"/>
      <c r="D365" s="373"/>
      <c r="E365" s="373"/>
      <c r="F365" s="373"/>
      <c r="G365" s="373"/>
      <c r="H365" s="373"/>
      <c r="I365" s="373"/>
      <c r="J365" s="127"/>
      <c r="K365" s="127"/>
      <c r="L365" s="127"/>
      <c r="M365" s="127"/>
      <c r="N365" s="127"/>
    </row>
    <row r="366" spans="1:14" ht="16.5" x14ac:dyDescent="0.25">
      <c r="A366" s="372"/>
      <c r="B366" s="372"/>
      <c r="C366" s="372"/>
      <c r="D366" s="373"/>
      <c r="E366" s="373"/>
      <c r="F366" s="373"/>
      <c r="G366" s="373"/>
      <c r="H366" s="373"/>
      <c r="I366" s="373"/>
      <c r="J366" s="127"/>
      <c r="K366" s="127"/>
      <c r="L366" s="127"/>
      <c r="M366" s="127"/>
      <c r="N366" s="127"/>
    </row>
    <row r="367" spans="1:14" ht="16.5" x14ac:dyDescent="0.25">
      <c r="A367" s="372"/>
      <c r="B367" s="372"/>
      <c r="C367" s="372"/>
      <c r="D367" s="373"/>
      <c r="E367" s="373"/>
      <c r="F367" s="373"/>
      <c r="G367" s="373"/>
      <c r="H367" s="373"/>
      <c r="I367" s="373"/>
      <c r="J367" s="127"/>
      <c r="K367" s="127"/>
      <c r="L367" s="127"/>
      <c r="M367" s="127"/>
      <c r="N367" s="127"/>
    </row>
    <row r="368" spans="1:14" ht="16.5" x14ac:dyDescent="0.25">
      <c r="A368" s="372"/>
      <c r="B368" s="372"/>
      <c r="C368" s="372"/>
      <c r="D368" s="373"/>
      <c r="E368" s="373"/>
      <c r="F368" s="373"/>
      <c r="G368" s="373"/>
      <c r="H368" s="373"/>
      <c r="I368" s="373"/>
      <c r="J368" s="127"/>
      <c r="K368" s="127"/>
      <c r="L368" s="127"/>
      <c r="M368" s="127"/>
      <c r="N368" s="127"/>
    </row>
    <row r="369" spans="1:14" ht="16.5" x14ac:dyDescent="0.25">
      <c r="A369" s="372"/>
      <c r="B369" s="372"/>
      <c r="C369" s="372"/>
      <c r="D369" s="373"/>
      <c r="E369" s="373"/>
      <c r="F369" s="373"/>
      <c r="G369" s="373"/>
      <c r="H369" s="373"/>
      <c r="I369" s="373"/>
      <c r="J369" s="127"/>
      <c r="K369" s="127"/>
      <c r="L369" s="127"/>
      <c r="M369" s="127"/>
      <c r="N369" s="127"/>
    </row>
    <row r="370" spans="1:14" ht="16.5" x14ac:dyDescent="0.25">
      <c r="A370" s="372"/>
      <c r="B370" s="372"/>
      <c r="C370" s="372"/>
      <c r="D370" s="373"/>
      <c r="E370" s="373"/>
      <c r="F370" s="373"/>
      <c r="G370" s="373"/>
      <c r="H370" s="373"/>
      <c r="I370" s="373"/>
      <c r="J370" s="127"/>
      <c r="K370" s="127"/>
      <c r="L370" s="127"/>
      <c r="M370" s="127"/>
      <c r="N370" s="127"/>
    </row>
    <row r="371" spans="1:14" ht="16.5" x14ac:dyDescent="0.25">
      <c r="A371" s="372"/>
      <c r="B371" s="372"/>
      <c r="C371" s="372"/>
      <c r="D371" s="373"/>
      <c r="E371" s="373"/>
      <c r="F371" s="373"/>
      <c r="G371" s="373"/>
      <c r="H371" s="373"/>
      <c r="I371" s="373"/>
      <c r="J371" s="127"/>
      <c r="K371" s="127"/>
      <c r="L371" s="127"/>
      <c r="M371" s="127"/>
      <c r="N371" s="127"/>
    </row>
    <row r="372" spans="1:14" ht="16.5" x14ac:dyDescent="0.25">
      <c r="A372" s="372"/>
      <c r="B372" s="372"/>
      <c r="C372" s="372"/>
      <c r="D372" s="373"/>
      <c r="E372" s="373"/>
      <c r="F372" s="373"/>
      <c r="G372" s="373"/>
      <c r="H372" s="373"/>
      <c r="I372" s="373"/>
      <c r="J372" s="127"/>
      <c r="K372" s="127"/>
      <c r="L372" s="127"/>
      <c r="M372" s="127"/>
      <c r="N372" s="127"/>
    </row>
    <row r="373" spans="1:14" ht="16.5" x14ac:dyDescent="0.25">
      <c r="A373" s="372"/>
      <c r="B373" s="372"/>
      <c r="C373" s="372"/>
      <c r="D373" s="373"/>
      <c r="E373" s="373"/>
      <c r="F373" s="373"/>
      <c r="G373" s="373"/>
      <c r="H373" s="373"/>
      <c r="I373" s="373"/>
      <c r="J373" s="127"/>
      <c r="K373" s="127"/>
      <c r="L373" s="127"/>
      <c r="M373" s="127"/>
      <c r="N373" s="127"/>
    </row>
    <row r="374" spans="1:14" ht="16.5" x14ac:dyDescent="0.25">
      <c r="A374" s="372"/>
      <c r="B374" s="372"/>
      <c r="C374" s="372"/>
      <c r="D374" s="373"/>
      <c r="E374" s="373"/>
      <c r="F374" s="373"/>
      <c r="G374" s="373"/>
      <c r="H374" s="373"/>
      <c r="I374" s="373"/>
      <c r="J374" s="127"/>
      <c r="K374" s="127"/>
      <c r="L374" s="127"/>
      <c r="M374" s="127"/>
      <c r="N374" s="127"/>
    </row>
    <row r="375" spans="1:14" ht="16.5" x14ac:dyDescent="0.25">
      <c r="A375" s="372"/>
      <c r="B375" s="372"/>
      <c r="C375" s="372"/>
      <c r="D375" s="373"/>
      <c r="E375" s="373"/>
      <c r="F375" s="373"/>
      <c r="G375" s="373"/>
      <c r="H375" s="373"/>
      <c r="I375" s="373"/>
      <c r="J375" s="127"/>
      <c r="K375" s="127"/>
      <c r="L375" s="127"/>
      <c r="M375" s="127"/>
      <c r="N375" s="127"/>
    </row>
    <row r="376" spans="1:14" ht="16.5" x14ac:dyDescent="0.25">
      <c r="A376" s="372"/>
      <c r="B376" s="372"/>
      <c r="C376" s="372"/>
      <c r="D376" s="373"/>
      <c r="E376" s="373"/>
      <c r="F376" s="373"/>
      <c r="G376" s="373"/>
      <c r="H376" s="373"/>
      <c r="I376" s="373"/>
      <c r="J376" s="127"/>
      <c r="K376" s="127"/>
      <c r="L376" s="127"/>
      <c r="M376" s="127"/>
      <c r="N376" s="127"/>
    </row>
    <row r="377" spans="1:14" ht="16.5" x14ac:dyDescent="0.25">
      <c r="A377" s="372"/>
      <c r="B377" s="372"/>
      <c r="C377" s="372"/>
      <c r="D377" s="373"/>
      <c r="E377" s="373"/>
      <c r="F377" s="373"/>
      <c r="G377" s="373"/>
      <c r="H377" s="373"/>
      <c r="I377" s="373"/>
      <c r="J377" s="127"/>
      <c r="K377" s="127"/>
      <c r="L377" s="127"/>
      <c r="M377" s="127"/>
      <c r="N377" s="127"/>
    </row>
    <row r="378" spans="1:14" ht="16.5" x14ac:dyDescent="0.25">
      <c r="A378" s="372"/>
      <c r="B378" s="372"/>
      <c r="C378" s="372"/>
      <c r="D378" s="373"/>
      <c r="E378" s="373"/>
      <c r="F378" s="373"/>
      <c r="G378" s="373"/>
      <c r="H378" s="373"/>
      <c r="I378" s="373"/>
      <c r="J378" s="127"/>
      <c r="K378" s="127"/>
      <c r="L378" s="127"/>
      <c r="M378" s="127"/>
      <c r="N378" s="127"/>
    </row>
    <row r="379" spans="1:14" ht="16.5" x14ac:dyDescent="0.25">
      <c r="A379" s="372"/>
      <c r="B379" s="372"/>
      <c r="C379" s="372"/>
      <c r="D379" s="373"/>
      <c r="E379" s="373"/>
      <c r="F379" s="373"/>
      <c r="G379" s="373"/>
      <c r="H379" s="373"/>
      <c r="I379" s="373"/>
      <c r="J379" s="127"/>
      <c r="K379" s="127"/>
      <c r="L379" s="127"/>
      <c r="M379" s="127"/>
      <c r="N379" s="127"/>
    </row>
    <row r="380" spans="1:14" ht="16.5" x14ac:dyDescent="0.25">
      <c r="A380" s="372"/>
      <c r="B380" s="372"/>
      <c r="C380" s="372"/>
      <c r="D380" s="373"/>
      <c r="E380" s="373"/>
      <c r="F380" s="373"/>
      <c r="G380" s="373"/>
      <c r="H380" s="373"/>
      <c r="I380" s="373"/>
      <c r="J380" s="127"/>
      <c r="K380" s="127"/>
      <c r="L380" s="127"/>
      <c r="M380" s="127"/>
      <c r="N380" s="127"/>
    </row>
    <row r="381" spans="1:14" ht="16.5" x14ac:dyDescent="0.25">
      <c r="A381" s="372"/>
      <c r="B381" s="372"/>
      <c r="C381" s="372"/>
      <c r="D381" s="373"/>
      <c r="E381" s="373"/>
      <c r="F381" s="373"/>
      <c r="G381" s="373"/>
      <c r="H381" s="373"/>
      <c r="I381" s="373"/>
      <c r="J381" s="127"/>
      <c r="K381" s="127"/>
      <c r="L381" s="127"/>
      <c r="M381" s="127"/>
      <c r="N381" s="127"/>
    </row>
    <row r="382" spans="1:14" ht="16.5" x14ac:dyDescent="0.25">
      <c r="A382" s="372"/>
      <c r="B382" s="372"/>
      <c r="C382" s="372"/>
      <c r="D382" s="373"/>
      <c r="E382" s="373"/>
      <c r="F382" s="373"/>
      <c r="G382" s="373"/>
      <c r="H382" s="373"/>
      <c r="I382" s="373"/>
      <c r="J382" s="127"/>
      <c r="K382" s="127"/>
      <c r="L382" s="127"/>
      <c r="M382" s="127"/>
      <c r="N382" s="127"/>
    </row>
    <row r="383" spans="1:14" ht="16.5" x14ac:dyDescent="0.25">
      <c r="A383" s="372"/>
      <c r="B383" s="372"/>
      <c r="C383" s="372"/>
      <c r="D383" s="373"/>
      <c r="E383" s="373"/>
      <c r="F383" s="373"/>
      <c r="G383" s="373"/>
      <c r="H383" s="373"/>
      <c r="I383" s="373"/>
      <c r="J383" s="127"/>
      <c r="K383" s="127"/>
      <c r="L383" s="127"/>
      <c r="M383" s="127"/>
      <c r="N383" s="127"/>
    </row>
    <row r="384" spans="1:14" ht="16.5" x14ac:dyDescent="0.25">
      <c r="A384" s="372"/>
      <c r="B384" s="372"/>
      <c r="C384" s="372"/>
      <c r="D384" s="373"/>
      <c r="E384" s="373"/>
      <c r="F384" s="373"/>
      <c r="G384" s="373"/>
      <c r="H384" s="373"/>
      <c r="I384" s="373"/>
      <c r="J384" s="127"/>
      <c r="K384" s="127"/>
      <c r="L384" s="127"/>
      <c r="M384" s="127"/>
      <c r="N384" s="127"/>
    </row>
    <row r="385" spans="1:14" ht="16.5" x14ac:dyDescent="0.25">
      <c r="A385" s="372"/>
      <c r="B385" s="372"/>
      <c r="C385" s="372"/>
      <c r="D385" s="373"/>
      <c r="E385" s="373"/>
      <c r="F385" s="373"/>
      <c r="G385" s="373"/>
      <c r="H385" s="373"/>
      <c r="I385" s="373"/>
      <c r="J385" s="127"/>
      <c r="K385" s="127"/>
      <c r="L385" s="127"/>
      <c r="M385" s="127"/>
      <c r="N385" s="127"/>
    </row>
    <row r="386" spans="1:14" ht="16.5" x14ac:dyDescent="0.25">
      <c r="A386" s="372"/>
      <c r="B386" s="372"/>
      <c r="C386" s="372"/>
      <c r="D386" s="373"/>
      <c r="E386" s="373"/>
      <c r="F386" s="373"/>
      <c r="G386" s="373"/>
      <c r="H386" s="373"/>
      <c r="I386" s="373"/>
      <c r="J386" s="127"/>
      <c r="K386" s="127"/>
      <c r="L386" s="127"/>
      <c r="M386" s="127"/>
      <c r="N386" s="127"/>
    </row>
    <row r="387" spans="1:14" ht="16.5" x14ac:dyDescent="0.25">
      <c r="A387" s="372"/>
      <c r="B387" s="372"/>
      <c r="C387" s="372"/>
      <c r="D387" s="373"/>
      <c r="E387" s="373"/>
      <c r="F387" s="373"/>
      <c r="G387" s="373"/>
      <c r="H387" s="373"/>
      <c r="I387" s="373"/>
      <c r="J387" s="127"/>
      <c r="K387" s="127"/>
      <c r="L387" s="127"/>
      <c r="M387" s="127"/>
      <c r="N387" s="127"/>
    </row>
    <row r="388" spans="1:14" ht="16.5" x14ac:dyDescent="0.25">
      <c r="A388" s="372"/>
      <c r="B388" s="372"/>
      <c r="C388" s="372"/>
      <c r="D388" s="373"/>
      <c r="E388" s="373"/>
      <c r="F388" s="373"/>
      <c r="G388" s="373"/>
      <c r="H388" s="373"/>
      <c r="I388" s="373"/>
      <c r="J388" s="127"/>
      <c r="K388" s="127"/>
      <c r="L388" s="127"/>
      <c r="M388" s="127"/>
      <c r="N388" s="127"/>
    </row>
    <row r="389" spans="1:14" ht="16.5" x14ac:dyDescent="0.25">
      <c r="A389" s="372"/>
      <c r="B389" s="372"/>
      <c r="C389" s="372"/>
      <c r="D389" s="373"/>
      <c r="E389" s="373"/>
      <c r="F389" s="373"/>
      <c r="G389" s="373"/>
      <c r="H389" s="373"/>
      <c r="I389" s="373"/>
      <c r="J389" s="127"/>
      <c r="K389" s="127"/>
      <c r="L389" s="127"/>
      <c r="M389" s="127"/>
      <c r="N389" s="127"/>
    </row>
    <row r="390" spans="1:14" ht="16.5" x14ac:dyDescent="0.25">
      <c r="A390" s="372"/>
      <c r="B390" s="372"/>
      <c r="C390" s="372"/>
      <c r="D390" s="373"/>
      <c r="E390" s="373"/>
      <c r="F390" s="373"/>
      <c r="G390" s="373"/>
      <c r="H390" s="373"/>
      <c r="I390" s="373"/>
      <c r="J390" s="127"/>
      <c r="K390" s="127"/>
      <c r="L390" s="127"/>
      <c r="M390" s="127"/>
      <c r="N390" s="127"/>
    </row>
    <row r="391" spans="1:14" ht="16.5" x14ac:dyDescent="0.25">
      <c r="A391" s="372"/>
      <c r="B391" s="372"/>
      <c r="C391" s="372"/>
      <c r="D391" s="373"/>
      <c r="E391" s="373"/>
      <c r="F391" s="373"/>
      <c r="G391" s="373"/>
      <c r="H391" s="373"/>
      <c r="I391" s="373"/>
      <c r="J391" s="127"/>
      <c r="K391" s="127"/>
      <c r="L391" s="127"/>
      <c r="M391" s="127"/>
      <c r="N391" s="127"/>
    </row>
    <row r="392" spans="1:14" ht="16.5" x14ac:dyDescent="0.25">
      <c r="A392" s="372"/>
      <c r="B392" s="372"/>
      <c r="C392" s="372"/>
      <c r="D392" s="373"/>
      <c r="E392" s="373"/>
      <c r="F392" s="373"/>
      <c r="G392" s="373"/>
      <c r="H392" s="373"/>
      <c r="I392" s="373"/>
      <c r="J392" s="127"/>
      <c r="K392" s="127"/>
      <c r="L392" s="127"/>
      <c r="M392" s="127"/>
      <c r="N392" s="127"/>
    </row>
    <row r="393" spans="1:14" ht="16.5" x14ac:dyDescent="0.25">
      <c r="A393" s="372"/>
      <c r="B393" s="372"/>
      <c r="C393" s="372"/>
      <c r="D393" s="373"/>
      <c r="E393" s="373"/>
      <c r="F393" s="373"/>
      <c r="G393" s="373"/>
      <c r="H393" s="373"/>
      <c r="I393" s="373"/>
      <c r="J393" s="127"/>
      <c r="K393" s="127"/>
      <c r="L393" s="127"/>
      <c r="M393" s="127"/>
      <c r="N393" s="127"/>
    </row>
    <row r="394" spans="1:14" ht="16.5" x14ac:dyDescent="0.25">
      <c r="A394" s="372"/>
      <c r="B394" s="372"/>
      <c r="C394" s="372"/>
      <c r="D394" s="373"/>
      <c r="E394" s="373"/>
      <c r="F394" s="373"/>
      <c r="G394" s="373"/>
      <c r="H394" s="373"/>
      <c r="I394" s="373"/>
      <c r="J394" s="127"/>
      <c r="K394" s="127"/>
      <c r="L394" s="127"/>
      <c r="M394" s="127"/>
      <c r="N394" s="127"/>
    </row>
    <row r="395" spans="1:14" ht="16.5" x14ac:dyDescent="0.25">
      <c r="A395" s="372"/>
      <c r="B395" s="372"/>
      <c r="C395" s="372"/>
      <c r="D395" s="373"/>
      <c r="E395" s="373"/>
      <c r="F395" s="373"/>
      <c r="G395" s="373"/>
      <c r="H395" s="373"/>
      <c r="I395" s="373"/>
      <c r="J395" s="127"/>
      <c r="K395" s="127"/>
      <c r="L395" s="127"/>
      <c r="M395" s="127"/>
      <c r="N395" s="127"/>
    </row>
    <row r="396" spans="1:14" ht="16.5" x14ac:dyDescent="0.25">
      <c r="A396" s="372"/>
      <c r="B396" s="372"/>
      <c r="C396" s="372"/>
      <c r="D396" s="373"/>
      <c r="E396" s="373"/>
      <c r="F396" s="373"/>
      <c r="G396" s="373"/>
      <c r="H396" s="373"/>
      <c r="I396" s="373"/>
      <c r="J396" s="127"/>
      <c r="K396" s="127"/>
      <c r="L396" s="127"/>
      <c r="M396" s="127"/>
      <c r="N396" s="127"/>
    </row>
    <row r="397" spans="1:14" ht="16.5" x14ac:dyDescent="0.25">
      <c r="A397" s="372"/>
      <c r="B397" s="372"/>
      <c r="C397" s="372"/>
      <c r="D397" s="373"/>
      <c r="E397" s="373"/>
      <c r="F397" s="373"/>
      <c r="G397" s="373"/>
      <c r="H397" s="373"/>
      <c r="I397" s="373"/>
      <c r="J397" s="127"/>
      <c r="K397" s="127"/>
      <c r="L397" s="127"/>
      <c r="M397" s="127"/>
      <c r="N397" s="127"/>
    </row>
    <row r="398" spans="1:14" ht="16.5" x14ac:dyDescent="0.25">
      <c r="A398" s="372"/>
      <c r="B398" s="372"/>
      <c r="C398" s="372"/>
      <c r="D398" s="373"/>
      <c r="E398" s="373"/>
      <c r="F398" s="373"/>
      <c r="G398" s="373"/>
      <c r="H398" s="373"/>
      <c r="I398" s="373"/>
      <c r="J398" s="127"/>
      <c r="K398" s="127"/>
      <c r="L398" s="127"/>
      <c r="M398" s="127"/>
      <c r="N398" s="127"/>
    </row>
    <row r="399" spans="1:14" ht="16.5" x14ac:dyDescent="0.25">
      <c r="A399" s="372"/>
      <c r="B399" s="372"/>
      <c r="C399" s="372"/>
      <c r="D399" s="373"/>
      <c r="E399" s="373"/>
      <c r="F399" s="373"/>
      <c r="G399" s="373"/>
      <c r="H399" s="373"/>
      <c r="I399" s="373"/>
      <c r="J399" s="127"/>
      <c r="K399" s="127"/>
      <c r="L399" s="127"/>
      <c r="M399" s="127"/>
      <c r="N399" s="127"/>
    </row>
    <row r="400" spans="1:14" ht="16.5" x14ac:dyDescent="0.25">
      <c r="A400" s="372"/>
      <c r="B400" s="372"/>
      <c r="C400" s="372"/>
      <c r="D400" s="373"/>
      <c r="E400" s="373"/>
      <c r="F400" s="373"/>
      <c r="G400" s="373"/>
      <c r="H400" s="373"/>
      <c r="I400" s="373"/>
      <c r="J400" s="127"/>
      <c r="K400" s="127"/>
      <c r="L400" s="127"/>
      <c r="M400" s="127"/>
      <c r="N400" s="127"/>
    </row>
    <row r="401" spans="1:14" ht="16.5" x14ac:dyDescent="0.25">
      <c r="A401" s="372"/>
      <c r="B401" s="372"/>
      <c r="C401" s="372"/>
      <c r="D401" s="373"/>
      <c r="E401" s="373"/>
      <c r="F401" s="373"/>
      <c r="G401" s="373"/>
      <c r="H401" s="373"/>
      <c r="I401" s="373"/>
      <c r="J401" s="127"/>
      <c r="K401" s="127"/>
      <c r="L401" s="127"/>
      <c r="M401" s="127"/>
      <c r="N401" s="127"/>
    </row>
    <row r="402" spans="1:14" ht="16.5" x14ac:dyDescent="0.25">
      <c r="A402" s="372"/>
      <c r="B402" s="372"/>
      <c r="C402" s="372"/>
      <c r="D402" s="373"/>
      <c r="E402" s="373"/>
      <c r="F402" s="373"/>
      <c r="G402" s="373"/>
      <c r="H402" s="373"/>
      <c r="I402" s="373"/>
      <c r="J402" s="127"/>
      <c r="K402" s="127"/>
      <c r="L402" s="127"/>
      <c r="M402" s="127"/>
      <c r="N402" s="127"/>
    </row>
    <row r="403" spans="1:14" ht="16.5" x14ac:dyDescent="0.25">
      <c r="A403" s="372"/>
      <c r="B403" s="372"/>
      <c r="C403" s="372"/>
      <c r="D403" s="373"/>
      <c r="E403" s="373"/>
      <c r="F403" s="373"/>
      <c r="G403" s="373"/>
      <c r="H403" s="373"/>
      <c r="I403" s="373"/>
      <c r="J403" s="127"/>
      <c r="K403" s="127"/>
      <c r="L403" s="127"/>
      <c r="M403" s="127"/>
      <c r="N403" s="127"/>
    </row>
    <row r="404" spans="1:14" ht="16.5" x14ac:dyDescent="0.25">
      <c r="A404" s="372"/>
      <c r="B404" s="372"/>
      <c r="C404" s="372"/>
      <c r="D404" s="373"/>
      <c r="E404" s="373"/>
      <c r="F404" s="373"/>
      <c r="G404" s="373"/>
      <c r="H404" s="373"/>
      <c r="I404" s="373"/>
      <c r="J404" s="127"/>
      <c r="K404" s="127"/>
      <c r="L404" s="127"/>
      <c r="M404" s="127"/>
      <c r="N404" s="127"/>
    </row>
    <row r="405" spans="1:14" ht="16.5" x14ac:dyDescent="0.25">
      <c r="A405" s="372"/>
      <c r="B405" s="372"/>
      <c r="C405" s="372"/>
      <c r="D405" s="373"/>
      <c r="E405" s="373"/>
      <c r="F405" s="373"/>
      <c r="G405" s="373"/>
      <c r="H405" s="373"/>
      <c r="I405" s="373"/>
      <c r="J405" s="127"/>
      <c r="K405" s="127"/>
      <c r="L405" s="127"/>
      <c r="M405" s="127"/>
      <c r="N405" s="127"/>
    </row>
    <row r="406" spans="1:14" ht="16.5" x14ac:dyDescent="0.25">
      <c r="A406" s="372"/>
      <c r="B406" s="372"/>
      <c r="C406" s="372"/>
      <c r="D406" s="373"/>
      <c r="E406" s="373"/>
      <c r="F406" s="373"/>
      <c r="G406" s="373"/>
      <c r="H406" s="373"/>
      <c r="I406" s="373"/>
      <c r="J406" s="127"/>
      <c r="K406" s="127"/>
      <c r="L406" s="127"/>
      <c r="M406" s="127"/>
      <c r="N406" s="127"/>
    </row>
    <row r="407" spans="1:14" ht="16.5" x14ac:dyDescent="0.25">
      <c r="A407" s="372"/>
      <c r="B407" s="372"/>
      <c r="C407" s="372"/>
      <c r="D407" s="373"/>
      <c r="E407" s="373"/>
      <c r="F407" s="373"/>
      <c r="G407" s="373"/>
      <c r="H407" s="373"/>
      <c r="I407" s="373"/>
      <c r="J407" s="127"/>
      <c r="K407" s="127"/>
      <c r="L407" s="127"/>
      <c r="M407" s="127"/>
      <c r="N407" s="127"/>
    </row>
    <row r="408" spans="1:14" ht="16.5" x14ac:dyDescent="0.25">
      <c r="A408" s="372"/>
      <c r="B408" s="372"/>
      <c r="C408" s="372"/>
      <c r="D408" s="373"/>
      <c r="E408" s="373"/>
      <c r="F408" s="373"/>
      <c r="G408" s="373"/>
      <c r="H408" s="373"/>
      <c r="I408" s="373"/>
      <c r="J408" s="127"/>
      <c r="K408" s="127"/>
      <c r="L408" s="127"/>
      <c r="M408" s="127"/>
      <c r="N408" s="127"/>
    </row>
    <row r="409" spans="1:14" ht="16.5" x14ac:dyDescent="0.25">
      <c r="A409" s="372"/>
      <c r="B409" s="372"/>
      <c r="C409" s="372"/>
      <c r="D409" s="373"/>
      <c r="E409" s="373"/>
      <c r="F409" s="373"/>
      <c r="G409" s="373"/>
      <c r="H409" s="373"/>
      <c r="I409" s="373"/>
      <c r="J409" s="127"/>
      <c r="K409" s="127"/>
      <c r="L409" s="127"/>
      <c r="M409" s="127"/>
      <c r="N409" s="127"/>
    </row>
    <row r="410" spans="1:14" ht="16.5" x14ac:dyDescent="0.25">
      <c r="A410" s="372"/>
      <c r="B410" s="372"/>
      <c r="C410" s="372"/>
      <c r="D410" s="373"/>
      <c r="E410" s="373"/>
      <c r="F410" s="373"/>
      <c r="G410" s="373"/>
      <c r="H410" s="373"/>
      <c r="I410" s="373"/>
      <c r="J410" s="127"/>
      <c r="K410" s="127"/>
      <c r="L410" s="127"/>
      <c r="M410" s="127"/>
      <c r="N410" s="127"/>
    </row>
    <row r="411" spans="1:14" ht="16.5" x14ac:dyDescent="0.25">
      <c r="A411" s="372"/>
      <c r="B411" s="372"/>
      <c r="C411" s="372"/>
      <c r="D411" s="373"/>
      <c r="E411" s="373"/>
      <c r="F411" s="373"/>
      <c r="G411" s="373"/>
      <c r="H411" s="373"/>
      <c r="I411" s="373"/>
      <c r="J411" s="127"/>
      <c r="K411" s="127"/>
      <c r="L411" s="127"/>
      <c r="M411" s="127"/>
      <c r="N411" s="127"/>
    </row>
    <row r="412" spans="1:14" ht="16.5" x14ac:dyDescent="0.25">
      <c r="A412" s="372"/>
      <c r="B412" s="372"/>
      <c r="C412" s="372"/>
      <c r="D412" s="373"/>
      <c r="E412" s="373"/>
      <c r="F412" s="373"/>
      <c r="G412" s="373"/>
      <c r="H412" s="373"/>
      <c r="I412" s="373"/>
      <c r="J412" s="127"/>
      <c r="K412" s="127"/>
      <c r="L412" s="127"/>
      <c r="M412" s="127"/>
      <c r="N412" s="127"/>
    </row>
    <row r="413" spans="1:14" ht="16.5" x14ac:dyDescent="0.25">
      <c r="A413" s="372"/>
      <c r="B413" s="372"/>
      <c r="C413" s="372"/>
      <c r="D413" s="373"/>
      <c r="E413" s="373"/>
      <c r="F413" s="373"/>
      <c r="G413" s="373"/>
      <c r="H413" s="373"/>
      <c r="I413" s="373"/>
      <c r="J413" s="127"/>
      <c r="K413" s="127"/>
      <c r="L413" s="127"/>
      <c r="M413" s="127"/>
      <c r="N413" s="127"/>
    </row>
    <row r="414" spans="1:14" ht="16.5" x14ac:dyDescent="0.25">
      <c r="A414" s="372"/>
      <c r="B414" s="372"/>
      <c r="C414" s="372"/>
      <c r="D414" s="373"/>
      <c r="E414" s="373"/>
      <c r="F414" s="373"/>
      <c r="G414" s="373"/>
      <c r="H414" s="373"/>
      <c r="I414" s="373"/>
      <c r="J414" s="127"/>
      <c r="K414" s="127"/>
      <c r="L414" s="127"/>
      <c r="M414" s="127"/>
      <c r="N414" s="127"/>
    </row>
    <row r="415" spans="1:14" ht="16.5" x14ac:dyDescent="0.25">
      <c r="A415" s="372"/>
      <c r="B415" s="372"/>
      <c r="C415" s="372"/>
      <c r="D415" s="373"/>
      <c r="E415" s="373"/>
      <c r="F415" s="373"/>
      <c r="G415" s="373"/>
      <c r="H415" s="373"/>
      <c r="I415" s="373"/>
      <c r="J415" s="127"/>
      <c r="K415" s="127"/>
      <c r="L415" s="127"/>
      <c r="M415" s="127"/>
      <c r="N415" s="127"/>
    </row>
    <row r="416" spans="1:14" ht="16.5" x14ac:dyDescent="0.25">
      <c r="A416" s="372"/>
      <c r="B416" s="372"/>
      <c r="C416" s="372"/>
      <c r="D416" s="373"/>
      <c r="E416" s="373"/>
      <c r="F416" s="373"/>
      <c r="G416" s="373"/>
      <c r="H416" s="373"/>
      <c r="I416" s="373"/>
      <c r="J416" s="127"/>
      <c r="K416" s="127"/>
      <c r="L416" s="127"/>
      <c r="M416" s="127"/>
      <c r="N416" s="127"/>
    </row>
    <row r="417" spans="1:14" ht="16.5" x14ac:dyDescent="0.25">
      <c r="A417" s="372"/>
      <c r="B417" s="372"/>
      <c r="C417" s="372"/>
      <c r="D417" s="373"/>
      <c r="E417" s="373"/>
      <c r="F417" s="373"/>
      <c r="G417" s="373"/>
      <c r="H417" s="373"/>
      <c r="I417" s="373"/>
      <c r="J417" s="127"/>
      <c r="K417" s="127"/>
      <c r="L417" s="127"/>
      <c r="M417" s="127"/>
      <c r="N417" s="127"/>
    </row>
    <row r="418" spans="1:14" ht="16.5" x14ac:dyDescent="0.25">
      <c r="A418" s="372"/>
      <c r="B418" s="372"/>
      <c r="C418" s="372"/>
      <c r="D418" s="373"/>
      <c r="E418" s="373"/>
      <c r="F418" s="373"/>
      <c r="G418" s="373"/>
      <c r="H418" s="373"/>
      <c r="I418" s="373"/>
      <c r="J418" s="127"/>
      <c r="K418" s="127"/>
      <c r="L418" s="127"/>
      <c r="M418" s="127"/>
      <c r="N418" s="127"/>
    </row>
    <row r="419" spans="1:14" ht="16.5" x14ac:dyDescent="0.25">
      <c r="A419" s="372"/>
      <c r="B419" s="372"/>
      <c r="C419" s="372"/>
      <c r="D419" s="373"/>
      <c r="E419" s="373"/>
      <c r="F419" s="373"/>
      <c r="G419" s="373"/>
      <c r="H419" s="373"/>
      <c r="I419" s="373"/>
      <c r="J419" s="127"/>
      <c r="K419" s="127"/>
      <c r="L419" s="127"/>
      <c r="M419" s="127"/>
      <c r="N419" s="127"/>
    </row>
    <row r="420" spans="1:14" ht="16.5" x14ac:dyDescent="0.25">
      <c r="A420" s="372"/>
      <c r="B420" s="372"/>
      <c r="C420" s="372"/>
      <c r="D420" s="373"/>
      <c r="E420" s="373"/>
      <c r="F420" s="373"/>
      <c r="G420" s="373"/>
      <c r="H420" s="373"/>
      <c r="I420" s="373"/>
      <c r="J420" s="127"/>
      <c r="K420" s="127"/>
      <c r="L420" s="127"/>
      <c r="M420" s="127"/>
      <c r="N420" s="127"/>
    </row>
    <row r="421" spans="1:14" ht="16.5" x14ac:dyDescent="0.25">
      <c r="A421" s="372"/>
      <c r="B421" s="372"/>
      <c r="C421" s="372"/>
      <c r="D421" s="373"/>
      <c r="E421" s="373"/>
      <c r="F421" s="373"/>
      <c r="G421" s="373"/>
      <c r="H421" s="373"/>
      <c r="I421" s="373"/>
      <c r="J421" s="127"/>
      <c r="K421" s="127"/>
      <c r="L421" s="127"/>
      <c r="M421" s="127"/>
      <c r="N421" s="127"/>
    </row>
    <row r="422" spans="1:14" ht="16.5" x14ac:dyDescent="0.25">
      <c r="A422" s="372"/>
      <c r="B422" s="372"/>
      <c r="C422" s="372"/>
      <c r="D422" s="373"/>
      <c r="E422" s="373"/>
      <c r="F422" s="373"/>
      <c r="G422" s="373"/>
      <c r="H422" s="373"/>
      <c r="I422" s="373"/>
      <c r="J422" s="127"/>
      <c r="K422" s="127"/>
      <c r="L422" s="127"/>
      <c r="M422" s="127"/>
      <c r="N422" s="127"/>
    </row>
    <row r="423" spans="1:14" ht="16.5" x14ac:dyDescent="0.25">
      <c r="A423" s="372"/>
      <c r="B423" s="372"/>
      <c r="C423" s="372"/>
      <c r="D423" s="373"/>
      <c r="E423" s="373"/>
      <c r="F423" s="373"/>
      <c r="G423" s="373"/>
      <c r="H423" s="373"/>
      <c r="I423" s="373"/>
      <c r="J423" s="127"/>
      <c r="K423" s="127"/>
      <c r="L423" s="127"/>
      <c r="M423" s="127"/>
      <c r="N423" s="127"/>
    </row>
    <row r="424" spans="1:14" ht="16.5" x14ac:dyDescent="0.25">
      <c r="A424" s="372"/>
      <c r="B424" s="372"/>
      <c r="C424" s="372"/>
      <c r="D424" s="373"/>
      <c r="E424" s="373"/>
      <c r="F424" s="373"/>
      <c r="G424" s="373"/>
      <c r="H424" s="373"/>
      <c r="I424" s="373"/>
      <c r="J424" s="127"/>
      <c r="K424" s="127"/>
      <c r="L424" s="127"/>
      <c r="M424" s="127"/>
      <c r="N424" s="127"/>
    </row>
    <row r="425" spans="1:14" ht="16.5" x14ac:dyDescent="0.25">
      <c r="A425" s="372"/>
      <c r="B425" s="372"/>
      <c r="C425" s="372"/>
      <c r="D425" s="373"/>
      <c r="E425" s="373"/>
      <c r="F425" s="373"/>
      <c r="G425" s="373"/>
      <c r="H425" s="373"/>
      <c r="I425" s="373"/>
      <c r="J425" s="127"/>
      <c r="K425" s="127"/>
      <c r="L425" s="127"/>
      <c r="M425" s="127"/>
      <c r="N425" s="127"/>
    </row>
    <row r="426" spans="1:14" ht="16.5" x14ac:dyDescent="0.25">
      <c r="A426" s="372"/>
      <c r="B426" s="372"/>
      <c r="C426" s="372"/>
      <c r="D426" s="373"/>
      <c r="E426" s="373"/>
      <c r="F426" s="373"/>
      <c r="G426" s="373"/>
      <c r="H426" s="373"/>
      <c r="I426" s="373"/>
      <c r="J426" s="127"/>
      <c r="K426" s="127"/>
      <c r="L426" s="127"/>
      <c r="M426" s="127"/>
      <c r="N426" s="127"/>
    </row>
    <row r="427" spans="1:14" ht="16.5" x14ac:dyDescent="0.25">
      <c r="A427" s="372"/>
      <c r="B427" s="372"/>
      <c r="C427" s="372"/>
      <c r="D427" s="373"/>
      <c r="E427" s="373"/>
      <c r="F427" s="373"/>
      <c r="G427" s="373"/>
      <c r="H427" s="373"/>
      <c r="I427" s="373"/>
      <c r="J427" s="127"/>
      <c r="K427" s="127"/>
      <c r="L427" s="127"/>
      <c r="M427" s="127"/>
      <c r="N427" s="127"/>
    </row>
    <row r="428" spans="1:14" ht="16.5" x14ac:dyDescent="0.25">
      <c r="A428" s="372"/>
      <c r="B428" s="372"/>
      <c r="C428" s="372"/>
      <c r="D428" s="373"/>
      <c r="E428" s="373"/>
      <c r="F428" s="373"/>
      <c r="G428" s="373"/>
      <c r="H428" s="373"/>
      <c r="I428" s="373"/>
      <c r="J428" s="127"/>
      <c r="K428" s="127"/>
      <c r="L428" s="127"/>
      <c r="M428" s="127"/>
      <c r="N428" s="127"/>
    </row>
    <row r="429" spans="1:14" ht="16.5" x14ac:dyDescent="0.25">
      <c r="A429" s="372"/>
      <c r="B429" s="372"/>
      <c r="C429" s="372"/>
      <c r="D429" s="373"/>
      <c r="E429" s="373"/>
      <c r="F429" s="373"/>
      <c r="G429" s="373"/>
      <c r="H429" s="373"/>
      <c r="I429" s="373"/>
      <c r="J429" s="127"/>
      <c r="K429" s="127"/>
      <c r="L429" s="127"/>
      <c r="M429" s="127"/>
      <c r="N429" s="127"/>
    </row>
    <row r="430" spans="1:14" ht="16.5" x14ac:dyDescent="0.25">
      <c r="A430" s="372"/>
      <c r="B430" s="372"/>
      <c r="C430" s="372"/>
      <c r="D430" s="373"/>
      <c r="E430" s="373"/>
      <c r="F430" s="373"/>
      <c r="G430" s="373"/>
      <c r="H430" s="373"/>
      <c r="I430" s="373"/>
      <c r="J430" s="127"/>
      <c r="K430" s="127"/>
      <c r="L430" s="127"/>
      <c r="M430" s="127"/>
      <c r="N430" s="127"/>
    </row>
    <row r="431" spans="1:14" ht="16.5" x14ac:dyDescent="0.25">
      <c r="A431" s="372"/>
      <c r="B431" s="372"/>
      <c r="C431" s="372"/>
      <c r="D431" s="373"/>
      <c r="E431" s="373"/>
      <c r="F431" s="373"/>
      <c r="G431" s="373"/>
      <c r="H431" s="373"/>
      <c r="I431" s="373"/>
      <c r="J431" s="127"/>
      <c r="K431" s="127"/>
      <c r="L431" s="127"/>
      <c r="M431" s="127"/>
      <c r="N431" s="127"/>
    </row>
    <row r="432" spans="1:14" ht="16.5" x14ac:dyDescent="0.25">
      <c r="A432" s="372"/>
      <c r="B432" s="372"/>
      <c r="C432" s="372"/>
      <c r="D432" s="373"/>
      <c r="E432" s="373"/>
      <c r="F432" s="373"/>
      <c r="G432" s="373"/>
      <c r="H432" s="373"/>
      <c r="I432" s="373"/>
      <c r="J432" s="127"/>
      <c r="K432" s="127"/>
      <c r="L432" s="127"/>
      <c r="M432" s="127"/>
      <c r="N432" s="127"/>
    </row>
    <row r="433" spans="1:14" ht="16.5" x14ac:dyDescent="0.25">
      <c r="A433" s="372"/>
      <c r="B433" s="372"/>
      <c r="C433" s="372"/>
      <c r="D433" s="373"/>
      <c r="E433" s="373"/>
      <c r="F433" s="373"/>
      <c r="G433" s="373"/>
      <c r="H433" s="373"/>
      <c r="I433" s="373"/>
      <c r="J433" s="127"/>
      <c r="K433" s="127"/>
      <c r="L433" s="127"/>
      <c r="M433" s="127"/>
      <c r="N433" s="127"/>
    </row>
    <row r="434" spans="1:14" ht="16.5" x14ac:dyDescent="0.25">
      <c r="A434" s="372"/>
      <c r="B434" s="372"/>
      <c r="C434" s="372"/>
      <c r="D434" s="373"/>
      <c r="E434" s="373"/>
      <c r="F434" s="373"/>
      <c r="G434" s="373"/>
      <c r="H434" s="373"/>
      <c r="I434" s="373"/>
      <c r="J434" s="127"/>
      <c r="K434" s="127"/>
      <c r="L434" s="127"/>
      <c r="M434" s="127"/>
      <c r="N434" s="127"/>
    </row>
    <row r="435" spans="1:14" ht="16.5" x14ac:dyDescent="0.25">
      <c r="A435" s="372"/>
      <c r="B435" s="372"/>
      <c r="C435" s="372"/>
      <c r="D435" s="373"/>
      <c r="E435" s="373"/>
      <c r="F435" s="373"/>
      <c r="G435" s="373"/>
      <c r="H435" s="373"/>
      <c r="I435" s="373"/>
      <c r="J435" s="127"/>
      <c r="K435" s="127"/>
      <c r="L435" s="127"/>
      <c r="M435" s="127"/>
      <c r="N435" s="127"/>
    </row>
    <row r="436" spans="1:14" ht="16.5" x14ac:dyDescent="0.25">
      <c r="A436" s="372"/>
      <c r="B436" s="372"/>
      <c r="C436" s="372"/>
      <c r="D436" s="373"/>
      <c r="E436" s="373"/>
      <c r="F436" s="373"/>
      <c r="G436" s="373"/>
      <c r="H436" s="373"/>
      <c r="I436" s="373"/>
      <c r="J436" s="127"/>
      <c r="K436" s="127"/>
      <c r="L436" s="127"/>
      <c r="M436" s="127"/>
      <c r="N436" s="127"/>
    </row>
    <row r="437" spans="1:14" ht="16.5" x14ac:dyDescent="0.25">
      <c r="A437" s="372"/>
      <c r="B437" s="372"/>
      <c r="C437" s="372"/>
      <c r="D437" s="373"/>
      <c r="E437" s="373"/>
      <c r="F437" s="373"/>
      <c r="G437" s="373"/>
      <c r="H437" s="373"/>
      <c r="I437" s="373"/>
      <c r="J437" s="127"/>
      <c r="K437" s="127"/>
      <c r="L437" s="127"/>
      <c r="M437" s="127"/>
      <c r="N437" s="127"/>
    </row>
    <row r="438" spans="1:14" ht="16.5" x14ac:dyDescent="0.25">
      <c r="A438" s="372"/>
      <c r="B438" s="372"/>
      <c r="C438" s="372"/>
      <c r="D438" s="373"/>
      <c r="E438" s="373"/>
      <c r="F438" s="373"/>
      <c r="G438" s="373"/>
      <c r="H438" s="373"/>
      <c r="I438" s="373"/>
      <c r="J438" s="127"/>
      <c r="K438" s="127"/>
      <c r="L438" s="127"/>
      <c r="M438" s="127"/>
      <c r="N438" s="127"/>
    </row>
    <row r="439" spans="1:14" ht="16.5" x14ac:dyDescent="0.25">
      <c r="A439" s="372"/>
      <c r="B439" s="372"/>
      <c r="C439" s="372"/>
      <c r="D439" s="373"/>
      <c r="E439" s="373"/>
      <c r="F439" s="373"/>
      <c r="G439" s="373"/>
      <c r="H439" s="373"/>
      <c r="I439" s="373"/>
      <c r="J439" s="127"/>
      <c r="K439" s="127"/>
      <c r="L439" s="127"/>
      <c r="M439" s="127"/>
      <c r="N439" s="127"/>
    </row>
    <row r="440" spans="1:14" ht="16.5" x14ac:dyDescent="0.25">
      <c r="A440" s="372"/>
      <c r="B440" s="372"/>
      <c r="C440" s="372"/>
      <c r="D440" s="373"/>
      <c r="E440" s="373"/>
      <c r="F440" s="373"/>
      <c r="G440" s="373"/>
      <c r="H440" s="373"/>
      <c r="I440" s="373"/>
      <c r="J440" s="127"/>
      <c r="K440" s="127"/>
      <c r="L440" s="127"/>
      <c r="M440" s="127"/>
      <c r="N440" s="127"/>
    </row>
    <row r="441" spans="1:14" ht="16.5" x14ac:dyDescent="0.25">
      <c r="A441" s="372"/>
      <c r="B441" s="372"/>
      <c r="C441" s="372"/>
      <c r="D441" s="373"/>
      <c r="E441" s="373"/>
      <c r="F441" s="373"/>
      <c r="G441" s="373"/>
      <c r="H441" s="373"/>
      <c r="I441" s="373"/>
      <c r="J441" s="127"/>
      <c r="K441" s="127"/>
      <c r="L441" s="127"/>
      <c r="M441" s="127"/>
      <c r="N441" s="127"/>
    </row>
    <row r="442" spans="1:14" ht="16.5" x14ac:dyDescent="0.25">
      <c r="A442" s="372"/>
      <c r="B442" s="372"/>
      <c r="C442" s="372"/>
      <c r="D442" s="373"/>
      <c r="E442" s="373"/>
      <c r="F442" s="373"/>
      <c r="G442" s="373"/>
      <c r="H442" s="373"/>
      <c r="I442" s="373"/>
      <c r="J442" s="127"/>
      <c r="K442" s="127"/>
      <c r="L442" s="127"/>
      <c r="M442" s="127"/>
      <c r="N442" s="127"/>
    </row>
    <row r="443" spans="1:14" ht="16.5" x14ac:dyDescent="0.25">
      <c r="A443" s="372"/>
      <c r="B443" s="372"/>
      <c r="C443" s="372"/>
      <c r="D443" s="373"/>
      <c r="E443" s="373"/>
      <c r="F443" s="373"/>
      <c r="G443" s="373"/>
      <c r="H443" s="373"/>
      <c r="I443" s="373"/>
      <c r="J443" s="127"/>
      <c r="K443" s="127"/>
      <c r="L443" s="127"/>
      <c r="M443" s="127"/>
      <c r="N443" s="127"/>
    </row>
    <row r="444" spans="1:14" ht="16.5" x14ac:dyDescent="0.25">
      <c r="A444" s="372"/>
      <c r="B444" s="372"/>
      <c r="C444" s="372"/>
      <c r="D444" s="373"/>
      <c r="E444" s="373"/>
      <c r="F444" s="373"/>
      <c r="G444" s="373"/>
      <c r="H444" s="373"/>
      <c r="I444" s="373"/>
      <c r="J444" s="127"/>
      <c r="K444" s="127"/>
      <c r="L444" s="127"/>
      <c r="M444" s="127"/>
      <c r="N444" s="127"/>
    </row>
    <row r="445" spans="1:14" ht="16.5" x14ac:dyDescent="0.25">
      <c r="A445" s="372"/>
      <c r="B445" s="372"/>
      <c r="C445" s="372"/>
      <c r="D445" s="373"/>
      <c r="E445" s="373"/>
      <c r="F445" s="373"/>
      <c r="G445" s="373"/>
      <c r="H445" s="373"/>
      <c r="I445" s="373"/>
      <c r="J445" s="127"/>
      <c r="K445" s="127"/>
      <c r="L445" s="127"/>
      <c r="M445" s="127"/>
      <c r="N445" s="127"/>
    </row>
    <row r="446" spans="1:14" ht="16.5" x14ac:dyDescent="0.25">
      <c r="A446" s="372"/>
      <c r="B446" s="372"/>
      <c r="C446" s="372"/>
      <c r="D446" s="373"/>
      <c r="E446" s="373"/>
      <c r="F446" s="373"/>
      <c r="G446" s="373"/>
      <c r="H446" s="373"/>
      <c r="I446" s="373"/>
      <c r="J446" s="127"/>
      <c r="K446" s="127"/>
      <c r="L446" s="127"/>
      <c r="M446" s="127"/>
      <c r="N446" s="127"/>
    </row>
    <row r="447" spans="1:14" ht="16.5" x14ac:dyDescent="0.25">
      <c r="A447" s="372"/>
      <c r="B447" s="372"/>
      <c r="C447" s="372"/>
      <c r="D447" s="373"/>
      <c r="E447" s="373"/>
      <c r="F447" s="373"/>
      <c r="G447" s="373"/>
      <c r="H447" s="373"/>
      <c r="I447" s="373"/>
      <c r="J447" s="127"/>
      <c r="K447" s="127"/>
      <c r="L447" s="127"/>
      <c r="M447" s="127"/>
      <c r="N447" s="127"/>
    </row>
    <row r="448" spans="1:14" ht="16.5" x14ac:dyDescent="0.25">
      <c r="A448" s="372"/>
      <c r="B448" s="372"/>
      <c r="C448" s="372"/>
      <c r="D448" s="373"/>
      <c r="E448" s="373"/>
      <c r="F448" s="373"/>
      <c r="G448" s="373"/>
      <c r="H448" s="373"/>
      <c r="I448" s="373"/>
      <c r="J448" s="127"/>
      <c r="K448" s="127"/>
      <c r="L448" s="127"/>
      <c r="M448" s="127"/>
      <c r="N448" s="127"/>
    </row>
    <row r="449" spans="1:14" ht="16.5" x14ac:dyDescent="0.25">
      <c r="A449" s="372"/>
      <c r="B449" s="372"/>
      <c r="C449" s="372"/>
      <c r="D449" s="373"/>
      <c r="E449" s="373"/>
      <c r="F449" s="373"/>
      <c r="G449" s="373"/>
      <c r="H449" s="373"/>
      <c r="I449" s="373"/>
      <c r="J449" s="127"/>
      <c r="K449" s="127"/>
      <c r="L449" s="127"/>
      <c r="M449" s="127"/>
      <c r="N449" s="127"/>
    </row>
    <row r="450" spans="1:14" ht="16.5" x14ac:dyDescent="0.25">
      <c r="A450" s="372"/>
      <c r="B450" s="372"/>
      <c r="C450" s="372"/>
      <c r="D450" s="373"/>
      <c r="E450" s="373"/>
      <c r="F450" s="373"/>
      <c r="G450" s="373"/>
      <c r="H450" s="373"/>
      <c r="I450" s="373"/>
      <c r="J450" s="127"/>
      <c r="K450" s="127"/>
      <c r="L450" s="127"/>
      <c r="M450" s="127"/>
      <c r="N450" s="127"/>
    </row>
    <row r="451" spans="1:14" ht="16.5" x14ac:dyDescent="0.25">
      <c r="A451" s="372"/>
      <c r="B451" s="372"/>
      <c r="C451" s="372"/>
      <c r="D451" s="373"/>
      <c r="E451" s="373"/>
      <c r="F451" s="373"/>
      <c r="G451" s="373"/>
      <c r="H451" s="373"/>
      <c r="I451" s="373"/>
      <c r="J451" s="127"/>
      <c r="K451" s="127"/>
      <c r="L451" s="127"/>
      <c r="M451" s="127"/>
      <c r="N451" s="127"/>
    </row>
    <row r="452" spans="1:14" ht="16.5" x14ac:dyDescent="0.25">
      <c r="A452" s="372"/>
      <c r="B452" s="372"/>
      <c r="C452" s="372"/>
      <c r="D452" s="373"/>
      <c r="E452" s="373"/>
      <c r="F452" s="373"/>
      <c r="G452" s="373"/>
      <c r="H452" s="373"/>
      <c r="I452" s="373"/>
      <c r="J452" s="127"/>
      <c r="K452" s="127"/>
      <c r="L452" s="127"/>
      <c r="M452" s="127"/>
      <c r="N452" s="127"/>
    </row>
    <row r="453" spans="1:14" ht="16.5" x14ac:dyDescent="0.25">
      <c r="A453" s="372"/>
      <c r="B453" s="372"/>
      <c r="C453" s="372"/>
      <c r="D453" s="373"/>
      <c r="E453" s="373"/>
      <c r="F453" s="373"/>
      <c r="G453" s="373"/>
      <c r="H453" s="373"/>
      <c r="I453" s="373"/>
      <c r="J453" s="127"/>
      <c r="K453" s="127"/>
      <c r="L453" s="127"/>
      <c r="M453" s="127"/>
      <c r="N453" s="127"/>
    </row>
    <row r="454" spans="1:14" ht="16.5" x14ac:dyDescent="0.25">
      <c r="A454" s="372"/>
      <c r="B454" s="372"/>
      <c r="C454" s="372"/>
      <c r="D454" s="373"/>
      <c r="E454" s="373"/>
      <c r="F454" s="373"/>
      <c r="G454" s="373"/>
      <c r="H454" s="373"/>
      <c r="I454" s="373"/>
      <c r="J454" s="127"/>
      <c r="K454" s="127"/>
      <c r="L454" s="127"/>
      <c r="M454" s="127"/>
      <c r="N454" s="127"/>
    </row>
    <row r="455" spans="1:14" ht="16.5" x14ac:dyDescent="0.25">
      <c r="A455" s="372"/>
      <c r="B455" s="372"/>
      <c r="C455" s="372"/>
      <c r="D455" s="373"/>
      <c r="E455" s="373"/>
      <c r="F455" s="373"/>
      <c r="G455" s="373"/>
      <c r="H455" s="373"/>
      <c r="I455" s="373"/>
      <c r="J455" s="127"/>
      <c r="K455" s="127"/>
      <c r="L455" s="127"/>
      <c r="M455" s="127"/>
      <c r="N455" s="127"/>
    </row>
    <row r="456" spans="1:14" ht="16.5" x14ac:dyDescent="0.25">
      <c r="A456" s="372"/>
      <c r="B456" s="372"/>
      <c r="C456" s="372"/>
      <c r="D456" s="373"/>
      <c r="E456" s="373"/>
      <c r="F456" s="373"/>
      <c r="G456" s="373"/>
      <c r="H456" s="373"/>
      <c r="I456" s="373"/>
      <c r="J456" s="127"/>
      <c r="K456" s="127"/>
      <c r="L456" s="127"/>
      <c r="M456" s="127"/>
      <c r="N456" s="127"/>
    </row>
    <row r="457" spans="1:14" ht="16.5" x14ac:dyDescent="0.25">
      <c r="A457" s="372"/>
      <c r="B457" s="372"/>
      <c r="C457" s="372"/>
      <c r="D457" s="373"/>
      <c r="E457" s="373"/>
      <c r="F457" s="373"/>
      <c r="G457" s="373"/>
      <c r="H457" s="373"/>
      <c r="I457" s="373"/>
      <c r="J457" s="127"/>
      <c r="K457" s="127"/>
      <c r="L457" s="127"/>
      <c r="M457" s="127"/>
      <c r="N457" s="127"/>
    </row>
    <row r="458" spans="1:14" ht="16.5" x14ac:dyDescent="0.25">
      <c r="A458" s="372"/>
      <c r="B458" s="372"/>
      <c r="C458" s="372"/>
      <c r="D458" s="373"/>
      <c r="E458" s="373"/>
      <c r="F458" s="373"/>
      <c r="G458" s="373"/>
      <c r="H458" s="373"/>
      <c r="I458" s="373"/>
      <c r="J458" s="127"/>
      <c r="K458" s="127"/>
      <c r="L458" s="127"/>
      <c r="M458" s="127"/>
      <c r="N458" s="127"/>
    </row>
    <row r="459" spans="1:14" ht="16.5" x14ac:dyDescent="0.25">
      <c r="A459" s="372"/>
      <c r="B459" s="372"/>
      <c r="C459" s="372"/>
      <c r="D459" s="373"/>
      <c r="E459" s="373"/>
      <c r="F459" s="373"/>
      <c r="G459" s="373"/>
      <c r="H459" s="373"/>
      <c r="I459" s="373"/>
      <c r="J459" s="127"/>
      <c r="K459" s="127"/>
      <c r="L459" s="127"/>
      <c r="M459" s="127"/>
      <c r="N459" s="127"/>
    </row>
    <row r="460" spans="1:14" ht="16.5" x14ac:dyDescent="0.25">
      <c r="A460" s="372"/>
      <c r="B460" s="372"/>
      <c r="C460" s="372"/>
      <c r="D460" s="373"/>
      <c r="E460" s="373"/>
      <c r="F460" s="373"/>
      <c r="G460" s="373"/>
      <c r="H460" s="373"/>
      <c r="I460" s="373"/>
      <c r="J460" s="127"/>
      <c r="K460" s="127"/>
      <c r="L460" s="127"/>
      <c r="M460" s="127"/>
      <c r="N460" s="127"/>
    </row>
    <row r="461" spans="1:14" ht="16.5" x14ac:dyDescent="0.25">
      <c r="A461" s="372"/>
      <c r="B461" s="372"/>
      <c r="C461" s="372"/>
      <c r="D461" s="373"/>
      <c r="E461" s="373"/>
      <c r="F461" s="373"/>
      <c r="G461" s="373"/>
      <c r="H461" s="373"/>
      <c r="I461" s="373"/>
      <c r="J461" s="127"/>
      <c r="K461" s="127"/>
      <c r="L461" s="127"/>
      <c r="M461" s="127"/>
      <c r="N461" s="127"/>
    </row>
    <row r="462" spans="1:14" ht="16.5" x14ac:dyDescent="0.25">
      <c r="A462" s="372"/>
      <c r="B462" s="372"/>
      <c r="C462" s="372"/>
      <c r="D462" s="373"/>
      <c r="E462" s="373"/>
      <c r="F462" s="373"/>
      <c r="G462" s="373"/>
      <c r="H462" s="373"/>
      <c r="I462" s="373"/>
      <c r="J462" s="127"/>
      <c r="K462" s="127"/>
      <c r="L462" s="127"/>
      <c r="M462" s="127"/>
      <c r="N462" s="127"/>
    </row>
    <row r="463" spans="1:14" ht="16.5" x14ac:dyDescent="0.25">
      <c r="A463" s="372"/>
      <c r="B463" s="372"/>
      <c r="C463" s="372"/>
      <c r="D463" s="373"/>
      <c r="E463" s="373"/>
      <c r="F463" s="373"/>
      <c r="G463" s="373"/>
      <c r="H463" s="373"/>
      <c r="I463" s="373"/>
      <c r="J463" s="127"/>
      <c r="K463" s="127"/>
      <c r="L463" s="127"/>
      <c r="M463" s="127"/>
      <c r="N463" s="127"/>
    </row>
    <row r="464" spans="1:14" ht="16.5" x14ac:dyDescent="0.25">
      <c r="A464" s="372"/>
      <c r="B464" s="372"/>
      <c r="C464" s="372"/>
      <c r="D464" s="373"/>
      <c r="E464" s="373"/>
      <c r="F464" s="373"/>
      <c r="G464" s="373"/>
      <c r="H464" s="373"/>
      <c r="I464" s="373"/>
      <c r="J464" s="127"/>
      <c r="K464" s="127"/>
      <c r="L464" s="127"/>
      <c r="M464" s="127"/>
      <c r="N464" s="127"/>
    </row>
    <row r="465" spans="1:14" ht="16.5" x14ac:dyDescent="0.25">
      <c r="A465" s="372"/>
      <c r="B465" s="372"/>
      <c r="C465" s="372"/>
      <c r="D465" s="373"/>
      <c r="E465" s="373"/>
      <c r="F465" s="373"/>
      <c r="G465" s="373"/>
      <c r="H465" s="373"/>
      <c r="I465" s="373"/>
      <c r="J465" s="127"/>
      <c r="K465" s="127"/>
      <c r="L465" s="127"/>
      <c r="M465" s="127"/>
      <c r="N465" s="127"/>
    </row>
    <row r="466" spans="1:14" ht="16.5" x14ac:dyDescent="0.25">
      <c r="A466" s="372"/>
      <c r="B466" s="372"/>
      <c r="C466" s="372"/>
      <c r="D466" s="373"/>
      <c r="E466" s="373"/>
      <c r="F466" s="373"/>
      <c r="G466" s="373"/>
      <c r="H466" s="373"/>
      <c r="I466" s="373"/>
      <c r="J466" s="127"/>
      <c r="K466" s="127"/>
      <c r="L466" s="127"/>
      <c r="M466" s="127"/>
      <c r="N466" s="127"/>
    </row>
    <row r="467" spans="1:14" ht="16.5" x14ac:dyDescent="0.25">
      <c r="A467" s="372"/>
      <c r="B467" s="372"/>
      <c r="C467" s="372"/>
      <c r="D467" s="373"/>
      <c r="E467" s="373"/>
      <c r="F467" s="373"/>
      <c r="G467" s="373"/>
      <c r="H467" s="373"/>
      <c r="I467" s="373"/>
      <c r="J467" s="127"/>
      <c r="K467" s="127"/>
      <c r="L467" s="127"/>
      <c r="M467" s="127"/>
      <c r="N467" s="127"/>
    </row>
    <row r="468" spans="1:14" ht="16.5" x14ac:dyDescent="0.25">
      <c r="A468" s="372"/>
      <c r="B468" s="372"/>
      <c r="C468" s="372"/>
      <c r="D468" s="373"/>
      <c r="E468" s="373"/>
      <c r="F468" s="373"/>
      <c r="G468" s="373"/>
      <c r="H468" s="373"/>
      <c r="I468" s="373"/>
      <c r="J468" s="127"/>
      <c r="K468" s="127"/>
      <c r="L468" s="127"/>
      <c r="M468" s="127"/>
      <c r="N468" s="127"/>
    </row>
    <row r="469" spans="1:14" ht="16.5" x14ac:dyDescent="0.25">
      <c r="A469" s="372"/>
      <c r="B469" s="372"/>
      <c r="C469" s="372"/>
      <c r="D469" s="373"/>
      <c r="E469" s="373"/>
      <c r="F469" s="373"/>
      <c r="G469" s="373"/>
      <c r="H469" s="373"/>
      <c r="I469" s="373"/>
      <c r="J469" s="127"/>
      <c r="K469" s="127"/>
      <c r="L469" s="127"/>
      <c r="M469" s="127"/>
      <c r="N469" s="127"/>
    </row>
    <row r="470" spans="1:14" ht="16.5" x14ac:dyDescent="0.25">
      <c r="A470" s="372"/>
      <c r="B470" s="372"/>
      <c r="C470" s="372"/>
      <c r="D470" s="373"/>
      <c r="E470" s="373"/>
      <c r="F470" s="373"/>
      <c r="G470" s="373"/>
      <c r="H470" s="373"/>
      <c r="I470" s="373"/>
      <c r="J470" s="127"/>
      <c r="K470" s="127"/>
      <c r="L470" s="127"/>
      <c r="M470" s="127"/>
      <c r="N470" s="127"/>
    </row>
    <row r="471" spans="1:14" ht="16.5" x14ac:dyDescent="0.25">
      <c r="A471" s="372"/>
      <c r="B471" s="372"/>
      <c r="C471" s="372"/>
      <c r="D471" s="373"/>
      <c r="E471" s="373"/>
      <c r="F471" s="373"/>
      <c r="G471" s="373"/>
      <c r="H471" s="373"/>
      <c r="I471" s="373"/>
      <c r="J471" s="127"/>
      <c r="K471" s="127"/>
      <c r="L471" s="127"/>
      <c r="M471" s="127"/>
      <c r="N471" s="127"/>
    </row>
    <row r="472" spans="1:14" ht="16.5" x14ac:dyDescent="0.25">
      <c r="A472" s="372"/>
      <c r="B472" s="372"/>
      <c r="C472" s="372"/>
      <c r="D472" s="373"/>
      <c r="E472" s="373"/>
      <c r="F472" s="373"/>
      <c r="G472" s="373"/>
      <c r="H472" s="373"/>
      <c r="I472" s="373"/>
      <c r="J472" s="127"/>
      <c r="K472" s="127"/>
      <c r="L472" s="127"/>
      <c r="M472" s="127"/>
      <c r="N472" s="127"/>
    </row>
    <row r="473" spans="1:14" ht="16.5" x14ac:dyDescent="0.25">
      <c r="A473" s="372"/>
      <c r="B473" s="372"/>
      <c r="C473" s="372"/>
      <c r="D473" s="373"/>
      <c r="E473" s="373"/>
      <c r="F473" s="373"/>
      <c r="G473" s="373"/>
      <c r="H473" s="373"/>
      <c r="I473" s="373"/>
      <c r="J473" s="127"/>
      <c r="K473" s="127"/>
      <c r="L473" s="127"/>
      <c r="M473" s="127"/>
      <c r="N473" s="127"/>
    </row>
    <row r="474" spans="1:14" ht="16.5" x14ac:dyDescent="0.25">
      <c r="A474" s="372"/>
      <c r="B474" s="372"/>
      <c r="C474" s="372"/>
      <c r="D474" s="373"/>
      <c r="E474" s="373"/>
      <c r="F474" s="373"/>
      <c r="G474" s="373"/>
      <c r="H474" s="373"/>
      <c r="I474" s="373"/>
      <c r="J474" s="127"/>
      <c r="K474" s="127"/>
      <c r="L474" s="127"/>
      <c r="M474" s="127"/>
      <c r="N474" s="127"/>
    </row>
    <row r="475" spans="1:14" ht="16.5" x14ac:dyDescent="0.25">
      <c r="A475" s="372"/>
      <c r="B475" s="372"/>
      <c r="C475" s="372"/>
      <c r="D475" s="373"/>
      <c r="E475" s="373"/>
      <c r="F475" s="373"/>
      <c r="G475" s="373"/>
      <c r="H475" s="373"/>
      <c r="I475" s="373"/>
      <c r="J475" s="127"/>
      <c r="K475" s="127"/>
      <c r="L475" s="127"/>
      <c r="M475" s="127"/>
      <c r="N475" s="127"/>
    </row>
    <row r="476" spans="1:14" ht="16.5" x14ac:dyDescent="0.25">
      <c r="A476" s="372"/>
      <c r="B476" s="372"/>
      <c r="C476" s="372"/>
      <c r="D476" s="373"/>
      <c r="E476" s="373"/>
      <c r="F476" s="373"/>
      <c r="G476" s="373"/>
      <c r="H476" s="373"/>
      <c r="I476" s="373"/>
      <c r="J476" s="127"/>
      <c r="K476" s="127"/>
      <c r="L476" s="127"/>
      <c r="M476" s="127"/>
      <c r="N476" s="127"/>
    </row>
    <row r="477" spans="1:14" ht="16.5" x14ac:dyDescent="0.25">
      <c r="A477" s="372"/>
      <c r="B477" s="372"/>
      <c r="C477" s="372"/>
      <c r="D477" s="373"/>
      <c r="E477" s="373"/>
      <c r="F477" s="373"/>
      <c r="G477" s="373"/>
      <c r="H477" s="373"/>
      <c r="I477" s="373"/>
      <c r="J477" s="127"/>
      <c r="K477" s="127"/>
      <c r="L477" s="127"/>
      <c r="M477" s="127"/>
      <c r="N477" s="127"/>
    </row>
    <row r="478" spans="1:14" ht="16.5" x14ac:dyDescent="0.25">
      <c r="A478" s="372"/>
      <c r="B478" s="372"/>
      <c r="C478" s="372"/>
      <c r="D478" s="373"/>
      <c r="E478" s="373"/>
      <c r="F478" s="373"/>
      <c r="G478" s="373"/>
      <c r="H478" s="373"/>
      <c r="I478" s="373"/>
      <c r="J478" s="127"/>
      <c r="K478" s="127"/>
      <c r="L478" s="127"/>
      <c r="M478" s="127"/>
      <c r="N478" s="127"/>
    </row>
    <row r="479" spans="1:14" ht="16.5" x14ac:dyDescent="0.25">
      <c r="A479" s="372"/>
      <c r="B479" s="372"/>
      <c r="C479" s="372"/>
      <c r="D479" s="373"/>
      <c r="E479" s="373"/>
      <c r="F479" s="373"/>
      <c r="G479" s="373"/>
      <c r="H479" s="373"/>
      <c r="I479" s="373"/>
      <c r="J479" s="127"/>
      <c r="K479" s="127"/>
      <c r="L479" s="127"/>
      <c r="M479" s="127"/>
      <c r="N479" s="127"/>
    </row>
    <row r="480" spans="1:14" ht="16.5" x14ac:dyDescent="0.25">
      <c r="A480" s="372"/>
      <c r="B480" s="372"/>
      <c r="C480" s="372"/>
      <c r="D480" s="373"/>
      <c r="E480" s="373"/>
      <c r="F480" s="373"/>
      <c r="G480" s="373"/>
      <c r="H480" s="373"/>
      <c r="I480" s="373"/>
      <c r="J480" s="127"/>
      <c r="K480" s="127"/>
      <c r="L480" s="127"/>
      <c r="M480" s="127"/>
      <c r="N480" s="127"/>
    </row>
    <row r="481" spans="1:14" ht="16.5" x14ac:dyDescent="0.25">
      <c r="A481" s="372"/>
      <c r="B481" s="372"/>
      <c r="C481" s="372"/>
      <c r="D481" s="373"/>
      <c r="E481" s="373"/>
      <c r="F481" s="373"/>
      <c r="G481" s="373"/>
      <c r="H481" s="373"/>
      <c r="I481" s="373"/>
      <c r="J481" s="127"/>
      <c r="K481" s="127"/>
      <c r="L481" s="127"/>
      <c r="M481" s="127"/>
      <c r="N481" s="127"/>
    </row>
    <row r="482" spans="1:14" ht="16.5" x14ac:dyDescent="0.25">
      <c r="A482" s="372"/>
      <c r="B482" s="372"/>
      <c r="C482" s="372"/>
      <c r="D482" s="373"/>
      <c r="E482" s="373"/>
      <c r="F482" s="373"/>
      <c r="G482" s="373"/>
      <c r="H482" s="373"/>
      <c r="I482" s="373"/>
      <c r="J482" s="127"/>
      <c r="K482" s="127"/>
      <c r="L482" s="127"/>
      <c r="M482" s="127"/>
      <c r="N482" s="127"/>
    </row>
    <row r="483" spans="1:14" ht="16.5" x14ac:dyDescent="0.25">
      <c r="A483" s="372"/>
      <c r="B483" s="372"/>
      <c r="C483" s="372"/>
      <c r="D483" s="373"/>
      <c r="E483" s="373"/>
      <c r="F483" s="373"/>
      <c r="G483" s="373"/>
      <c r="H483" s="373"/>
      <c r="I483" s="373"/>
      <c r="J483" s="127"/>
      <c r="K483" s="127"/>
      <c r="L483" s="127"/>
      <c r="M483" s="127"/>
      <c r="N483" s="127"/>
    </row>
    <row r="484" spans="1:14" ht="16.5" x14ac:dyDescent="0.25">
      <c r="A484" s="372"/>
      <c r="B484" s="372"/>
      <c r="C484" s="372"/>
      <c r="D484" s="373"/>
      <c r="E484" s="373"/>
      <c r="F484" s="373"/>
      <c r="G484" s="373"/>
      <c r="H484" s="373"/>
      <c r="I484" s="373"/>
      <c r="J484" s="127"/>
      <c r="K484" s="127"/>
      <c r="L484" s="127"/>
      <c r="M484" s="127"/>
      <c r="N484" s="127"/>
    </row>
    <row r="485" spans="1:14" ht="16.5" x14ac:dyDescent="0.25">
      <c r="A485" s="372"/>
      <c r="B485" s="372"/>
      <c r="C485" s="372"/>
      <c r="D485" s="373"/>
      <c r="E485" s="373"/>
      <c r="F485" s="373"/>
      <c r="G485" s="373"/>
      <c r="H485" s="373"/>
      <c r="I485" s="373"/>
      <c r="J485" s="127"/>
      <c r="K485" s="127"/>
      <c r="L485" s="127"/>
      <c r="M485" s="127"/>
      <c r="N485" s="127"/>
    </row>
    <row r="486" spans="1:14" ht="16.5" x14ac:dyDescent="0.25">
      <c r="A486" s="372"/>
      <c r="B486" s="372"/>
      <c r="C486" s="372"/>
      <c r="D486" s="373"/>
      <c r="E486" s="373"/>
      <c r="F486" s="373"/>
      <c r="G486" s="373"/>
      <c r="H486" s="373"/>
      <c r="I486" s="373"/>
      <c r="J486" s="127"/>
      <c r="K486" s="127"/>
      <c r="L486" s="127"/>
      <c r="M486" s="127"/>
      <c r="N486" s="127"/>
    </row>
    <row r="487" spans="1:14" ht="16.5" x14ac:dyDescent="0.25">
      <c r="A487" s="372"/>
      <c r="B487" s="372"/>
      <c r="C487" s="372"/>
      <c r="D487" s="373"/>
      <c r="E487" s="373"/>
      <c r="F487" s="373"/>
      <c r="G487" s="373"/>
      <c r="H487" s="373"/>
      <c r="I487" s="373"/>
      <c r="J487" s="127"/>
      <c r="K487" s="127"/>
      <c r="L487" s="127"/>
      <c r="M487" s="127"/>
      <c r="N487" s="127"/>
    </row>
    <row r="488" spans="1:14" ht="16.5" x14ac:dyDescent="0.25">
      <c r="A488" s="372"/>
      <c r="B488" s="372"/>
      <c r="C488" s="372"/>
      <c r="D488" s="373"/>
      <c r="E488" s="373"/>
      <c r="F488" s="373"/>
      <c r="G488" s="373"/>
      <c r="H488" s="373"/>
      <c r="I488" s="373"/>
      <c r="J488" s="127"/>
      <c r="K488" s="127"/>
      <c r="L488" s="127"/>
      <c r="M488" s="127"/>
      <c r="N488" s="127"/>
    </row>
    <row r="489" spans="1:14" ht="16.5" x14ac:dyDescent="0.25">
      <c r="A489" s="372"/>
      <c r="B489" s="372"/>
      <c r="C489" s="372"/>
      <c r="D489" s="373"/>
      <c r="E489" s="373"/>
      <c r="F489" s="373"/>
      <c r="G489" s="373"/>
      <c r="H489" s="373"/>
      <c r="I489" s="373"/>
      <c r="J489" s="127"/>
      <c r="K489" s="127"/>
      <c r="L489" s="127"/>
      <c r="M489" s="127"/>
      <c r="N489" s="127"/>
    </row>
    <row r="490" spans="1:14" ht="16.5" x14ac:dyDescent="0.25">
      <c r="A490" s="372"/>
      <c r="B490" s="372"/>
      <c r="C490" s="372"/>
      <c r="D490" s="373"/>
      <c r="E490" s="373"/>
      <c r="F490" s="373"/>
      <c r="G490" s="373"/>
      <c r="H490" s="373"/>
      <c r="I490" s="373"/>
      <c r="J490" s="127"/>
      <c r="K490" s="127"/>
      <c r="L490" s="127"/>
      <c r="M490" s="127"/>
      <c r="N490" s="127"/>
    </row>
    <row r="491" spans="1:14" ht="16.5" x14ac:dyDescent="0.25">
      <c r="A491" s="372"/>
      <c r="B491" s="372"/>
      <c r="C491" s="372"/>
      <c r="D491" s="373"/>
      <c r="E491" s="373"/>
      <c r="F491" s="373"/>
      <c r="G491" s="373"/>
      <c r="H491" s="373"/>
      <c r="I491" s="373"/>
      <c r="J491" s="127"/>
      <c r="K491" s="127"/>
      <c r="L491" s="127"/>
      <c r="M491" s="127"/>
      <c r="N491" s="127"/>
    </row>
    <row r="492" spans="1:14" ht="16.5" x14ac:dyDescent="0.25">
      <c r="A492" s="372"/>
      <c r="B492" s="372"/>
      <c r="C492" s="372"/>
      <c r="D492" s="373"/>
      <c r="E492" s="373"/>
      <c r="F492" s="373"/>
      <c r="G492" s="373"/>
      <c r="H492" s="373"/>
      <c r="I492" s="373"/>
      <c r="J492" s="127"/>
      <c r="K492" s="127"/>
      <c r="L492" s="127"/>
      <c r="M492" s="127"/>
      <c r="N492" s="127"/>
    </row>
    <row r="493" spans="1:14" ht="16.5" x14ac:dyDescent="0.25">
      <c r="A493" s="372"/>
      <c r="B493" s="372"/>
      <c r="C493" s="372"/>
      <c r="D493" s="373"/>
      <c r="E493" s="373"/>
      <c r="F493" s="373"/>
      <c r="G493" s="373"/>
      <c r="H493" s="373"/>
      <c r="I493" s="373"/>
      <c r="J493" s="127"/>
      <c r="K493" s="127"/>
      <c r="L493" s="127"/>
      <c r="M493" s="127"/>
      <c r="N493" s="127"/>
    </row>
    <row r="494" spans="1:14" ht="16.5" x14ac:dyDescent="0.25">
      <c r="A494" s="372"/>
      <c r="B494" s="372"/>
      <c r="C494" s="372"/>
      <c r="D494" s="373"/>
      <c r="E494" s="373"/>
      <c r="F494" s="373"/>
      <c r="G494" s="373"/>
      <c r="H494" s="373"/>
      <c r="I494" s="373"/>
      <c r="J494" s="127"/>
      <c r="K494" s="127"/>
      <c r="L494" s="127"/>
      <c r="M494" s="127"/>
      <c r="N494" s="127"/>
    </row>
    <row r="495" spans="1:14" ht="16.5" x14ac:dyDescent="0.25">
      <c r="A495" s="372"/>
      <c r="B495" s="372"/>
      <c r="C495" s="372"/>
      <c r="D495" s="373"/>
      <c r="E495" s="373"/>
      <c r="F495" s="373"/>
      <c r="G495" s="373"/>
      <c r="H495" s="373"/>
      <c r="I495" s="373"/>
      <c r="J495" s="127"/>
      <c r="K495" s="127"/>
      <c r="L495" s="127"/>
      <c r="M495" s="127"/>
      <c r="N495" s="127"/>
    </row>
    <row r="496" spans="1:14" ht="16.5" x14ac:dyDescent="0.25">
      <c r="A496" s="372"/>
      <c r="B496" s="372"/>
      <c r="C496" s="372"/>
      <c r="D496" s="373"/>
      <c r="E496" s="373"/>
      <c r="F496" s="373"/>
      <c r="G496" s="373"/>
      <c r="H496" s="373"/>
      <c r="I496" s="373"/>
      <c r="J496" s="127"/>
      <c r="K496" s="127"/>
      <c r="L496" s="127"/>
      <c r="M496" s="127"/>
      <c r="N496" s="127"/>
    </row>
    <row r="497" spans="1:14" ht="16.5" x14ac:dyDescent="0.25">
      <c r="A497" s="372"/>
      <c r="B497" s="372"/>
      <c r="C497" s="372"/>
      <c r="D497" s="373"/>
      <c r="E497" s="373"/>
      <c r="F497" s="373"/>
      <c r="G497" s="373"/>
      <c r="H497" s="373"/>
      <c r="I497" s="373"/>
      <c r="J497" s="127"/>
      <c r="K497" s="127"/>
      <c r="L497" s="127"/>
      <c r="M497" s="127"/>
      <c r="N497" s="127"/>
    </row>
    <row r="498" spans="1:14" ht="16.5" x14ac:dyDescent="0.25">
      <c r="A498" s="372"/>
      <c r="B498" s="372"/>
      <c r="C498" s="372"/>
      <c r="D498" s="373"/>
      <c r="E498" s="373"/>
      <c r="F498" s="373"/>
      <c r="G498" s="373"/>
      <c r="H498" s="373"/>
      <c r="I498" s="373"/>
      <c r="J498" s="127"/>
      <c r="K498" s="127"/>
      <c r="L498" s="127"/>
      <c r="M498" s="127"/>
      <c r="N498" s="127"/>
    </row>
    <row r="499" spans="1:14" ht="16.5" x14ac:dyDescent="0.25">
      <c r="A499" s="372"/>
      <c r="B499" s="372"/>
      <c r="C499" s="372"/>
      <c r="D499" s="373"/>
      <c r="E499" s="373"/>
      <c r="F499" s="373"/>
      <c r="G499" s="373"/>
      <c r="H499" s="373"/>
      <c r="I499" s="373"/>
      <c r="J499" s="127"/>
      <c r="K499" s="127"/>
      <c r="L499" s="127"/>
      <c r="M499" s="127"/>
      <c r="N499" s="127"/>
    </row>
    <row r="500" spans="1:14" ht="16.5" x14ac:dyDescent="0.25">
      <c r="A500" s="372"/>
      <c r="B500" s="372"/>
      <c r="C500" s="372"/>
      <c r="D500" s="373"/>
      <c r="E500" s="373"/>
      <c r="F500" s="373"/>
      <c r="G500" s="373"/>
      <c r="H500" s="373"/>
      <c r="I500" s="373"/>
      <c r="J500" s="127"/>
      <c r="K500" s="127"/>
      <c r="L500" s="127"/>
      <c r="M500" s="127"/>
      <c r="N500" s="127"/>
    </row>
    <row r="501" spans="1:14" ht="16.5" x14ac:dyDescent="0.25">
      <c r="A501" s="372"/>
      <c r="B501" s="372"/>
      <c r="C501" s="372"/>
      <c r="D501" s="373"/>
      <c r="E501" s="373"/>
      <c r="F501" s="373"/>
      <c r="G501" s="373"/>
      <c r="H501" s="373"/>
      <c r="I501" s="373"/>
      <c r="J501" s="127"/>
      <c r="K501" s="127"/>
      <c r="L501" s="127"/>
      <c r="M501" s="127"/>
      <c r="N501" s="127"/>
    </row>
    <row r="502" spans="1:14" ht="16.5" x14ac:dyDescent="0.25">
      <c r="A502" s="372"/>
      <c r="B502" s="372"/>
      <c r="C502" s="372"/>
      <c r="D502" s="373"/>
      <c r="E502" s="373"/>
      <c r="F502" s="373"/>
      <c r="G502" s="373"/>
      <c r="H502" s="373"/>
      <c r="I502" s="373"/>
      <c r="J502" s="127"/>
      <c r="K502" s="127"/>
      <c r="L502" s="127"/>
      <c r="M502" s="127"/>
      <c r="N502" s="127"/>
    </row>
    <row r="503" spans="1:14" ht="16.5" x14ac:dyDescent="0.25">
      <c r="A503" s="372"/>
      <c r="B503" s="372"/>
      <c r="C503" s="372"/>
      <c r="D503" s="373"/>
      <c r="E503" s="373"/>
      <c r="F503" s="373"/>
      <c r="G503" s="373"/>
      <c r="H503" s="373"/>
      <c r="I503" s="373"/>
      <c r="J503" s="127"/>
      <c r="K503" s="127"/>
      <c r="L503" s="127"/>
      <c r="M503" s="127"/>
      <c r="N503" s="127"/>
    </row>
    <row r="504" spans="1:14" ht="16.5" x14ac:dyDescent="0.25">
      <c r="A504" s="372"/>
      <c r="B504" s="372"/>
      <c r="C504" s="372"/>
      <c r="D504" s="373"/>
      <c r="E504" s="373"/>
      <c r="F504" s="373"/>
      <c r="G504" s="373"/>
      <c r="H504" s="373"/>
      <c r="I504" s="373"/>
      <c r="J504" s="127"/>
      <c r="K504" s="127"/>
      <c r="L504" s="127"/>
      <c r="M504" s="127"/>
      <c r="N504" s="127"/>
    </row>
    <row r="505" spans="1:14" ht="16.5" x14ac:dyDescent="0.25">
      <c r="A505" s="372"/>
      <c r="B505" s="372"/>
      <c r="C505" s="372"/>
      <c r="D505" s="373"/>
      <c r="E505" s="373"/>
      <c r="F505" s="373"/>
      <c r="G505" s="373"/>
      <c r="H505" s="373"/>
      <c r="I505" s="373"/>
      <c r="J505" s="127"/>
      <c r="K505" s="127"/>
      <c r="L505" s="127"/>
      <c r="M505" s="127"/>
      <c r="N505" s="127"/>
    </row>
    <row r="506" spans="1:14" ht="16.5" x14ac:dyDescent="0.25">
      <c r="A506" s="372"/>
      <c r="B506" s="372"/>
      <c r="C506" s="372"/>
      <c r="D506" s="373"/>
      <c r="E506" s="373"/>
      <c r="F506" s="373"/>
      <c r="G506" s="373"/>
      <c r="H506" s="373"/>
      <c r="I506" s="373"/>
      <c r="J506" s="127"/>
      <c r="K506" s="127"/>
      <c r="L506" s="127"/>
      <c r="M506" s="127"/>
      <c r="N506" s="127"/>
    </row>
    <row r="507" spans="1:14" ht="16.5" x14ac:dyDescent="0.25">
      <c r="A507" s="372"/>
      <c r="B507" s="372"/>
      <c r="C507" s="372"/>
      <c r="D507" s="373"/>
      <c r="E507" s="373"/>
      <c r="F507" s="373"/>
      <c r="G507" s="373"/>
      <c r="H507" s="373"/>
      <c r="I507" s="373"/>
      <c r="J507" s="127"/>
      <c r="K507" s="127"/>
      <c r="L507" s="127"/>
      <c r="M507" s="127"/>
      <c r="N507" s="127"/>
    </row>
    <row r="508" spans="1:14" ht="16.5" x14ac:dyDescent="0.25">
      <c r="A508" s="372"/>
      <c r="B508" s="372"/>
      <c r="C508" s="372"/>
      <c r="D508" s="373"/>
      <c r="E508" s="373"/>
      <c r="F508" s="373"/>
      <c r="G508" s="373"/>
      <c r="H508" s="373"/>
      <c r="I508" s="373"/>
      <c r="J508" s="127"/>
      <c r="K508" s="127"/>
      <c r="L508" s="127"/>
      <c r="M508" s="127"/>
      <c r="N508" s="127"/>
    </row>
    <row r="509" spans="1:14" ht="16.5" x14ac:dyDescent="0.25">
      <c r="A509" s="372"/>
      <c r="B509" s="372"/>
      <c r="C509" s="372"/>
      <c r="D509" s="373"/>
      <c r="E509" s="373"/>
      <c r="F509" s="373"/>
      <c r="G509" s="373"/>
      <c r="H509" s="373"/>
      <c r="I509" s="373"/>
      <c r="J509" s="127"/>
      <c r="K509" s="127"/>
      <c r="L509" s="127"/>
      <c r="M509" s="127"/>
      <c r="N509" s="127"/>
    </row>
    <row r="510" spans="1:14" ht="16.5" x14ac:dyDescent="0.25">
      <c r="A510" s="372"/>
      <c r="B510" s="372"/>
      <c r="C510" s="372"/>
      <c r="D510" s="373"/>
      <c r="E510" s="373"/>
      <c r="F510" s="373"/>
      <c r="G510" s="373"/>
      <c r="H510" s="373"/>
      <c r="I510" s="373"/>
      <c r="J510" s="127"/>
      <c r="K510" s="127"/>
      <c r="L510" s="127"/>
      <c r="M510" s="127"/>
      <c r="N510" s="127"/>
    </row>
    <row r="511" spans="1:14" ht="16.5" x14ac:dyDescent="0.25">
      <c r="A511" s="372"/>
      <c r="B511" s="372"/>
      <c r="C511" s="372"/>
      <c r="D511" s="373"/>
      <c r="E511" s="373"/>
      <c r="F511" s="373"/>
      <c r="G511" s="373"/>
      <c r="H511" s="373"/>
      <c r="I511" s="373"/>
      <c r="J511" s="127"/>
      <c r="K511" s="127"/>
      <c r="L511" s="127"/>
      <c r="M511" s="127"/>
      <c r="N511" s="127"/>
    </row>
    <row r="512" spans="1:14" ht="16.5" x14ac:dyDescent="0.25">
      <c r="A512" s="372"/>
      <c r="B512" s="372"/>
      <c r="C512" s="372"/>
      <c r="D512" s="373"/>
      <c r="E512" s="373"/>
      <c r="F512" s="373"/>
      <c r="G512" s="373"/>
      <c r="H512" s="373"/>
      <c r="I512" s="373"/>
      <c r="J512" s="127"/>
      <c r="K512" s="127"/>
      <c r="L512" s="127"/>
      <c r="M512" s="127"/>
      <c r="N512" s="127"/>
    </row>
    <row r="513" spans="1:14" ht="16.5" x14ac:dyDescent="0.25">
      <c r="A513" s="372"/>
      <c r="B513" s="372"/>
      <c r="C513" s="372"/>
      <c r="D513" s="373"/>
      <c r="E513" s="373"/>
      <c r="F513" s="373"/>
      <c r="G513" s="373"/>
      <c r="H513" s="373"/>
      <c r="I513" s="373"/>
      <c r="J513" s="127"/>
      <c r="K513" s="127"/>
      <c r="L513" s="127"/>
      <c r="M513" s="127"/>
      <c r="N513" s="127"/>
    </row>
    <row r="514" spans="1:14" ht="16.5" x14ac:dyDescent="0.25">
      <c r="A514" s="372"/>
      <c r="B514" s="372"/>
      <c r="C514" s="372"/>
      <c r="D514" s="373"/>
      <c r="E514" s="373"/>
      <c r="F514" s="373"/>
      <c r="G514" s="373"/>
      <c r="H514" s="373"/>
      <c r="I514" s="373"/>
      <c r="J514" s="127"/>
      <c r="K514" s="127"/>
      <c r="L514" s="127"/>
      <c r="M514" s="127"/>
      <c r="N514" s="127"/>
    </row>
    <row r="515" spans="1:14" ht="16.5" x14ac:dyDescent="0.25">
      <c r="A515" s="372"/>
      <c r="B515" s="372"/>
      <c r="C515" s="372"/>
      <c r="D515" s="373"/>
      <c r="E515" s="373"/>
      <c r="F515" s="373"/>
      <c r="G515" s="373"/>
      <c r="H515" s="373"/>
      <c r="I515" s="373"/>
      <c r="J515" s="127"/>
      <c r="K515" s="127"/>
      <c r="L515" s="127"/>
      <c r="M515" s="127"/>
      <c r="N515" s="127"/>
    </row>
    <row r="516" spans="1:14" ht="16.5" x14ac:dyDescent="0.25">
      <c r="A516" s="372"/>
      <c r="B516" s="372"/>
      <c r="C516" s="372"/>
      <c r="D516" s="373"/>
      <c r="E516" s="373"/>
      <c r="F516" s="373"/>
      <c r="G516" s="373"/>
      <c r="H516" s="373"/>
      <c r="I516" s="373"/>
      <c r="J516" s="127"/>
      <c r="K516" s="127"/>
      <c r="L516" s="127"/>
      <c r="M516" s="127"/>
      <c r="N516" s="127"/>
    </row>
    <row r="517" spans="1:14" ht="16.5" x14ac:dyDescent="0.25">
      <c r="A517" s="372"/>
      <c r="B517" s="372"/>
      <c r="C517" s="372"/>
      <c r="D517" s="373"/>
      <c r="E517" s="373"/>
      <c r="F517" s="373"/>
      <c r="G517" s="373"/>
      <c r="H517" s="373"/>
      <c r="I517" s="373"/>
      <c r="J517" s="127"/>
      <c r="K517" s="127"/>
      <c r="L517" s="127"/>
      <c r="M517" s="127"/>
      <c r="N517" s="127"/>
    </row>
    <row r="518" spans="1:14" ht="16.5" x14ac:dyDescent="0.25">
      <c r="A518" s="372"/>
      <c r="B518" s="372"/>
      <c r="C518" s="372"/>
      <c r="D518" s="373"/>
      <c r="E518" s="373"/>
      <c r="F518" s="373"/>
      <c r="G518" s="373"/>
      <c r="H518" s="373"/>
      <c r="I518" s="373"/>
      <c r="J518" s="127"/>
      <c r="K518" s="127"/>
      <c r="L518" s="127"/>
      <c r="M518" s="127"/>
      <c r="N518" s="127"/>
    </row>
    <row r="519" spans="1:14" ht="16.5" x14ac:dyDescent="0.25">
      <c r="A519" s="372"/>
      <c r="B519" s="372"/>
      <c r="C519" s="372"/>
      <c r="D519" s="373"/>
      <c r="E519" s="373"/>
      <c r="F519" s="373"/>
      <c r="G519" s="373"/>
      <c r="H519" s="373"/>
      <c r="I519" s="373"/>
      <c r="J519" s="127"/>
      <c r="K519" s="127"/>
      <c r="L519" s="127"/>
      <c r="M519" s="127"/>
      <c r="N519" s="127"/>
    </row>
    <row r="520" spans="1:14" ht="16.5" x14ac:dyDescent="0.25">
      <c r="A520" s="372"/>
      <c r="B520" s="372"/>
      <c r="C520" s="372"/>
      <c r="D520" s="373"/>
      <c r="E520" s="373"/>
      <c r="F520" s="373"/>
      <c r="G520" s="373"/>
      <c r="H520" s="373"/>
      <c r="I520" s="373"/>
      <c r="J520" s="127"/>
      <c r="K520" s="127"/>
      <c r="L520" s="127"/>
      <c r="M520" s="127"/>
      <c r="N520" s="127"/>
    </row>
    <row r="521" spans="1:14" ht="16.5" x14ac:dyDescent="0.25">
      <c r="A521" s="372"/>
      <c r="B521" s="372"/>
      <c r="C521" s="372"/>
      <c r="D521" s="373"/>
      <c r="E521" s="373"/>
      <c r="F521" s="373"/>
      <c r="G521" s="373"/>
      <c r="H521" s="373"/>
      <c r="I521" s="373"/>
      <c r="J521" s="127"/>
      <c r="K521" s="127"/>
      <c r="L521" s="127"/>
      <c r="M521" s="127"/>
      <c r="N521" s="127"/>
    </row>
    <row r="522" spans="1:14" ht="16.5" x14ac:dyDescent="0.25">
      <c r="A522" s="372"/>
      <c r="B522" s="372"/>
      <c r="C522" s="372"/>
      <c r="D522" s="373"/>
      <c r="E522" s="373"/>
      <c r="F522" s="373"/>
      <c r="G522" s="373"/>
      <c r="H522" s="373"/>
      <c r="I522" s="373"/>
      <c r="J522" s="127"/>
      <c r="K522" s="127"/>
      <c r="L522" s="127"/>
      <c r="M522" s="127"/>
      <c r="N522" s="127"/>
    </row>
    <row r="523" spans="1:14" ht="16.5" x14ac:dyDescent="0.25">
      <c r="A523" s="372"/>
      <c r="B523" s="372"/>
      <c r="C523" s="372"/>
      <c r="D523" s="373"/>
      <c r="E523" s="373"/>
      <c r="F523" s="373"/>
      <c r="G523" s="373"/>
      <c r="H523" s="373"/>
      <c r="I523" s="373"/>
      <c r="J523" s="127"/>
      <c r="K523" s="127"/>
      <c r="L523" s="127"/>
      <c r="M523" s="127"/>
      <c r="N523" s="127"/>
    </row>
    <row r="524" spans="1:14" ht="16.5" x14ac:dyDescent="0.25">
      <c r="A524" s="372"/>
      <c r="B524" s="372"/>
      <c r="C524" s="372"/>
      <c r="D524" s="373"/>
      <c r="E524" s="373"/>
      <c r="F524" s="373"/>
      <c r="G524" s="373"/>
      <c r="H524" s="373"/>
      <c r="I524" s="373"/>
      <c r="J524" s="127"/>
      <c r="K524" s="127"/>
      <c r="L524" s="127"/>
      <c r="M524" s="127"/>
      <c r="N524" s="127"/>
    </row>
    <row r="525" spans="1:14" ht="16.5" x14ac:dyDescent="0.25">
      <c r="A525" s="372"/>
      <c r="B525" s="372"/>
      <c r="C525" s="372"/>
      <c r="D525" s="373"/>
      <c r="E525" s="373"/>
      <c r="F525" s="373"/>
      <c r="G525" s="373"/>
      <c r="H525" s="373"/>
      <c r="I525" s="373"/>
      <c r="J525" s="127"/>
      <c r="K525" s="127"/>
      <c r="L525" s="127"/>
      <c r="M525" s="127"/>
      <c r="N525" s="127"/>
    </row>
    <row r="526" spans="1:14" ht="16.5" x14ac:dyDescent="0.25">
      <c r="A526" s="372"/>
      <c r="B526" s="372"/>
      <c r="C526" s="372"/>
      <c r="D526" s="373"/>
      <c r="E526" s="373"/>
      <c r="F526" s="373"/>
      <c r="G526" s="373"/>
      <c r="H526" s="373"/>
      <c r="I526" s="373"/>
      <c r="J526" s="127"/>
      <c r="K526" s="127"/>
      <c r="L526" s="127"/>
      <c r="M526" s="127"/>
      <c r="N526" s="127"/>
    </row>
    <row r="527" spans="1:14" ht="16.5" x14ac:dyDescent="0.25">
      <c r="A527" s="372"/>
      <c r="B527" s="372"/>
      <c r="C527" s="372"/>
      <c r="D527" s="373"/>
      <c r="E527" s="373"/>
      <c r="F527" s="373"/>
      <c r="G527" s="373"/>
      <c r="H527" s="373"/>
      <c r="I527" s="373"/>
      <c r="J527" s="127"/>
      <c r="K527" s="127"/>
      <c r="L527" s="127"/>
      <c r="M527" s="127"/>
      <c r="N527" s="127"/>
    </row>
    <row r="528" spans="1:14" ht="16.5" x14ac:dyDescent="0.25">
      <c r="A528" s="372"/>
      <c r="B528" s="372"/>
      <c r="C528" s="372"/>
      <c r="D528" s="373"/>
      <c r="E528" s="373"/>
      <c r="F528" s="373"/>
      <c r="G528" s="373"/>
      <c r="H528" s="373"/>
      <c r="I528" s="373"/>
      <c r="J528" s="127"/>
      <c r="K528" s="127"/>
      <c r="L528" s="127"/>
      <c r="M528" s="127"/>
      <c r="N528" s="127"/>
    </row>
    <row r="529" spans="1:14" ht="16.5" x14ac:dyDescent="0.25">
      <c r="A529" s="372"/>
      <c r="B529" s="372"/>
      <c r="C529" s="372"/>
      <c r="D529" s="373"/>
      <c r="E529" s="373"/>
      <c r="F529" s="373"/>
      <c r="G529" s="373"/>
      <c r="H529" s="373"/>
      <c r="I529" s="373"/>
      <c r="J529" s="127"/>
      <c r="K529" s="127"/>
      <c r="L529" s="127"/>
      <c r="M529" s="127"/>
      <c r="N529" s="127"/>
    </row>
    <row r="530" spans="1:14" ht="16.5" x14ac:dyDescent="0.25">
      <c r="A530" s="372"/>
      <c r="B530" s="372"/>
      <c r="C530" s="372"/>
      <c r="D530" s="373"/>
      <c r="E530" s="373"/>
      <c r="F530" s="373"/>
      <c r="G530" s="373"/>
      <c r="H530" s="373"/>
      <c r="I530" s="373"/>
      <c r="J530" s="127"/>
      <c r="K530" s="127"/>
      <c r="L530" s="127"/>
      <c r="M530" s="127"/>
      <c r="N530" s="127"/>
    </row>
    <row r="531" spans="1:14" ht="16.5" x14ac:dyDescent="0.25">
      <c r="A531" s="372"/>
      <c r="B531" s="372"/>
      <c r="C531" s="372"/>
      <c r="D531" s="373"/>
      <c r="E531" s="373"/>
      <c r="F531" s="373"/>
      <c r="G531" s="373"/>
      <c r="H531" s="373"/>
      <c r="I531" s="373"/>
      <c r="J531" s="127"/>
      <c r="K531" s="127"/>
      <c r="L531" s="127"/>
      <c r="M531" s="127"/>
      <c r="N531" s="127"/>
    </row>
    <row r="532" spans="1:14" ht="16.5" x14ac:dyDescent="0.25">
      <c r="A532" s="372"/>
      <c r="B532" s="372"/>
      <c r="C532" s="372"/>
      <c r="D532" s="373"/>
      <c r="E532" s="373"/>
      <c r="F532" s="373"/>
      <c r="G532" s="373"/>
      <c r="H532" s="373"/>
      <c r="I532" s="373"/>
      <c r="J532" s="127"/>
      <c r="K532" s="127"/>
      <c r="L532" s="127"/>
      <c r="M532" s="127"/>
      <c r="N532" s="127"/>
    </row>
    <row r="533" spans="1:14" ht="16.5" x14ac:dyDescent="0.25">
      <c r="A533" s="372"/>
      <c r="B533" s="372"/>
      <c r="C533" s="372"/>
      <c r="D533" s="373"/>
      <c r="E533" s="373"/>
      <c r="F533" s="373"/>
      <c r="G533" s="373"/>
      <c r="H533" s="373"/>
      <c r="I533" s="373"/>
      <c r="J533" s="127"/>
      <c r="K533" s="127"/>
      <c r="L533" s="127"/>
      <c r="M533" s="127"/>
      <c r="N533" s="127"/>
    </row>
    <row r="534" spans="1:14" ht="16.5" x14ac:dyDescent="0.25">
      <c r="A534" s="372"/>
      <c r="B534" s="372"/>
      <c r="C534" s="372"/>
      <c r="D534" s="373"/>
      <c r="E534" s="373"/>
      <c r="F534" s="373"/>
      <c r="G534" s="373"/>
      <c r="H534" s="373"/>
      <c r="I534" s="373"/>
      <c r="J534" s="127"/>
      <c r="K534" s="127"/>
      <c r="L534" s="127"/>
      <c r="M534" s="127"/>
      <c r="N534" s="127"/>
    </row>
    <row r="535" spans="1:14" ht="16.5" x14ac:dyDescent="0.25">
      <c r="A535" s="372"/>
      <c r="B535" s="372"/>
      <c r="C535" s="372"/>
      <c r="D535" s="373"/>
      <c r="E535" s="373"/>
      <c r="F535" s="373"/>
      <c r="G535" s="373"/>
      <c r="H535" s="373"/>
      <c r="I535" s="373"/>
      <c r="J535" s="127"/>
      <c r="K535" s="127"/>
      <c r="L535" s="127"/>
      <c r="M535" s="127"/>
      <c r="N535" s="127"/>
    </row>
    <row r="536" spans="1:14" ht="16.5" x14ac:dyDescent="0.25">
      <c r="A536" s="372"/>
      <c r="B536" s="372"/>
      <c r="C536" s="372"/>
      <c r="D536" s="373"/>
      <c r="E536" s="373"/>
      <c r="F536" s="373"/>
      <c r="G536" s="373"/>
      <c r="H536" s="373"/>
      <c r="I536" s="373"/>
      <c r="J536" s="127"/>
      <c r="K536" s="127"/>
      <c r="L536" s="127"/>
      <c r="M536" s="127"/>
      <c r="N536" s="127"/>
    </row>
    <row r="537" spans="1:14" ht="16.5" x14ac:dyDescent="0.25">
      <c r="A537" s="372"/>
      <c r="B537" s="372"/>
      <c r="C537" s="372"/>
      <c r="D537" s="373"/>
      <c r="E537" s="373"/>
      <c r="F537" s="373"/>
      <c r="G537" s="373"/>
      <c r="H537" s="373"/>
      <c r="I537" s="373"/>
      <c r="J537" s="127"/>
      <c r="K537" s="127"/>
      <c r="L537" s="127"/>
      <c r="M537" s="127"/>
      <c r="N537" s="127"/>
    </row>
    <row r="538" spans="1:14" ht="16.5" x14ac:dyDescent="0.25">
      <c r="A538" s="372"/>
      <c r="B538" s="372"/>
      <c r="C538" s="372"/>
      <c r="D538" s="373"/>
      <c r="E538" s="373"/>
      <c r="F538" s="373"/>
      <c r="G538" s="373"/>
      <c r="H538" s="373"/>
      <c r="I538" s="373"/>
      <c r="J538" s="127"/>
      <c r="K538" s="127"/>
      <c r="L538" s="127"/>
      <c r="M538" s="127"/>
      <c r="N538" s="127"/>
    </row>
    <row r="539" spans="1:14" ht="16.5" x14ac:dyDescent="0.25">
      <c r="A539" s="372"/>
      <c r="B539" s="372"/>
      <c r="C539" s="372"/>
      <c r="D539" s="373"/>
      <c r="E539" s="373"/>
      <c r="F539" s="373"/>
      <c r="G539" s="373"/>
      <c r="H539" s="373"/>
      <c r="I539" s="373"/>
      <c r="J539" s="127"/>
      <c r="K539" s="127"/>
      <c r="L539" s="127"/>
      <c r="M539" s="127"/>
      <c r="N539" s="127"/>
    </row>
    <row r="540" spans="1:14" ht="16.5" x14ac:dyDescent="0.25">
      <c r="A540" s="372"/>
      <c r="B540" s="372"/>
      <c r="C540" s="372"/>
      <c r="D540" s="373"/>
      <c r="E540" s="373"/>
      <c r="F540" s="373"/>
      <c r="G540" s="373"/>
      <c r="H540" s="373"/>
      <c r="I540" s="373"/>
      <c r="J540" s="127"/>
      <c r="K540" s="127"/>
      <c r="L540" s="127"/>
      <c r="M540" s="127"/>
      <c r="N540" s="127"/>
    </row>
    <row r="541" spans="1:14" ht="16.5" x14ac:dyDescent="0.25">
      <c r="A541" s="372"/>
      <c r="B541" s="372"/>
      <c r="C541" s="372"/>
      <c r="D541" s="373"/>
      <c r="E541" s="373"/>
      <c r="F541" s="373"/>
      <c r="G541" s="373"/>
      <c r="H541" s="373"/>
      <c r="I541" s="373"/>
      <c r="J541" s="127"/>
      <c r="K541" s="127"/>
      <c r="L541" s="127"/>
      <c r="M541" s="127"/>
      <c r="N541" s="127"/>
    </row>
    <row r="542" spans="1:14" ht="16.5" x14ac:dyDescent="0.25">
      <c r="A542" s="372"/>
      <c r="B542" s="372"/>
      <c r="C542" s="372"/>
      <c r="D542" s="373"/>
      <c r="E542" s="373"/>
      <c r="F542" s="373"/>
      <c r="G542" s="373"/>
      <c r="H542" s="373"/>
      <c r="I542" s="373"/>
      <c r="J542" s="127"/>
      <c r="K542" s="127"/>
      <c r="L542" s="127"/>
      <c r="M542" s="127"/>
      <c r="N542" s="127"/>
    </row>
    <row r="543" spans="1:14" ht="16.5" x14ac:dyDescent="0.25">
      <c r="A543" s="372"/>
      <c r="B543" s="372"/>
      <c r="C543" s="372"/>
      <c r="D543" s="373"/>
      <c r="E543" s="373"/>
      <c r="F543" s="373"/>
      <c r="G543" s="373"/>
      <c r="H543" s="373"/>
      <c r="I543" s="373"/>
      <c r="J543" s="127"/>
      <c r="K543" s="127"/>
      <c r="L543" s="127"/>
      <c r="M543" s="127"/>
      <c r="N543" s="127"/>
    </row>
    <row r="544" spans="1:14" ht="16.5" x14ac:dyDescent="0.25">
      <c r="A544" s="372"/>
      <c r="B544" s="372"/>
      <c r="C544" s="372"/>
      <c r="D544" s="373"/>
      <c r="E544" s="373"/>
      <c r="F544" s="373"/>
      <c r="G544" s="373"/>
      <c r="H544" s="373"/>
      <c r="I544" s="373"/>
      <c r="J544" s="127"/>
      <c r="K544" s="127"/>
      <c r="L544" s="127"/>
      <c r="M544" s="127"/>
      <c r="N544" s="127"/>
    </row>
    <row r="545" spans="1:14" ht="16.5" x14ac:dyDescent="0.25">
      <c r="A545" s="372"/>
      <c r="B545" s="372"/>
      <c r="C545" s="372"/>
      <c r="D545" s="373"/>
      <c r="E545" s="373"/>
      <c r="F545" s="373"/>
      <c r="G545" s="373"/>
      <c r="H545" s="373"/>
      <c r="I545" s="373"/>
      <c r="J545" s="127"/>
      <c r="K545" s="127"/>
      <c r="L545" s="127"/>
      <c r="M545" s="127"/>
      <c r="N545" s="127"/>
    </row>
    <row r="546" spans="1:14" ht="16.5" x14ac:dyDescent="0.25">
      <c r="A546" s="372"/>
      <c r="B546" s="372"/>
      <c r="C546" s="372"/>
      <c r="D546" s="373"/>
      <c r="E546" s="373"/>
      <c r="F546" s="373"/>
      <c r="G546" s="373"/>
      <c r="H546" s="373"/>
      <c r="I546" s="373"/>
      <c r="J546" s="127"/>
      <c r="K546" s="127"/>
      <c r="L546" s="127"/>
      <c r="M546" s="127"/>
      <c r="N546" s="127"/>
    </row>
    <row r="547" spans="1:14" ht="16.5" x14ac:dyDescent="0.25">
      <c r="A547" s="372"/>
      <c r="B547" s="372"/>
      <c r="C547" s="372"/>
      <c r="D547" s="373"/>
      <c r="E547" s="373"/>
      <c r="F547" s="373"/>
      <c r="G547" s="373"/>
      <c r="H547" s="373"/>
      <c r="I547" s="373"/>
      <c r="J547" s="127"/>
      <c r="K547" s="127"/>
      <c r="L547" s="127"/>
      <c r="M547" s="127"/>
      <c r="N547" s="127"/>
    </row>
    <row r="548" spans="1:14" ht="16.5" x14ac:dyDescent="0.25">
      <c r="A548" s="372"/>
      <c r="B548" s="372"/>
      <c r="C548" s="372"/>
      <c r="D548" s="373"/>
      <c r="E548" s="373"/>
      <c r="F548" s="373"/>
      <c r="G548" s="373"/>
      <c r="H548" s="373"/>
      <c r="I548" s="373"/>
      <c r="J548" s="127"/>
      <c r="K548" s="127"/>
      <c r="L548" s="127"/>
      <c r="M548" s="127"/>
      <c r="N548" s="127"/>
    </row>
    <row r="549" spans="1:14" ht="16.5" x14ac:dyDescent="0.25">
      <c r="A549" s="372"/>
      <c r="B549" s="372"/>
      <c r="C549" s="372"/>
      <c r="D549" s="373"/>
      <c r="E549" s="373"/>
      <c r="F549" s="373"/>
      <c r="G549" s="373"/>
      <c r="H549" s="373"/>
      <c r="I549" s="373"/>
      <c r="J549" s="127"/>
      <c r="K549" s="127"/>
      <c r="L549" s="127"/>
      <c r="M549" s="127"/>
      <c r="N549" s="127"/>
    </row>
    <row r="550" spans="1:14" ht="16.5" x14ac:dyDescent="0.25">
      <c r="A550" s="372"/>
      <c r="B550" s="372"/>
      <c r="C550" s="372"/>
      <c r="D550" s="373"/>
      <c r="E550" s="373"/>
      <c r="F550" s="373"/>
      <c r="G550" s="373"/>
      <c r="H550" s="373"/>
      <c r="I550" s="373"/>
      <c r="J550" s="127"/>
      <c r="K550" s="127"/>
      <c r="L550" s="127"/>
      <c r="M550" s="127"/>
      <c r="N550" s="127"/>
    </row>
    <row r="551" spans="1:14" ht="16.5" x14ac:dyDescent="0.25">
      <c r="A551" s="372"/>
      <c r="B551" s="372"/>
      <c r="C551" s="372"/>
      <c r="D551" s="373"/>
      <c r="E551" s="373"/>
      <c r="F551" s="373"/>
      <c r="G551" s="373"/>
      <c r="H551" s="373"/>
      <c r="I551" s="373"/>
      <c r="J551" s="127"/>
      <c r="K551" s="127"/>
      <c r="L551" s="127"/>
      <c r="M551" s="127"/>
      <c r="N551" s="127"/>
    </row>
    <row r="552" spans="1:14" ht="16.5" x14ac:dyDescent="0.25">
      <c r="A552" s="372"/>
      <c r="B552" s="372"/>
      <c r="C552" s="372"/>
      <c r="D552" s="373"/>
      <c r="E552" s="373"/>
      <c r="F552" s="373"/>
      <c r="G552" s="373"/>
      <c r="H552" s="373"/>
      <c r="I552" s="373"/>
      <c r="J552" s="127"/>
      <c r="K552" s="127"/>
      <c r="L552" s="127"/>
      <c r="M552" s="127"/>
      <c r="N552" s="127"/>
    </row>
    <row r="553" spans="1:14" ht="16.5" x14ac:dyDescent="0.25">
      <c r="A553" s="372"/>
      <c r="B553" s="372"/>
      <c r="C553" s="372"/>
      <c r="D553" s="373"/>
      <c r="E553" s="373"/>
      <c r="F553" s="373"/>
      <c r="G553" s="373"/>
      <c r="H553" s="373"/>
      <c r="I553" s="373"/>
      <c r="J553" s="127"/>
      <c r="K553" s="127"/>
      <c r="L553" s="127"/>
      <c r="M553" s="127"/>
      <c r="N553" s="127"/>
    </row>
    <row r="554" spans="1:14" ht="16.5" x14ac:dyDescent="0.25">
      <c r="A554" s="372"/>
      <c r="B554" s="372"/>
      <c r="C554" s="372"/>
      <c r="D554" s="373"/>
      <c r="E554" s="373"/>
      <c r="F554" s="373"/>
      <c r="G554" s="373"/>
      <c r="H554" s="373"/>
      <c r="I554" s="373"/>
      <c r="J554" s="127"/>
      <c r="K554" s="127"/>
      <c r="L554" s="127"/>
      <c r="M554" s="127"/>
      <c r="N554" s="127"/>
    </row>
    <row r="555" spans="1:14" ht="16.5" x14ac:dyDescent="0.25">
      <c r="A555" s="372"/>
      <c r="B555" s="372"/>
      <c r="C555" s="372"/>
      <c r="D555" s="373"/>
      <c r="E555" s="373"/>
      <c r="F555" s="373"/>
      <c r="G555" s="373"/>
      <c r="H555" s="373"/>
      <c r="I555" s="373"/>
      <c r="J555" s="127"/>
      <c r="K555" s="127"/>
      <c r="L555" s="127"/>
      <c r="M555" s="127"/>
      <c r="N555" s="127"/>
    </row>
    <row r="556" spans="1:14" ht="16.5" x14ac:dyDescent="0.25">
      <c r="A556" s="372"/>
      <c r="B556" s="372"/>
      <c r="C556" s="372"/>
      <c r="D556" s="373"/>
      <c r="E556" s="373"/>
      <c r="F556" s="373"/>
      <c r="G556" s="373"/>
      <c r="H556" s="373"/>
      <c r="I556" s="373"/>
      <c r="J556" s="127"/>
      <c r="K556" s="127"/>
      <c r="L556" s="127"/>
      <c r="M556" s="127"/>
      <c r="N556" s="127"/>
    </row>
    <row r="557" spans="1:14" ht="16.5" x14ac:dyDescent="0.25">
      <c r="A557" s="372"/>
      <c r="B557" s="372"/>
      <c r="C557" s="372"/>
      <c r="D557" s="373"/>
      <c r="E557" s="373"/>
      <c r="F557" s="373"/>
      <c r="G557" s="373"/>
      <c r="H557" s="373"/>
      <c r="I557" s="373"/>
      <c r="J557" s="127"/>
      <c r="K557" s="127"/>
      <c r="L557" s="127"/>
      <c r="M557" s="127"/>
      <c r="N557" s="127"/>
    </row>
    <row r="558" spans="1:14" ht="16.5" x14ac:dyDescent="0.25">
      <c r="A558" s="372"/>
      <c r="B558" s="372"/>
      <c r="C558" s="372"/>
      <c r="D558" s="373"/>
      <c r="E558" s="373"/>
      <c r="F558" s="373"/>
      <c r="G558" s="373"/>
      <c r="H558" s="373"/>
      <c r="I558" s="373"/>
      <c r="J558" s="127"/>
      <c r="K558" s="127"/>
      <c r="L558" s="127"/>
      <c r="M558" s="127"/>
      <c r="N558" s="127"/>
    </row>
    <row r="559" spans="1:14" ht="16.5" x14ac:dyDescent="0.25">
      <c r="A559" s="372"/>
      <c r="B559" s="372"/>
      <c r="C559" s="372"/>
      <c r="D559" s="373"/>
      <c r="E559" s="373"/>
      <c r="F559" s="373"/>
      <c r="G559" s="373"/>
      <c r="H559" s="373"/>
      <c r="I559" s="373"/>
      <c r="J559" s="127"/>
      <c r="K559" s="127"/>
      <c r="L559" s="127"/>
      <c r="M559" s="127"/>
      <c r="N559" s="127"/>
    </row>
    <row r="560" spans="1:14" ht="16.5" x14ac:dyDescent="0.25">
      <c r="A560" s="372"/>
      <c r="B560" s="372"/>
      <c r="C560" s="372"/>
      <c r="D560" s="373"/>
      <c r="E560" s="373"/>
      <c r="F560" s="373"/>
      <c r="G560" s="373"/>
      <c r="H560" s="373"/>
      <c r="I560" s="373"/>
      <c r="J560" s="127"/>
      <c r="K560" s="127"/>
      <c r="L560" s="127"/>
      <c r="M560" s="127"/>
      <c r="N560" s="127"/>
    </row>
    <row r="561" spans="1:14" ht="16.5" x14ac:dyDescent="0.25">
      <c r="A561" s="372"/>
      <c r="B561" s="372"/>
      <c r="C561" s="372"/>
      <c r="D561" s="373"/>
      <c r="E561" s="373"/>
      <c r="F561" s="373"/>
      <c r="G561" s="373"/>
      <c r="H561" s="373"/>
      <c r="I561" s="373"/>
      <c r="J561" s="127"/>
      <c r="K561" s="127"/>
      <c r="L561" s="127"/>
      <c r="M561" s="127"/>
      <c r="N561" s="127"/>
    </row>
    <row r="562" spans="1:14" ht="16.5" x14ac:dyDescent="0.25">
      <c r="A562" s="372"/>
      <c r="B562" s="372"/>
      <c r="C562" s="372"/>
      <c r="D562" s="373"/>
      <c r="E562" s="373"/>
      <c r="F562" s="373"/>
      <c r="G562" s="373"/>
      <c r="H562" s="373"/>
      <c r="I562" s="373"/>
      <c r="J562" s="127"/>
      <c r="K562" s="127"/>
      <c r="L562" s="127"/>
      <c r="M562" s="127"/>
      <c r="N562" s="127"/>
    </row>
    <row r="563" spans="1:14" ht="16.5" x14ac:dyDescent="0.25">
      <c r="A563" s="372"/>
      <c r="B563" s="372"/>
      <c r="C563" s="372"/>
      <c r="D563" s="373"/>
      <c r="E563" s="373"/>
      <c r="F563" s="373"/>
      <c r="G563" s="373"/>
      <c r="H563" s="373"/>
      <c r="I563" s="373"/>
      <c r="J563" s="127"/>
      <c r="K563" s="127"/>
      <c r="L563" s="127"/>
      <c r="M563" s="127"/>
      <c r="N563" s="127"/>
    </row>
    <row r="564" spans="1:14" ht="16.5" x14ac:dyDescent="0.25">
      <c r="A564" s="372"/>
      <c r="B564" s="372"/>
      <c r="C564" s="372"/>
      <c r="D564" s="373"/>
      <c r="E564" s="373"/>
      <c r="F564" s="373"/>
      <c r="G564" s="373"/>
      <c r="H564" s="373"/>
      <c r="I564" s="373"/>
      <c r="J564" s="127"/>
      <c r="K564" s="127"/>
      <c r="L564" s="127"/>
      <c r="M564" s="127"/>
      <c r="N564" s="127"/>
    </row>
    <row r="565" spans="1:14" ht="16.5" x14ac:dyDescent="0.25">
      <c r="A565" s="372"/>
      <c r="B565" s="372"/>
      <c r="C565" s="372"/>
      <c r="D565" s="373"/>
      <c r="E565" s="373"/>
      <c r="F565" s="373"/>
      <c r="G565" s="373"/>
      <c r="H565" s="373"/>
      <c r="I565" s="373"/>
      <c r="J565" s="127"/>
      <c r="K565" s="127"/>
      <c r="L565" s="127"/>
      <c r="M565" s="127"/>
      <c r="N565" s="127"/>
    </row>
    <row r="566" spans="1:14" ht="16.5" x14ac:dyDescent="0.25">
      <c r="A566" s="372"/>
      <c r="B566" s="372"/>
      <c r="C566" s="372"/>
      <c r="D566" s="373"/>
      <c r="E566" s="373"/>
      <c r="F566" s="373"/>
      <c r="G566" s="373"/>
      <c r="H566" s="373"/>
      <c r="I566" s="373"/>
      <c r="J566" s="127"/>
      <c r="K566" s="127"/>
      <c r="L566" s="127"/>
      <c r="M566" s="127"/>
      <c r="N566" s="127"/>
    </row>
    <row r="567" spans="1:14" ht="16.5" x14ac:dyDescent="0.25">
      <c r="A567" s="372"/>
      <c r="B567" s="372"/>
      <c r="C567" s="372"/>
      <c r="D567" s="373"/>
      <c r="E567" s="373"/>
      <c r="F567" s="373"/>
      <c r="G567" s="373"/>
      <c r="H567" s="373"/>
      <c r="I567" s="373"/>
      <c r="J567" s="127"/>
      <c r="K567" s="127"/>
      <c r="L567" s="127"/>
      <c r="M567" s="127"/>
      <c r="N567" s="127"/>
    </row>
    <row r="568" spans="1:14" ht="16.5" x14ac:dyDescent="0.25">
      <c r="A568" s="372"/>
      <c r="B568" s="372"/>
      <c r="C568" s="372"/>
      <c r="D568" s="373"/>
      <c r="E568" s="373"/>
      <c r="F568" s="373"/>
      <c r="G568" s="373"/>
      <c r="H568" s="373"/>
      <c r="I568" s="373"/>
      <c r="J568" s="127"/>
      <c r="K568" s="127"/>
      <c r="L568" s="127"/>
      <c r="M568" s="127"/>
      <c r="N568" s="127"/>
    </row>
    <row r="569" spans="1:14" ht="16.5" x14ac:dyDescent="0.25">
      <c r="A569" s="372"/>
      <c r="B569" s="372"/>
      <c r="C569" s="372"/>
      <c r="D569" s="373"/>
      <c r="E569" s="373"/>
      <c r="F569" s="373"/>
      <c r="G569" s="373"/>
      <c r="H569" s="373"/>
      <c r="I569" s="373"/>
      <c r="J569" s="127"/>
      <c r="K569" s="127"/>
      <c r="L569" s="127"/>
      <c r="M569" s="127"/>
      <c r="N569" s="127"/>
    </row>
    <row r="570" spans="1:14" ht="16.5" x14ac:dyDescent="0.25">
      <c r="A570" s="372"/>
      <c r="B570" s="372"/>
      <c r="C570" s="372"/>
      <c r="D570" s="373"/>
      <c r="E570" s="373"/>
      <c r="F570" s="373"/>
      <c r="G570" s="373"/>
      <c r="H570" s="373"/>
      <c r="I570" s="373"/>
      <c r="J570" s="127"/>
      <c r="K570" s="127"/>
      <c r="L570" s="127"/>
      <c r="M570" s="127"/>
      <c r="N570" s="127"/>
    </row>
    <row r="571" spans="1:14" ht="16.5" x14ac:dyDescent="0.25">
      <c r="A571" s="372"/>
      <c r="B571" s="372"/>
      <c r="C571" s="372"/>
      <c r="D571" s="373"/>
      <c r="E571" s="373"/>
      <c r="F571" s="373"/>
      <c r="G571" s="373"/>
      <c r="H571" s="373"/>
      <c r="I571" s="373"/>
      <c r="J571" s="127"/>
      <c r="K571" s="127"/>
      <c r="L571" s="127"/>
      <c r="M571" s="127"/>
      <c r="N571" s="127"/>
    </row>
    <row r="572" spans="1:14" ht="16.5" x14ac:dyDescent="0.25">
      <c r="A572" s="372"/>
      <c r="B572" s="372"/>
      <c r="C572" s="372"/>
      <c r="D572" s="373"/>
      <c r="E572" s="373"/>
      <c r="F572" s="373"/>
      <c r="G572" s="373"/>
      <c r="H572" s="373"/>
      <c r="I572" s="373"/>
      <c r="J572" s="127"/>
      <c r="K572" s="127"/>
      <c r="L572" s="127"/>
      <c r="M572" s="127"/>
      <c r="N572" s="127"/>
    </row>
    <row r="573" spans="1:14" ht="16.5" x14ac:dyDescent="0.25">
      <c r="A573" s="372"/>
      <c r="B573" s="372"/>
      <c r="C573" s="372"/>
      <c r="D573" s="373"/>
      <c r="E573" s="373"/>
      <c r="F573" s="373"/>
      <c r="G573" s="373"/>
      <c r="H573" s="373"/>
      <c r="I573" s="373"/>
      <c r="J573" s="127"/>
      <c r="K573" s="127"/>
      <c r="L573" s="127"/>
      <c r="M573" s="127"/>
      <c r="N573" s="127"/>
    </row>
    <row r="574" spans="1:14" ht="16.5" x14ac:dyDescent="0.25">
      <c r="A574" s="372"/>
      <c r="B574" s="372"/>
      <c r="C574" s="372"/>
      <c r="D574" s="373"/>
      <c r="E574" s="373"/>
      <c r="F574" s="373"/>
      <c r="G574" s="373"/>
      <c r="H574" s="373"/>
      <c r="I574" s="373"/>
      <c r="J574" s="127"/>
      <c r="K574" s="127"/>
      <c r="L574" s="127"/>
      <c r="M574" s="127"/>
      <c r="N574" s="127"/>
    </row>
    <row r="575" spans="1:14" ht="16.5" x14ac:dyDescent="0.25">
      <c r="A575" s="372"/>
      <c r="B575" s="372"/>
      <c r="C575" s="372"/>
      <c r="D575" s="373"/>
      <c r="E575" s="373"/>
      <c r="F575" s="373"/>
      <c r="G575" s="373"/>
      <c r="H575" s="373"/>
      <c r="I575" s="373"/>
      <c r="J575" s="127"/>
      <c r="K575" s="127"/>
      <c r="L575" s="127"/>
      <c r="M575" s="127"/>
      <c r="N575" s="127"/>
    </row>
    <row r="576" spans="1:14" ht="16.5" x14ac:dyDescent="0.25">
      <c r="A576" s="372"/>
      <c r="B576" s="372"/>
      <c r="C576" s="372"/>
      <c r="D576" s="373"/>
      <c r="E576" s="373"/>
      <c r="F576" s="373"/>
      <c r="G576" s="373"/>
      <c r="H576" s="373"/>
      <c r="I576" s="373"/>
      <c r="J576" s="127"/>
      <c r="K576" s="127"/>
      <c r="L576" s="127"/>
      <c r="M576" s="127"/>
      <c r="N576" s="127"/>
    </row>
    <row r="577" spans="1:14" ht="16.5" x14ac:dyDescent="0.25">
      <c r="A577" s="372"/>
      <c r="B577" s="372"/>
      <c r="C577" s="372"/>
      <c r="D577" s="373"/>
      <c r="E577" s="373"/>
      <c r="F577" s="373"/>
      <c r="G577" s="373"/>
      <c r="H577" s="373"/>
      <c r="I577" s="373"/>
      <c r="J577" s="127"/>
      <c r="K577" s="127"/>
      <c r="L577" s="127"/>
      <c r="M577" s="127"/>
      <c r="N577" s="127"/>
    </row>
    <row r="578" spans="1:14" ht="16.5" x14ac:dyDescent="0.25">
      <c r="A578" s="372"/>
      <c r="B578" s="372"/>
      <c r="C578" s="372"/>
      <c r="D578" s="373"/>
      <c r="E578" s="373"/>
      <c r="F578" s="373"/>
      <c r="G578" s="373"/>
      <c r="H578" s="373"/>
      <c r="I578" s="373"/>
      <c r="J578" s="127"/>
      <c r="K578" s="127"/>
      <c r="L578" s="127"/>
      <c r="M578" s="127"/>
      <c r="N578" s="127"/>
    </row>
    <row r="579" spans="1:14" ht="16.5" x14ac:dyDescent="0.25">
      <c r="A579" s="372"/>
      <c r="B579" s="372"/>
      <c r="C579" s="372"/>
      <c r="D579" s="373"/>
      <c r="E579" s="373"/>
      <c r="F579" s="373"/>
      <c r="G579" s="373"/>
      <c r="H579" s="373"/>
      <c r="I579" s="373"/>
      <c r="J579" s="127"/>
      <c r="K579" s="127"/>
      <c r="L579" s="127"/>
      <c r="M579" s="127"/>
      <c r="N579" s="127"/>
    </row>
    <row r="580" spans="1:14" ht="16.5" x14ac:dyDescent="0.25">
      <c r="A580" s="372"/>
      <c r="B580" s="372"/>
      <c r="C580" s="372"/>
      <c r="D580" s="373"/>
      <c r="E580" s="373"/>
      <c r="F580" s="373"/>
      <c r="G580" s="373"/>
      <c r="H580" s="373"/>
      <c r="I580" s="373"/>
      <c r="J580" s="127"/>
      <c r="K580" s="127"/>
      <c r="L580" s="127"/>
      <c r="M580" s="127"/>
      <c r="N580" s="127"/>
    </row>
    <row r="581" spans="1:14" ht="16.5" x14ac:dyDescent="0.25">
      <c r="A581" s="372"/>
      <c r="B581" s="372"/>
      <c r="C581" s="372"/>
      <c r="D581" s="373"/>
      <c r="E581" s="373"/>
      <c r="F581" s="373"/>
      <c r="G581" s="373"/>
      <c r="H581" s="373"/>
      <c r="I581" s="373"/>
      <c r="J581" s="127"/>
      <c r="K581" s="127"/>
      <c r="L581" s="127"/>
      <c r="M581" s="127"/>
      <c r="N581" s="127"/>
    </row>
    <row r="582" spans="1:14" ht="16.5" x14ac:dyDescent="0.25">
      <c r="A582" s="372"/>
      <c r="B582" s="372"/>
      <c r="C582" s="372"/>
      <c r="D582" s="373"/>
      <c r="E582" s="373"/>
      <c r="F582" s="373"/>
      <c r="G582" s="373"/>
      <c r="H582" s="373"/>
      <c r="I582" s="373"/>
      <c r="J582" s="127"/>
      <c r="K582" s="127"/>
      <c r="L582" s="127"/>
      <c r="M582" s="127"/>
      <c r="N582" s="127"/>
    </row>
    <row r="583" spans="1:14" ht="16.5" x14ac:dyDescent="0.25">
      <c r="A583" s="372"/>
      <c r="B583" s="372"/>
      <c r="C583" s="372"/>
      <c r="D583" s="373"/>
      <c r="E583" s="373"/>
      <c r="F583" s="373"/>
      <c r="G583" s="373"/>
      <c r="H583" s="373"/>
      <c r="I583" s="373"/>
      <c r="J583" s="127"/>
      <c r="K583" s="127"/>
      <c r="L583" s="127"/>
      <c r="M583" s="127"/>
      <c r="N583" s="127"/>
    </row>
    <row r="584" spans="1:14" ht="16.5" x14ac:dyDescent="0.25">
      <c r="A584" s="372"/>
      <c r="B584" s="372"/>
      <c r="C584" s="372"/>
      <c r="D584" s="373"/>
      <c r="E584" s="373"/>
      <c r="F584" s="373"/>
      <c r="G584" s="373"/>
      <c r="H584" s="373"/>
      <c r="I584" s="373"/>
      <c r="J584" s="127"/>
      <c r="K584" s="127"/>
      <c r="L584" s="127"/>
      <c r="M584" s="127"/>
      <c r="N584" s="127"/>
    </row>
    <row r="585" spans="1:14" ht="16.5" x14ac:dyDescent="0.25">
      <c r="A585" s="372"/>
      <c r="B585" s="372"/>
      <c r="C585" s="372"/>
      <c r="D585" s="373"/>
      <c r="E585" s="373"/>
      <c r="F585" s="373"/>
      <c r="G585" s="373"/>
      <c r="H585" s="373"/>
      <c r="I585" s="373"/>
      <c r="J585" s="127"/>
      <c r="K585" s="127"/>
      <c r="L585" s="127"/>
      <c r="M585" s="127"/>
      <c r="N585" s="127"/>
    </row>
    <row r="586" spans="1:14" ht="16.5" x14ac:dyDescent="0.25">
      <c r="A586" s="372"/>
      <c r="B586" s="372"/>
      <c r="C586" s="372"/>
      <c r="D586" s="373"/>
      <c r="E586" s="373"/>
      <c r="F586" s="373"/>
      <c r="G586" s="373"/>
      <c r="H586" s="373"/>
      <c r="I586" s="373"/>
      <c r="J586" s="127"/>
      <c r="K586" s="127"/>
      <c r="L586" s="127"/>
      <c r="M586" s="127"/>
      <c r="N586" s="127"/>
    </row>
    <row r="587" spans="1:14" ht="16.5" x14ac:dyDescent="0.25">
      <c r="A587" s="372"/>
      <c r="B587" s="372"/>
      <c r="C587" s="372"/>
      <c r="D587" s="373"/>
      <c r="E587" s="373"/>
      <c r="F587" s="373"/>
      <c r="G587" s="373"/>
      <c r="H587" s="373"/>
      <c r="I587" s="373"/>
      <c r="J587" s="127"/>
      <c r="K587" s="127"/>
      <c r="L587" s="127"/>
      <c r="M587" s="127"/>
      <c r="N587" s="127"/>
    </row>
    <row r="588" spans="1:14" ht="16.5" x14ac:dyDescent="0.25">
      <c r="A588" s="372"/>
      <c r="B588" s="372"/>
      <c r="C588" s="372"/>
      <c r="D588" s="373"/>
      <c r="E588" s="373"/>
      <c r="F588" s="373"/>
      <c r="G588" s="373"/>
      <c r="H588" s="373"/>
      <c r="I588" s="373"/>
      <c r="J588" s="127"/>
      <c r="K588" s="127"/>
      <c r="L588" s="127"/>
      <c r="M588" s="127"/>
      <c r="N588" s="127"/>
    </row>
    <row r="589" spans="1:14" ht="16.5" x14ac:dyDescent="0.25">
      <c r="A589" s="372"/>
      <c r="B589" s="372"/>
      <c r="C589" s="372"/>
      <c r="D589" s="373"/>
      <c r="E589" s="373"/>
      <c r="F589" s="373"/>
      <c r="G589" s="373"/>
      <c r="H589" s="373"/>
      <c r="I589" s="373"/>
      <c r="J589" s="127"/>
      <c r="K589" s="127"/>
      <c r="L589" s="127"/>
      <c r="M589" s="127"/>
      <c r="N589" s="127"/>
    </row>
    <row r="590" spans="1:14" ht="16.5" x14ac:dyDescent="0.25">
      <c r="A590" s="372"/>
      <c r="B590" s="372"/>
      <c r="C590" s="372"/>
      <c r="D590" s="373"/>
      <c r="E590" s="373"/>
      <c r="F590" s="373"/>
      <c r="G590" s="373"/>
      <c r="H590" s="373"/>
      <c r="I590" s="373"/>
      <c r="J590" s="127"/>
      <c r="K590" s="127"/>
      <c r="L590" s="127"/>
      <c r="M590" s="127"/>
      <c r="N590" s="127"/>
    </row>
    <row r="591" spans="1:14" ht="16.5" x14ac:dyDescent="0.25">
      <c r="A591" s="372"/>
      <c r="B591" s="372"/>
      <c r="C591" s="372"/>
      <c r="D591" s="373"/>
      <c r="E591" s="373"/>
      <c r="F591" s="373"/>
      <c r="G591" s="373"/>
      <c r="H591" s="373"/>
      <c r="I591" s="373"/>
      <c r="J591" s="127"/>
      <c r="K591" s="127"/>
      <c r="L591" s="127"/>
      <c r="M591" s="127"/>
      <c r="N591" s="127"/>
    </row>
    <row r="592" spans="1:14" ht="16.5" x14ac:dyDescent="0.25">
      <c r="A592" s="372"/>
      <c r="B592" s="372"/>
      <c r="C592" s="372"/>
      <c r="D592" s="373"/>
      <c r="E592" s="373"/>
      <c r="F592" s="373"/>
      <c r="G592" s="373"/>
      <c r="H592" s="373"/>
      <c r="I592" s="373"/>
      <c r="J592" s="127"/>
      <c r="K592" s="127"/>
      <c r="L592" s="127"/>
      <c r="M592" s="127"/>
      <c r="N592" s="127"/>
    </row>
    <row r="593" spans="1:14" ht="16.5" x14ac:dyDescent="0.25">
      <c r="A593" s="372"/>
      <c r="B593" s="372"/>
      <c r="C593" s="372"/>
      <c r="D593" s="373"/>
      <c r="E593" s="373"/>
      <c r="F593" s="373"/>
      <c r="G593" s="373"/>
      <c r="H593" s="373"/>
      <c r="I593" s="373"/>
      <c r="J593" s="127"/>
      <c r="K593" s="127"/>
      <c r="L593" s="127"/>
      <c r="M593" s="127"/>
      <c r="N593" s="127"/>
    </row>
    <row r="594" spans="1:14" ht="16.5" x14ac:dyDescent="0.25">
      <c r="A594" s="372"/>
      <c r="B594" s="372"/>
      <c r="C594" s="372"/>
      <c r="D594" s="373"/>
      <c r="E594" s="373"/>
      <c r="F594" s="373"/>
      <c r="G594" s="373"/>
      <c r="H594" s="373"/>
      <c r="I594" s="373"/>
      <c r="J594" s="127"/>
      <c r="K594" s="127"/>
      <c r="L594" s="127"/>
      <c r="M594" s="127"/>
      <c r="N594" s="127"/>
    </row>
    <row r="595" spans="1:14" ht="16.5" x14ac:dyDescent="0.25">
      <c r="A595" s="372"/>
      <c r="B595" s="372"/>
      <c r="C595" s="372"/>
      <c r="D595" s="373"/>
      <c r="E595" s="373"/>
      <c r="F595" s="373"/>
      <c r="G595" s="373"/>
      <c r="H595" s="373"/>
      <c r="I595" s="373"/>
      <c r="J595" s="127"/>
      <c r="K595" s="127"/>
      <c r="L595" s="127"/>
      <c r="M595" s="127"/>
      <c r="N595" s="127"/>
    </row>
    <row r="596" spans="1:14" ht="16.5" x14ac:dyDescent="0.25">
      <c r="A596" s="372"/>
      <c r="B596" s="372"/>
      <c r="C596" s="372"/>
      <c r="D596" s="373"/>
      <c r="E596" s="373"/>
      <c r="F596" s="373"/>
      <c r="G596" s="373"/>
      <c r="H596" s="373"/>
      <c r="I596" s="373"/>
      <c r="J596" s="127"/>
      <c r="K596" s="127"/>
      <c r="L596" s="127"/>
      <c r="M596" s="127"/>
      <c r="N596" s="127"/>
    </row>
    <row r="597" spans="1:14" ht="16.5" x14ac:dyDescent="0.25">
      <c r="A597" s="372"/>
      <c r="B597" s="372"/>
      <c r="C597" s="372"/>
      <c r="D597" s="373"/>
      <c r="E597" s="373"/>
      <c r="F597" s="373"/>
      <c r="G597" s="373"/>
      <c r="H597" s="373"/>
      <c r="I597" s="373"/>
      <c r="J597" s="127"/>
      <c r="K597" s="127"/>
      <c r="L597" s="127"/>
      <c r="M597" s="127"/>
      <c r="N597" s="127"/>
    </row>
    <row r="598" spans="1:14" ht="16.5" x14ac:dyDescent="0.25">
      <c r="A598" s="372"/>
      <c r="B598" s="372"/>
      <c r="C598" s="372"/>
      <c r="D598" s="373"/>
      <c r="E598" s="373"/>
      <c r="F598" s="373"/>
      <c r="G598" s="373"/>
      <c r="H598" s="373"/>
      <c r="I598" s="373"/>
      <c r="J598" s="127"/>
      <c r="K598" s="127"/>
      <c r="L598" s="127"/>
      <c r="M598" s="127"/>
      <c r="N598" s="127"/>
    </row>
    <row r="599" spans="1:14" ht="16.5" x14ac:dyDescent="0.25">
      <c r="A599" s="372"/>
      <c r="B599" s="372"/>
      <c r="C599" s="372"/>
      <c r="D599" s="373"/>
      <c r="E599" s="373"/>
      <c r="F599" s="373"/>
      <c r="G599" s="373"/>
      <c r="H599" s="373"/>
      <c r="I599" s="373"/>
      <c r="J599" s="127"/>
      <c r="K599" s="127"/>
      <c r="L599" s="127"/>
      <c r="M599" s="127"/>
      <c r="N599" s="127"/>
    </row>
    <row r="600" spans="1:14" ht="16.5" x14ac:dyDescent="0.25">
      <c r="A600" s="372"/>
      <c r="B600" s="372"/>
      <c r="C600" s="372"/>
      <c r="D600" s="373"/>
      <c r="E600" s="373"/>
      <c r="F600" s="373"/>
      <c r="G600" s="373"/>
      <c r="H600" s="373"/>
      <c r="I600" s="373"/>
      <c r="J600" s="127"/>
      <c r="K600" s="127"/>
      <c r="L600" s="127"/>
      <c r="M600" s="127"/>
      <c r="N600" s="127"/>
    </row>
    <row r="601" spans="1:14" ht="16.5" x14ac:dyDescent="0.25">
      <c r="A601" s="372"/>
      <c r="B601" s="372"/>
      <c r="C601" s="372"/>
      <c r="D601" s="373"/>
      <c r="E601" s="373"/>
      <c r="F601" s="373"/>
      <c r="G601" s="373"/>
      <c r="H601" s="373"/>
      <c r="I601" s="373"/>
      <c r="J601" s="127"/>
      <c r="K601" s="127"/>
      <c r="L601" s="127"/>
      <c r="M601" s="127"/>
      <c r="N601" s="127"/>
    </row>
    <row r="602" spans="1:14" ht="16.5" x14ac:dyDescent="0.25">
      <c r="A602" s="372"/>
      <c r="B602" s="372"/>
      <c r="C602" s="372"/>
      <c r="D602" s="373"/>
      <c r="E602" s="373"/>
      <c r="F602" s="373"/>
      <c r="G602" s="373"/>
      <c r="H602" s="373"/>
      <c r="I602" s="373"/>
      <c r="J602" s="127"/>
      <c r="K602" s="127"/>
      <c r="L602" s="127"/>
      <c r="M602" s="127"/>
      <c r="N602" s="127"/>
    </row>
    <row r="603" spans="1:14" ht="16.5" x14ac:dyDescent="0.25">
      <c r="A603" s="372"/>
      <c r="B603" s="372"/>
      <c r="C603" s="372"/>
      <c r="D603" s="373"/>
      <c r="E603" s="373"/>
      <c r="F603" s="373"/>
      <c r="G603" s="373"/>
      <c r="H603" s="373"/>
      <c r="I603" s="373"/>
      <c r="J603" s="127"/>
      <c r="K603" s="127"/>
      <c r="L603" s="127"/>
      <c r="M603" s="127"/>
      <c r="N603" s="127"/>
    </row>
    <row r="604" spans="1:14" ht="16.5" x14ac:dyDescent="0.25">
      <c r="A604" s="372"/>
      <c r="B604" s="372"/>
      <c r="C604" s="372"/>
      <c r="D604" s="373"/>
      <c r="E604" s="373"/>
      <c r="F604" s="373"/>
      <c r="G604" s="373"/>
      <c r="H604" s="373"/>
      <c r="I604" s="373"/>
      <c r="J604" s="127"/>
      <c r="K604" s="127"/>
      <c r="L604" s="127"/>
      <c r="M604" s="127"/>
      <c r="N604" s="127"/>
    </row>
    <row r="605" spans="1:14" ht="16.5" x14ac:dyDescent="0.25">
      <c r="A605" s="372"/>
      <c r="B605" s="372"/>
      <c r="C605" s="372"/>
      <c r="D605" s="373"/>
      <c r="E605" s="373"/>
      <c r="F605" s="373"/>
      <c r="G605" s="373"/>
      <c r="H605" s="373"/>
      <c r="I605" s="373"/>
      <c r="J605" s="127"/>
      <c r="K605" s="127"/>
      <c r="L605" s="127"/>
      <c r="M605" s="127"/>
      <c r="N605" s="127"/>
    </row>
    <row r="606" spans="1:14" ht="16.5" x14ac:dyDescent="0.25">
      <c r="A606" s="372"/>
      <c r="B606" s="372"/>
      <c r="C606" s="372"/>
      <c r="D606" s="373"/>
      <c r="E606" s="373"/>
      <c r="F606" s="373"/>
      <c r="G606" s="373"/>
      <c r="H606" s="373"/>
      <c r="I606" s="373"/>
      <c r="J606" s="127"/>
      <c r="K606" s="127"/>
      <c r="L606" s="127"/>
      <c r="M606" s="127"/>
      <c r="N606" s="127"/>
    </row>
    <row r="607" spans="1:14" ht="16.5" x14ac:dyDescent="0.25">
      <c r="A607" s="372"/>
      <c r="B607" s="372"/>
      <c r="C607" s="372"/>
      <c r="D607" s="373"/>
      <c r="E607" s="373"/>
      <c r="F607" s="373"/>
      <c r="G607" s="373"/>
      <c r="H607" s="373"/>
      <c r="I607" s="373"/>
      <c r="J607" s="127"/>
      <c r="K607" s="127"/>
      <c r="L607" s="127"/>
      <c r="M607" s="127"/>
      <c r="N607" s="127"/>
    </row>
    <row r="608" spans="1:14" ht="16.5" x14ac:dyDescent="0.25">
      <c r="A608" s="372"/>
      <c r="B608" s="372"/>
      <c r="C608" s="372"/>
      <c r="D608" s="373"/>
      <c r="E608" s="373"/>
      <c r="F608" s="373"/>
      <c r="G608" s="373"/>
      <c r="H608" s="373"/>
      <c r="I608" s="373"/>
      <c r="J608" s="127"/>
      <c r="K608" s="127"/>
      <c r="L608" s="127"/>
      <c r="M608" s="127"/>
      <c r="N608" s="127"/>
    </row>
    <row r="609" spans="1:14" ht="16.5" x14ac:dyDescent="0.25">
      <c r="A609" s="372"/>
      <c r="B609" s="372"/>
      <c r="C609" s="372"/>
      <c r="D609" s="373"/>
      <c r="E609" s="373"/>
      <c r="F609" s="373"/>
      <c r="G609" s="373"/>
      <c r="H609" s="373"/>
      <c r="I609" s="373"/>
      <c r="J609" s="127"/>
      <c r="K609" s="127"/>
      <c r="L609" s="127"/>
      <c r="M609" s="127"/>
      <c r="N609" s="127"/>
    </row>
    <row r="610" spans="1:14" ht="16.5" x14ac:dyDescent="0.25">
      <c r="A610" s="372"/>
      <c r="B610" s="372"/>
      <c r="C610" s="372"/>
      <c r="D610" s="373"/>
      <c r="E610" s="373"/>
      <c r="F610" s="373"/>
      <c r="G610" s="373"/>
      <c r="H610" s="373"/>
      <c r="I610" s="373"/>
      <c r="J610" s="127"/>
      <c r="K610" s="127"/>
      <c r="L610" s="127"/>
      <c r="M610" s="127"/>
      <c r="N610" s="127"/>
    </row>
    <row r="611" spans="1:14" ht="16.5" x14ac:dyDescent="0.25">
      <c r="A611" s="372"/>
      <c r="B611" s="372"/>
      <c r="C611" s="372"/>
      <c r="D611" s="373"/>
      <c r="E611" s="373"/>
      <c r="F611" s="373"/>
      <c r="G611" s="373"/>
      <c r="H611" s="373"/>
      <c r="I611" s="373"/>
      <c r="J611" s="127"/>
      <c r="K611" s="127"/>
      <c r="L611" s="127"/>
      <c r="M611" s="127"/>
      <c r="N611" s="127"/>
    </row>
    <row r="612" spans="1:14" ht="16.5" x14ac:dyDescent="0.25">
      <c r="A612" s="372"/>
      <c r="B612" s="372"/>
      <c r="C612" s="372"/>
      <c r="D612" s="373"/>
      <c r="E612" s="373"/>
      <c r="F612" s="373"/>
      <c r="G612" s="373"/>
      <c r="H612" s="373"/>
      <c r="I612" s="373"/>
      <c r="J612" s="127"/>
      <c r="K612" s="127"/>
      <c r="L612" s="127"/>
      <c r="M612" s="127"/>
      <c r="N612" s="127"/>
    </row>
    <row r="613" spans="1:14" ht="16.5" x14ac:dyDescent="0.25">
      <c r="A613" s="372"/>
      <c r="B613" s="372"/>
      <c r="C613" s="372"/>
      <c r="D613" s="373"/>
      <c r="E613" s="373"/>
      <c r="F613" s="373"/>
      <c r="G613" s="373"/>
      <c r="H613" s="373"/>
      <c r="I613" s="373"/>
      <c r="J613" s="127"/>
      <c r="K613" s="127"/>
      <c r="L613" s="127"/>
      <c r="M613" s="127"/>
      <c r="N613" s="127"/>
    </row>
    <row r="614" spans="1:14" ht="16.5" x14ac:dyDescent="0.25">
      <c r="A614" s="372"/>
      <c r="B614" s="372"/>
      <c r="C614" s="372"/>
      <c r="D614" s="373"/>
      <c r="E614" s="373"/>
      <c r="F614" s="373"/>
      <c r="G614" s="373"/>
      <c r="H614" s="373"/>
      <c r="I614" s="373"/>
      <c r="J614" s="127"/>
      <c r="K614" s="127"/>
      <c r="L614" s="127"/>
      <c r="M614" s="127"/>
      <c r="N614" s="127"/>
    </row>
    <row r="615" spans="1:14" ht="16.5" x14ac:dyDescent="0.25">
      <c r="A615" s="372"/>
      <c r="B615" s="372"/>
      <c r="C615" s="372"/>
      <c r="D615" s="373"/>
      <c r="E615" s="373"/>
      <c r="F615" s="373"/>
      <c r="G615" s="373"/>
      <c r="H615" s="373"/>
      <c r="I615" s="373"/>
      <c r="J615" s="127"/>
      <c r="K615" s="127"/>
      <c r="L615" s="127"/>
      <c r="M615" s="127"/>
      <c r="N615" s="127"/>
    </row>
    <row r="616" spans="1:14" ht="16.5" x14ac:dyDescent="0.25">
      <c r="A616" s="372"/>
      <c r="B616" s="372"/>
      <c r="C616" s="372"/>
      <c r="D616" s="373"/>
      <c r="E616" s="373"/>
      <c r="F616" s="373"/>
      <c r="G616" s="373"/>
      <c r="H616" s="373"/>
      <c r="I616" s="373"/>
      <c r="J616" s="127"/>
      <c r="K616" s="127"/>
      <c r="L616" s="127"/>
      <c r="M616" s="127"/>
      <c r="N616" s="127"/>
    </row>
    <row r="617" spans="1:14" ht="16.5" x14ac:dyDescent="0.25">
      <c r="A617" s="372"/>
      <c r="B617" s="372"/>
      <c r="C617" s="372"/>
      <c r="D617" s="373"/>
      <c r="E617" s="373"/>
      <c r="F617" s="373"/>
      <c r="G617" s="373"/>
      <c r="H617" s="373"/>
      <c r="I617" s="373"/>
      <c r="J617" s="127"/>
      <c r="K617" s="127"/>
      <c r="L617" s="127"/>
      <c r="M617" s="127"/>
      <c r="N617" s="127"/>
    </row>
    <row r="618" spans="1:14" ht="16.5" x14ac:dyDescent="0.25">
      <c r="A618" s="372"/>
      <c r="B618" s="372"/>
      <c r="C618" s="372"/>
      <c r="D618" s="373"/>
      <c r="E618" s="373"/>
      <c r="F618" s="373"/>
      <c r="G618" s="373"/>
      <c r="H618" s="373"/>
      <c r="I618" s="373"/>
      <c r="J618" s="127"/>
      <c r="K618" s="127"/>
      <c r="L618" s="127"/>
      <c r="M618" s="127"/>
      <c r="N618" s="127"/>
    </row>
    <row r="619" spans="1:14" ht="16.5" x14ac:dyDescent="0.25">
      <c r="A619" s="372"/>
      <c r="B619" s="372"/>
      <c r="C619" s="372"/>
      <c r="D619" s="373"/>
      <c r="E619" s="373"/>
      <c r="F619" s="373"/>
      <c r="G619" s="373"/>
      <c r="H619" s="373"/>
      <c r="I619" s="373"/>
      <c r="J619" s="127"/>
      <c r="K619" s="127"/>
      <c r="L619" s="127"/>
      <c r="M619" s="127"/>
      <c r="N619" s="127"/>
    </row>
    <row r="620" spans="1:14" ht="16.5" x14ac:dyDescent="0.25">
      <c r="A620" s="372"/>
      <c r="B620" s="372"/>
      <c r="C620" s="372"/>
      <c r="D620" s="373"/>
      <c r="E620" s="373"/>
      <c r="F620" s="373"/>
      <c r="G620" s="373"/>
      <c r="H620" s="373"/>
      <c r="I620" s="373"/>
      <c r="J620" s="127"/>
      <c r="K620" s="127"/>
      <c r="L620" s="127"/>
      <c r="M620" s="127"/>
      <c r="N620" s="127"/>
    </row>
    <row r="621" spans="1:14" ht="16.5" x14ac:dyDescent="0.25">
      <c r="A621" s="372"/>
      <c r="B621" s="372"/>
      <c r="C621" s="372"/>
      <c r="D621" s="373"/>
      <c r="E621" s="373"/>
      <c r="F621" s="373"/>
      <c r="G621" s="373"/>
      <c r="H621" s="373"/>
      <c r="I621" s="373"/>
      <c r="J621" s="127"/>
      <c r="K621" s="127"/>
      <c r="L621" s="127"/>
      <c r="M621" s="127"/>
      <c r="N621" s="127"/>
    </row>
    <row r="622" spans="1:14" ht="16.5" x14ac:dyDescent="0.25">
      <c r="A622" s="372"/>
      <c r="B622" s="372"/>
      <c r="C622" s="372"/>
      <c r="D622" s="373"/>
      <c r="E622" s="373"/>
      <c r="F622" s="373"/>
      <c r="G622" s="373"/>
      <c r="H622" s="373"/>
      <c r="I622" s="373"/>
      <c r="J622" s="127"/>
      <c r="K622" s="127"/>
      <c r="L622" s="127"/>
      <c r="M622" s="127"/>
      <c r="N622" s="127"/>
    </row>
    <row r="623" spans="1:14" ht="16.5" x14ac:dyDescent="0.25">
      <c r="A623" s="372"/>
      <c r="B623" s="372"/>
      <c r="C623" s="372"/>
      <c r="D623" s="373"/>
      <c r="E623" s="373"/>
      <c r="F623" s="373"/>
      <c r="G623" s="373"/>
      <c r="H623" s="373"/>
      <c r="I623" s="373"/>
      <c r="J623" s="127"/>
      <c r="K623" s="127"/>
      <c r="L623" s="127"/>
      <c r="M623" s="127"/>
      <c r="N623" s="127"/>
    </row>
    <row r="624" spans="1:14" ht="16.5" x14ac:dyDescent="0.25">
      <c r="A624" s="372"/>
      <c r="B624" s="372"/>
      <c r="C624" s="372"/>
      <c r="D624" s="373"/>
      <c r="E624" s="373"/>
      <c r="F624" s="373"/>
      <c r="G624" s="373"/>
      <c r="H624" s="373"/>
      <c r="I624" s="373"/>
      <c r="J624" s="127"/>
      <c r="K624" s="127"/>
      <c r="L624" s="127"/>
      <c r="M624" s="127"/>
      <c r="N624" s="127"/>
    </row>
    <row r="625" spans="1:14" ht="16.5" x14ac:dyDescent="0.25">
      <c r="A625" s="372"/>
      <c r="B625" s="372"/>
      <c r="C625" s="372"/>
      <c r="D625" s="373"/>
      <c r="E625" s="373"/>
      <c r="F625" s="373"/>
      <c r="G625" s="373"/>
      <c r="H625" s="373"/>
      <c r="I625" s="373"/>
      <c r="J625" s="127"/>
      <c r="K625" s="127"/>
      <c r="L625" s="127"/>
      <c r="M625" s="127"/>
      <c r="N625" s="127"/>
    </row>
    <row r="626" spans="1:14" ht="16.5" x14ac:dyDescent="0.25">
      <c r="A626" s="372"/>
      <c r="B626" s="372"/>
      <c r="C626" s="372"/>
      <c r="D626" s="373"/>
      <c r="E626" s="373"/>
      <c r="F626" s="373"/>
      <c r="G626" s="373"/>
      <c r="H626" s="373"/>
      <c r="I626" s="373"/>
      <c r="J626" s="127"/>
      <c r="K626" s="127"/>
      <c r="L626" s="127"/>
      <c r="M626" s="127"/>
      <c r="N626" s="127"/>
    </row>
    <row r="627" spans="1:14" ht="16.5" x14ac:dyDescent="0.25">
      <c r="A627" s="372"/>
      <c r="B627" s="372"/>
      <c r="C627" s="372"/>
      <c r="D627" s="373"/>
      <c r="E627" s="373"/>
      <c r="F627" s="373"/>
      <c r="G627" s="373"/>
      <c r="H627" s="373"/>
      <c r="I627" s="373"/>
      <c r="J627" s="127"/>
      <c r="K627" s="127"/>
      <c r="L627" s="127"/>
      <c r="M627" s="127"/>
      <c r="N627" s="127"/>
    </row>
    <row r="628" spans="1:14" ht="16.5" x14ac:dyDescent="0.25">
      <c r="A628" s="372"/>
      <c r="B628" s="372"/>
      <c r="C628" s="372"/>
      <c r="D628" s="373"/>
      <c r="E628" s="373"/>
      <c r="F628" s="373"/>
      <c r="G628" s="373"/>
      <c r="H628" s="373"/>
      <c r="I628" s="373"/>
      <c r="J628" s="127"/>
      <c r="K628" s="127"/>
      <c r="L628" s="127"/>
      <c r="M628" s="127"/>
      <c r="N628" s="127"/>
    </row>
    <row r="629" spans="1:14" ht="16.5" x14ac:dyDescent="0.25">
      <c r="A629" s="372"/>
      <c r="B629" s="372"/>
      <c r="C629" s="372"/>
      <c r="D629" s="373"/>
      <c r="E629" s="373"/>
      <c r="F629" s="373"/>
      <c r="G629" s="373"/>
      <c r="H629" s="373"/>
      <c r="I629" s="373"/>
      <c r="J629" s="127"/>
      <c r="K629" s="127"/>
      <c r="L629" s="127"/>
      <c r="M629" s="127"/>
      <c r="N629" s="127"/>
    </row>
    <row r="630" spans="1:14" ht="16.5" x14ac:dyDescent="0.25">
      <c r="A630" s="372"/>
      <c r="B630" s="372"/>
      <c r="C630" s="372"/>
      <c r="D630" s="373"/>
      <c r="E630" s="373"/>
      <c r="F630" s="373"/>
      <c r="G630" s="373"/>
      <c r="H630" s="373"/>
      <c r="I630" s="373"/>
      <c r="J630" s="127"/>
      <c r="K630" s="127"/>
      <c r="L630" s="127"/>
      <c r="M630" s="127"/>
      <c r="N630" s="127"/>
    </row>
    <row r="631" spans="1:14" ht="16.5" x14ac:dyDescent="0.25">
      <c r="A631" s="372"/>
      <c r="B631" s="372"/>
      <c r="C631" s="372"/>
      <c r="D631" s="373"/>
      <c r="E631" s="373"/>
      <c r="F631" s="373"/>
      <c r="G631" s="373"/>
      <c r="H631" s="373"/>
      <c r="I631" s="373"/>
      <c r="J631" s="127"/>
      <c r="K631" s="127"/>
      <c r="L631" s="127"/>
      <c r="M631" s="127"/>
      <c r="N631" s="127"/>
    </row>
    <row r="632" spans="1:14" ht="16.5" x14ac:dyDescent="0.25">
      <c r="A632" s="372"/>
      <c r="B632" s="372"/>
      <c r="C632" s="372"/>
      <c r="D632" s="373"/>
      <c r="E632" s="373"/>
      <c r="F632" s="373"/>
      <c r="G632" s="373"/>
      <c r="H632" s="373"/>
      <c r="I632" s="373"/>
      <c r="J632" s="127"/>
      <c r="K632" s="127"/>
      <c r="L632" s="127"/>
      <c r="M632" s="127"/>
      <c r="N632" s="127"/>
    </row>
    <row r="633" spans="1:14" ht="16.5" x14ac:dyDescent="0.25">
      <c r="A633" s="372"/>
      <c r="B633" s="372"/>
      <c r="C633" s="372"/>
      <c r="D633" s="373"/>
      <c r="E633" s="373"/>
      <c r="F633" s="373"/>
      <c r="G633" s="373"/>
      <c r="H633" s="373"/>
      <c r="I633" s="373"/>
      <c r="J633" s="127"/>
      <c r="K633" s="127"/>
      <c r="L633" s="127"/>
      <c r="M633" s="127"/>
      <c r="N633" s="127"/>
    </row>
    <row r="634" spans="1:14" ht="16.5" x14ac:dyDescent="0.25">
      <c r="A634" s="372"/>
      <c r="B634" s="372"/>
      <c r="C634" s="372"/>
      <c r="D634" s="373"/>
      <c r="E634" s="373"/>
      <c r="F634" s="373"/>
      <c r="G634" s="373"/>
      <c r="H634" s="373"/>
      <c r="I634" s="373"/>
      <c r="J634" s="127"/>
      <c r="K634" s="127"/>
      <c r="L634" s="127"/>
      <c r="M634" s="127"/>
      <c r="N634" s="127"/>
    </row>
    <row r="635" spans="1:14" ht="16.5" x14ac:dyDescent="0.25">
      <c r="A635" s="372"/>
      <c r="B635" s="372"/>
      <c r="C635" s="372"/>
      <c r="D635" s="373"/>
      <c r="E635" s="373"/>
      <c r="F635" s="373"/>
      <c r="G635" s="373"/>
      <c r="H635" s="373"/>
      <c r="I635" s="373"/>
      <c r="J635" s="127"/>
      <c r="K635" s="127"/>
      <c r="L635" s="127"/>
      <c r="M635" s="127"/>
      <c r="N635" s="127"/>
    </row>
    <row r="636" spans="1:14" ht="16.5" x14ac:dyDescent="0.25">
      <c r="A636" s="372"/>
      <c r="B636" s="372"/>
      <c r="C636" s="372"/>
      <c r="D636" s="373"/>
      <c r="E636" s="373"/>
      <c r="F636" s="373"/>
      <c r="G636" s="373"/>
      <c r="H636" s="373"/>
      <c r="I636" s="373"/>
      <c r="J636" s="127"/>
      <c r="K636" s="127"/>
      <c r="L636" s="127"/>
      <c r="M636" s="127"/>
      <c r="N636" s="127"/>
    </row>
    <row r="637" spans="1:14" ht="16.5" x14ac:dyDescent="0.25">
      <c r="A637" s="372"/>
      <c r="B637" s="372"/>
      <c r="C637" s="372"/>
      <c r="D637" s="373"/>
      <c r="E637" s="373"/>
      <c r="F637" s="373"/>
      <c r="G637" s="373"/>
      <c r="H637" s="373"/>
      <c r="I637" s="373"/>
      <c r="J637" s="127"/>
      <c r="K637" s="127"/>
      <c r="L637" s="127"/>
      <c r="M637" s="127"/>
      <c r="N637" s="127"/>
    </row>
    <row r="638" spans="1:14" ht="16.5" x14ac:dyDescent="0.25">
      <c r="A638" s="372"/>
      <c r="B638" s="372"/>
      <c r="C638" s="372"/>
      <c r="D638" s="373"/>
      <c r="E638" s="373"/>
      <c r="F638" s="373"/>
      <c r="G638" s="373"/>
      <c r="H638" s="373"/>
      <c r="I638" s="373"/>
      <c r="J638" s="127"/>
      <c r="K638" s="127"/>
      <c r="L638" s="127"/>
      <c r="M638" s="127"/>
      <c r="N638" s="127"/>
    </row>
    <row r="639" spans="1:14" ht="16.5" x14ac:dyDescent="0.25">
      <c r="A639" s="372"/>
      <c r="B639" s="372"/>
      <c r="C639" s="372"/>
      <c r="D639" s="373"/>
      <c r="E639" s="373"/>
      <c r="F639" s="373"/>
      <c r="G639" s="373"/>
      <c r="H639" s="373"/>
      <c r="I639" s="373"/>
      <c r="J639" s="127"/>
      <c r="K639" s="127"/>
      <c r="L639" s="127"/>
      <c r="M639" s="127"/>
      <c r="N639" s="127"/>
    </row>
    <row r="640" spans="1:14" ht="16.5" x14ac:dyDescent="0.25">
      <c r="A640" s="372"/>
      <c r="B640" s="372"/>
      <c r="C640" s="372"/>
      <c r="D640" s="373"/>
      <c r="E640" s="373"/>
      <c r="F640" s="373"/>
      <c r="G640" s="373"/>
      <c r="H640" s="373"/>
      <c r="I640" s="373"/>
      <c r="J640" s="127"/>
      <c r="K640" s="127"/>
      <c r="L640" s="127"/>
      <c r="M640" s="127"/>
      <c r="N640" s="127"/>
    </row>
    <row r="641" spans="1:14" ht="16.5" x14ac:dyDescent="0.25">
      <c r="A641" s="372"/>
      <c r="B641" s="372"/>
      <c r="C641" s="372"/>
      <c r="D641" s="373"/>
      <c r="E641" s="373"/>
      <c r="F641" s="373"/>
      <c r="G641" s="373"/>
      <c r="H641" s="373"/>
      <c r="I641" s="373"/>
      <c r="J641" s="127"/>
      <c r="K641" s="127"/>
      <c r="L641" s="127"/>
      <c r="M641" s="127"/>
      <c r="N641" s="127"/>
    </row>
    <row r="642" spans="1:14" ht="16.5" x14ac:dyDescent="0.25">
      <c r="A642" s="372"/>
      <c r="B642" s="372"/>
      <c r="C642" s="372"/>
      <c r="D642" s="373"/>
      <c r="E642" s="373"/>
      <c r="F642" s="373"/>
      <c r="G642" s="373"/>
      <c r="H642" s="373"/>
      <c r="I642" s="373"/>
      <c r="J642" s="127"/>
      <c r="K642" s="127"/>
      <c r="L642" s="127"/>
      <c r="M642" s="127"/>
      <c r="N642" s="127"/>
    </row>
    <row r="643" spans="1:14" ht="16.5" x14ac:dyDescent="0.25">
      <c r="A643" s="372"/>
      <c r="B643" s="372"/>
      <c r="C643" s="372"/>
      <c r="D643" s="373"/>
      <c r="E643" s="373"/>
      <c r="F643" s="373"/>
      <c r="G643" s="373"/>
      <c r="H643" s="373"/>
      <c r="I643" s="373"/>
      <c r="J643" s="127"/>
      <c r="K643" s="127"/>
      <c r="L643" s="127"/>
      <c r="M643" s="127"/>
      <c r="N643" s="127"/>
    </row>
    <row r="644" spans="1:14" ht="16.5" x14ac:dyDescent="0.25">
      <c r="A644" s="372"/>
      <c r="B644" s="372"/>
      <c r="C644" s="372"/>
      <c r="D644" s="373"/>
      <c r="E644" s="373"/>
      <c r="F644" s="373"/>
      <c r="G644" s="373"/>
      <c r="H644" s="373"/>
      <c r="I644" s="373"/>
      <c r="J644" s="127"/>
      <c r="K644" s="127"/>
      <c r="L644" s="127"/>
      <c r="M644" s="127"/>
      <c r="N644" s="127"/>
    </row>
    <row r="645" spans="1:14" ht="16.5" x14ac:dyDescent="0.25">
      <c r="A645" s="372"/>
      <c r="B645" s="372"/>
      <c r="C645" s="372"/>
      <c r="D645" s="373"/>
      <c r="E645" s="373"/>
      <c r="F645" s="373"/>
      <c r="G645" s="373"/>
      <c r="H645" s="373"/>
      <c r="I645" s="373"/>
      <c r="J645" s="127"/>
      <c r="K645" s="127"/>
      <c r="L645" s="127"/>
      <c r="M645" s="127"/>
      <c r="N645" s="127"/>
    </row>
    <row r="646" spans="1:14" ht="16.5" x14ac:dyDescent="0.25">
      <c r="A646" s="372"/>
      <c r="B646" s="372"/>
      <c r="C646" s="372"/>
      <c r="D646" s="373"/>
      <c r="E646" s="373"/>
      <c r="F646" s="373"/>
      <c r="G646" s="373"/>
      <c r="H646" s="373"/>
      <c r="I646" s="373"/>
      <c r="J646" s="127"/>
      <c r="K646" s="127"/>
      <c r="L646" s="127"/>
      <c r="M646" s="127"/>
      <c r="N646" s="127"/>
    </row>
    <row r="647" spans="1:14" ht="16.5" x14ac:dyDescent="0.25">
      <c r="A647" s="372"/>
      <c r="B647" s="372"/>
      <c r="C647" s="372"/>
      <c r="D647" s="373"/>
      <c r="E647" s="373"/>
      <c r="F647" s="373"/>
      <c r="G647" s="373"/>
      <c r="H647" s="373"/>
      <c r="I647" s="373"/>
      <c r="J647" s="127"/>
      <c r="K647" s="127"/>
      <c r="L647" s="127"/>
      <c r="M647" s="127"/>
      <c r="N647" s="127"/>
    </row>
    <row r="648" spans="1:14" ht="16.5" x14ac:dyDescent="0.25">
      <c r="A648" s="372"/>
      <c r="B648" s="372"/>
      <c r="C648" s="372"/>
      <c r="D648" s="373"/>
      <c r="E648" s="373"/>
      <c r="F648" s="373"/>
      <c r="G648" s="373"/>
      <c r="H648" s="373"/>
      <c r="I648" s="373"/>
      <c r="J648" s="127"/>
      <c r="K648" s="127"/>
      <c r="L648" s="127"/>
      <c r="M648" s="127"/>
      <c r="N648" s="127"/>
    </row>
    <row r="649" spans="1:14" ht="16.5" x14ac:dyDescent="0.25">
      <c r="A649" s="372"/>
      <c r="B649" s="372"/>
      <c r="C649" s="372"/>
      <c r="D649" s="373"/>
      <c r="E649" s="373"/>
      <c r="F649" s="373"/>
      <c r="G649" s="373"/>
      <c r="H649" s="373"/>
      <c r="I649" s="373"/>
      <c r="J649" s="127"/>
      <c r="K649" s="127"/>
      <c r="L649" s="127"/>
      <c r="M649" s="127"/>
      <c r="N649" s="127"/>
    </row>
    <row r="650" spans="1:14" ht="16.5" x14ac:dyDescent="0.25">
      <c r="A650" s="372"/>
      <c r="B650" s="372"/>
      <c r="C650" s="372"/>
      <c r="D650" s="373"/>
      <c r="E650" s="373"/>
      <c r="F650" s="373"/>
      <c r="G650" s="373"/>
      <c r="H650" s="373"/>
      <c r="I650" s="373"/>
      <c r="J650" s="127"/>
      <c r="K650" s="127"/>
      <c r="L650" s="127"/>
      <c r="M650" s="127"/>
      <c r="N650" s="127"/>
    </row>
    <row r="651" spans="1:14" ht="16.5" x14ac:dyDescent="0.25">
      <c r="A651" s="372"/>
      <c r="B651" s="372"/>
      <c r="C651" s="372"/>
      <c r="D651" s="373"/>
      <c r="E651" s="373"/>
      <c r="F651" s="373"/>
      <c r="G651" s="373"/>
      <c r="H651" s="373"/>
      <c r="I651" s="373"/>
      <c r="J651" s="127"/>
      <c r="K651" s="127"/>
      <c r="L651" s="127"/>
      <c r="M651" s="127"/>
      <c r="N651" s="127"/>
    </row>
    <row r="652" spans="1:14" ht="16.5" x14ac:dyDescent="0.25">
      <c r="A652" s="372"/>
      <c r="B652" s="372"/>
      <c r="C652" s="372"/>
      <c r="D652" s="373"/>
      <c r="E652" s="373"/>
      <c r="F652" s="373"/>
      <c r="G652" s="373"/>
      <c r="H652" s="373"/>
      <c r="I652" s="373"/>
      <c r="J652" s="127"/>
      <c r="K652" s="127"/>
      <c r="L652" s="127"/>
      <c r="M652" s="127"/>
      <c r="N652" s="127"/>
    </row>
    <row r="653" spans="1:14" ht="16.5" x14ac:dyDescent="0.25">
      <c r="A653" s="372"/>
      <c r="B653" s="372"/>
      <c r="C653" s="372"/>
      <c r="D653" s="373"/>
      <c r="E653" s="373"/>
      <c r="F653" s="373"/>
      <c r="G653" s="373"/>
      <c r="H653" s="373"/>
      <c r="I653" s="373"/>
      <c r="J653" s="127"/>
      <c r="K653" s="127"/>
      <c r="L653" s="127"/>
      <c r="M653" s="127"/>
      <c r="N653" s="127"/>
    </row>
    <row r="654" spans="1:14" ht="16.5" x14ac:dyDescent="0.25">
      <c r="A654" s="372"/>
      <c r="B654" s="372"/>
      <c r="C654" s="372"/>
      <c r="D654" s="373"/>
      <c r="E654" s="373"/>
      <c r="F654" s="373"/>
      <c r="G654" s="373"/>
      <c r="H654" s="373"/>
      <c r="I654" s="373"/>
      <c r="J654" s="127"/>
      <c r="K654" s="127"/>
      <c r="L654" s="127"/>
      <c r="M654" s="127"/>
      <c r="N654" s="127"/>
    </row>
    <row r="655" spans="1:14" ht="16.5" x14ac:dyDescent="0.25">
      <c r="A655" s="372"/>
      <c r="B655" s="372"/>
      <c r="C655" s="372"/>
      <c r="D655" s="373"/>
      <c r="E655" s="373"/>
      <c r="F655" s="373"/>
      <c r="G655" s="373"/>
      <c r="H655" s="373"/>
      <c r="I655" s="373"/>
      <c r="J655" s="127"/>
      <c r="K655" s="127"/>
      <c r="L655" s="127"/>
      <c r="M655" s="127"/>
      <c r="N655" s="127"/>
    </row>
    <row r="656" spans="1:14" ht="16.5" x14ac:dyDescent="0.25">
      <c r="A656" s="372"/>
      <c r="B656" s="372"/>
      <c r="C656" s="372"/>
      <c r="D656" s="373"/>
      <c r="E656" s="373"/>
      <c r="F656" s="373"/>
      <c r="G656" s="373"/>
      <c r="H656" s="373"/>
      <c r="I656" s="373"/>
      <c r="J656" s="127"/>
      <c r="K656" s="127"/>
      <c r="L656" s="127"/>
      <c r="M656" s="127"/>
      <c r="N656" s="127"/>
    </row>
    <row r="657" spans="1:14" ht="16.5" x14ac:dyDescent="0.25">
      <c r="A657" s="372"/>
      <c r="B657" s="372"/>
      <c r="C657" s="372"/>
      <c r="D657" s="373"/>
      <c r="E657" s="373"/>
      <c r="F657" s="373"/>
      <c r="G657" s="373"/>
      <c r="H657" s="373"/>
      <c r="I657" s="373"/>
      <c r="J657" s="127"/>
      <c r="K657" s="127"/>
      <c r="L657" s="127"/>
      <c r="M657" s="127"/>
      <c r="N657" s="127"/>
    </row>
    <row r="658" spans="1:14" ht="16.5" x14ac:dyDescent="0.25">
      <c r="A658" s="372"/>
      <c r="B658" s="372"/>
      <c r="C658" s="372"/>
      <c r="D658" s="373"/>
      <c r="E658" s="373"/>
      <c r="F658" s="373"/>
      <c r="G658" s="373"/>
      <c r="H658" s="373"/>
      <c r="I658" s="373"/>
      <c r="J658" s="127"/>
      <c r="K658" s="127"/>
      <c r="L658" s="127"/>
      <c r="M658" s="127"/>
      <c r="N658" s="127"/>
    </row>
    <row r="659" spans="1:14" ht="16.5" x14ac:dyDescent="0.25">
      <c r="A659" s="372"/>
      <c r="B659" s="372"/>
      <c r="C659" s="372"/>
      <c r="D659" s="373"/>
      <c r="E659" s="373"/>
      <c r="F659" s="373"/>
      <c r="G659" s="373"/>
      <c r="H659" s="373"/>
      <c r="I659" s="373"/>
      <c r="J659" s="127"/>
      <c r="K659" s="127"/>
      <c r="L659" s="127"/>
      <c r="M659" s="127"/>
      <c r="N659" s="127"/>
    </row>
    <row r="660" spans="1:14" ht="16.5" x14ac:dyDescent="0.25">
      <c r="A660" s="372"/>
      <c r="B660" s="372"/>
      <c r="C660" s="372"/>
      <c r="D660" s="373"/>
      <c r="E660" s="373"/>
      <c r="F660" s="373"/>
      <c r="G660" s="373"/>
      <c r="H660" s="373"/>
      <c r="I660" s="373"/>
      <c r="J660" s="127"/>
      <c r="K660" s="127"/>
      <c r="L660" s="127"/>
      <c r="M660" s="127"/>
      <c r="N660" s="127"/>
    </row>
    <row r="661" spans="1:14" ht="16.5" x14ac:dyDescent="0.25">
      <c r="A661" s="372"/>
      <c r="B661" s="372"/>
      <c r="C661" s="372"/>
      <c r="D661" s="373"/>
      <c r="E661" s="373"/>
      <c r="F661" s="373"/>
      <c r="G661" s="373"/>
      <c r="H661" s="373"/>
      <c r="I661" s="373"/>
      <c r="J661" s="127"/>
      <c r="K661" s="127"/>
      <c r="L661" s="127"/>
      <c r="M661" s="127"/>
      <c r="N661" s="127"/>
    </row>
    <row r="662" spans="1:14" ht="16.5" x14ac:dyDescent="0.25">
      <c r="A662" s="372"/>
      <c r="B662" s="372"/>
      <c r="C662" s="372"/>
      <c r="D662" s="373"/>
      <c r="E662" s="373"/>
      <c r="F662" s="373"/>
      <c r="G662" s="373"/>
      <c r="H662" s="373"/>
      <c r="I662" s="373"/>
      <c r="J662" s="127"/>
      <c r="K662" s="127"/>
      <c r="L662" s="127"/>
      <c r="M662" s="127"/>
      <c r="N662" s="127"/>
    </row>
    <row r="663" spans="1:14" ht="16.5" x14ac:dyDescent="0.25">
      <c r="A663" s="372"/>
      <c r="B663" s="372"/>
      <c r="C663" s="372"/>
      <c r="D663" s="373"/>
      <c r="E663" s="373"/>
      <c r="F663" s="373"/>
      <c r="G663" s="373"/>
      <c r="H663" s="373"/>
      <c r="I663" s="373"/>
      <c r="J663" s="127"/>
      <c r="K663" s="127"/>
      <c r="L663" s="127"/>
      <c r="M663" s="127"/>
      <c r="N663" s="127"/>
    </row>
    <row r="664" spans="1:14" ht="16.5" x14ac:dyDescent="0.25">
      <c r="A664" s="372"/>
      <c r="B664" s="372"/>
      <c r="C664" s="372"/>
      <c r="D664" s="373"/>
      <c r="E664" s="373"/>
      <c r="F664" s="373"/>
      <c r="G664" s="373"/>
      <c r="H664" s="373"/>
      <c r="I664" s="373"/>
      <c r="J664" s="127"/>
      <c r="K664" s="127"/>
      <c r="L664" s="127"/>
      <c r="M664" s="127"/>
      <c r="N664" s="127"/>
    </row>
    <row r="665" spans="1:14" ht="16.5" x14ac:dyDescent="0.25">
      <c r="A665" s="372"/>
      <c r="B665" s="372"/>
      <c r="C665" s="372"/>
      <c r="D665" s="373"/>
      <c r="E665" s="373"/>
      <c r="F665" s="373"/>
      <c r="G665" s="373"/>
      <c r="H665" s="373"/>
      <c r="I665" s="373"/>
      <c r="J665" s="127"/>
      <c r="K665" s="127"/>
      <c r="L665" s="127"/>
      <c r="M665" s="127"/>
      <c r="N665" s="127"/>
    </row>
    <row r="666" spans="1:14" ht="16.5" x14ac:dyDescent="0.25">
      <c r="A666" s="372"/>
      <c r="B666" s="372"/>
      <c r="C666" s="372"/>
      <c r="D66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6" s="127"/>
    </row>
    <row r="667" spans="1:14" ht="16.5" x14ac:dyDescent="0.25">
      <c r="A667" s="372"/>
      <c r="B667" s="372"/>
      <c r="C667" s="372"/>
      <c r="D667" s="373"/>
      <c r="E667" s="373"/>
      <c r="F667" s="373"/>
      <c r="G667" s="373"/>
      <c r="H667" s="373"/>
      <c r="I667" s="373"/>
      <c r="J667" s="127"/>
      <c r="K667" s="127"/>
      <c r="L667" s="127"/>
      <c r="M667" s="127"/>
      <c r="N667" s="127"/>
    </row>
    <row r="668" spans="1:14" ht="16.5" x14ac:dyDescent="0.25">
      <c r="A668" s="372"/>
      <c r="B668" s="372"/>
      <c r="C668" s="372"/>
      <c r="D668" s="373"/>
      <c r="E668" s="373"/>
      <c r="F668" s="373"/>
      <c r="G668" s="373"/>
      <c r="H668" s="373"/>
      <c r="I668" s="373"/>
      <c r="J668" s="127"/>
      <c r="K668" s="127"/>
      <c r="L668" s="127"/>
      <c r="M668" s="127"/>
      <c r="N668" s="127"/>
    </row>
    <row r="669" spans="1:14" ht="16.5" x14ac:dyDescent="0.25">
      <c r="A669" s="372"/>
      <c r="B669" s="372"/>
      <c r="C669" s="372"/>
      <c r="D669" s="373"/>
      <c r="E669" s="373"/>
      <c r="F669" s="373"/>
      <c r="G669" s="373"/>
      <c r="H669" s="373"/>
      <c r="I669" s="373"/>
      <c r="J669" s="127"/>
      <c r="K669" s="127"/>
      <c r="L669" s="127"/>
      <c r="M669" s="127"/>
      <c r="N669" s="127"/>
    </row>
    <row r="670" spans="1:14" ht="16.5" x14ac:dyDescent="0.25">
      <c r="A670" s="372"/>
      <c r="B670" s="372"/>
      <c r="C670" s="372"/>
      <c r="D670" s="373"/>
      <c r="E670" s="373"/>
      <c r="F670" s="373"/>
      <c r="G670" s="373"/>
      <c r="H670" s="373"/>
      <c r="I670" s="373"/>
      <c r="J670" s="127"/>
      <c r="K670" s="127"/>
      <c r="L670" s="127"/>
      <c r="M670" s="127"/>
      <c r="N670" s="127"/>
    </row>
    <row r="671" spans="1:14" ht="16.5" x14ac:dyDescent="0.25">
      <c r="A671" s="372"/>
      <c r="B671" s="372"/>
      <c r="C671" s="372"/>
      <c r="D671" s="373"/>
      <c r="E671" s="373"/>
      <c r="F671" s="373"/>
      <c r="G671" s="373"/>
      <c r="H671" s="373"/>
      <c r="I671" s="373"/>
      <c r="J671" s="127"/>
      <c r="K671" s="127"/>
      <c r="L671" s="127"/>
      <c r="M671" s="127"/>
      <c r="N671" s="127"/>
    </row>
    <row r="672" spans="1:14" ht="16.5" x14ac:dyDescent="0.25">
      <c r="A672" s="372"/>
      <c r="B672" s="372"/>
      <c r="C672" s="372"/>
      <c r="D672" s="373"/>
      <c r="E672" s="373"/>
      <c r="F672" s="373"/>
      <c r="G672" s="373"/>
      <c r="H672" s="373"/>
      <c r="I672" s="373"/>
      <c r="J672" s="127"/>
      <c r="K672" s="127"/>
      <c r="L672" s="127"/>
      <c r="M672" s="127"/>
      <c r="N672" s="127"/>
    </row>
    <row r="673" spans="1:14" ht="16.5" x14ac:dyDescent="0.25">
      <c r="A673" s="372"/>
      <c r="B673" s="372"/>
      <c r="C673" s="372"/>
      <c r="D673" s="373"/>
      <c r="E673" s="373"/>
      <c r="F673" s="373"/>
      <c r="G673" s="373"/>
      <c r="H673" s="373"/>
      <c r="I673" s="373"/>
      <c r="J673" s="127"/>
      <c r="K673" s="127"/>
      <c r="L673" s="127"/>
      <c r="M673" s="127"/>
      <c r="N673" s="127"/>
    </row>
    <row r="674" spans="1:14" ht="16.5" x14ac:dyDescent="0.25">
      <c r="A674" s="372"/>
      <c r="B674" s="372"/>
      <c r="C674" s="372"/>
      <c r="D674" s="373"/>
      <c r="E674" s="373"/>
      <c r="F674" s="373"/>
      <c r="G674" s="373"/>
      <c r="H674" s="373"/>
      <c r="I674" s="373"/>
      <c r="J674" s="127"/>
      <c r="K674" s="127"/>
      <c r="L674" s="127"/>
      <c r="M674" s="127"/>
      <c r="N674" s="127"/>
    </row>
    <row r="675" spans="1:14" ht="16.5" x14ac:dyDescent="0.25">
      <c r="A675" s="372"/>
      <c r="B675" s="372"/>
      <c r="C675" s="372"/>
      <c r="D675" s="373"/>
      <c r="E675" s="373"/>
      <c r="F675" s="373"/>
      <c r="G675" s="373"/>
      <c r="H675" s="373"/>
      <c r="I675" s="373"/>
      <c r="J675" s="127"/>
      <c r="K675" s="127"/>
      <c r="L675" s="127"/>
      <c r="M675" s="127"/>
      <c r="N675" s="127"/>
    </row>
    <row r="676" spans="1:14" ht="16.5" x14ac:dyDescent="0.25">
      <c r="A676" s="372"/>
      <c r="B676" s="372"/>
      <c r="C676" s="372"/>
      <c r="D676" s="373"/>
      <c r="E676" s="373"/>
      <c r="F676" s="373"/>
      <c r="G676" s="373"/>
      <c r="H676" s="373"/>
      <c r="I676" s="373"/>
      <c r="J676" s="127"/>
      <c r="K676" s="127"/>
      <c r="L676" s="127"/>
      <c r="M676" s="127"/>
      <c r="N676" s="127"/>
    </row>
    <row r="677" spans="1:14" ht="16.5" x14ac:dyDescent="0.25">
      <c r="A677" s="372"/>
      <c r="B677" s="372"/>
      <c r="C677" s="372"/>
      <c r="D677" s="373"/>
      <c r="E677" s="373"/>
      <c r="F677" s="373"/>
      <c r="G677" s="373"/>
      <c r="H677" s="373"/>
      <c r="I677" s="373"/>
      <c r="J677" s="127"/>
      <c r="K677" s="127"/>
      <c r="L677" s="127"/>
      <c r="M677" s="127"/>
      <c r="N677" s="127"/>
    </row>
    <row r="678" spans="1:14" ht="16.5" x14ac:dyDescent="0.25">
      <c r="A678" s="372"/>
      <c r="B678" s="372"/>
      <c r="C678" s="372"/>
      <c r="D678" s="373"/>
      <c r="E678" s="373"/>
      <c r="F678" s="373"/>
      <c r="G678" s="373"/>
      <c r="H678" s="373"/>
      <c r="I678" s="373"/>
      <c r="J678" s="127"/>
      <c r="K678" s="127"/>
      <c r="L678" s="127"/>
      <c r="M678" s="127"/>
      <c r="N678" s="127"/>
    </row>
    <row r="679" spans="1:14" ht="16.5" x14ac:dyDescent="0.25">
      <c r="A679" s="372"/>
      <c r="B679" s="372"/>
      <c r="C679" s="372"/>
      <c r="D679" s="373"/>
      <c r="E679" s="373"/>
      <c r="F679" s="373"/>
      <c r="G679" s="373"/>
      <c r="H679" s="373"/>
      <c r="I679" s="373"/>
      <c r="J679" s="127"/>
      <c r="K679" s="127"/>
      <c r="L679" s="127"/>
      <c r="M679" s="127"/>
      <c r="N679" s="127"/>
    </row>
    <row r="680" spans="1:14" ht="16.5" x14ac:dyDescent="0.25">
      <c r="A680" s="372"/>
      <c r="B680" s="372"/>
      <c r="C680" s="372"/>
      <c r="D680" s="373"/>
      <c r="E680" s="373"/>
      <c r="F680" s="373"/>
      <c r="G680" s="373"/>
      <c r="H680" s="373"/>
      <c r="I680" s="373"/>
      <c r="J680" s="127"/>
      <c r="K680" s="127"/>
      <c r="L680" s="127"/>
      <c r="M680" s="127"/>
      <c r="N680" s="127"/>
    </row>
    <row r="681" spans="1:14" ht="16.5" x14ac:dyDescent="0.25">
      <c r="A681" s="372"/>
      <c r="B681" s="372"/>
      <c r="C681" s="372"/>
      <c r="D681" s="373"/>
      <c r="E681" s="373"/>
      <c r="F681" s="373"/>
      <c r="G681" s="373"/>
      <c r="H681" s="373"/>
      <c r="I681" s="373"/>
      <c r="J681" s="127"/>
      <c r="K681" s="127"/>
      <c r="L681" s="127"/>
      <c r="M681" s="127"/>
      <c r="N681" s="127"/>
    </row>
    <row r="682" spans="1:14" ht="16.5" x14ac:dyDescent="0.25">
      <c r="A682" s="372"/>
      <c r="B682" s="372"/>
      <c r="C682" s="372"/>
      <c r="D682" s="373"/>
      <c r="E682" s="373"/>
      <c r="F682" s="373"/>
      <c r="G682" s="373"/>
      <c r="H682" s="373"/>
      <c r="I682" s="373"/>
      <c r="J682" s="127"/>
      <c r="K682" s="127"/>
      <c r="L682" s="127"/>
      <c r="M682" s="127"/>
      <c r="N682" s="127"/>
    </row>
    <row r="683" spans="1:14" ht="16.5" x14ac:dyDescent="0.25">
      <c r="A683" s="372"/>
      <c r="B683" s="372"/>
      <c r="C683" s="372"/>
      <c r="D683" s="373"/>
      <c r="E683" s="373"/>
      <c r="F683" s="373"/>
      <c r="G683" s="373"/>
      <c r="H683" s="373"/>
      <c r="I683" s="373"/>
      <c r="J683" s="127"/>
      <c r="K683" s="127"/>
      <c r="L683" s="127"/>
      <c r="M683" s="127"/>
      <c r="N683" s="127"/>
    </row>
    <row r="684" spans="1:14" ht="16.5" x14ac:dyDescent="0.25">
      <c r="A684" s="372"/>
      <c r="B684" s="372"/>
      <c r="C684" s="372"/>
      <c r="D684" s="373"/>
      <c r="E684" s="373"/>
      <c r="F684" s="373"/>
      <c r="G684" s="373"/>
      <c r="H684" s="373"/>
      <c r="I684" s="373"/>
      <c r="J684" s="127"/>
      <c r="K684" s="127"/>
      <c r="L684" s="127"/>
      <c r="M684" s="127"/>
      <c r="N684" s="127"/>
    </row>
    <row r="685" spans="1:14" ht="16.5" x14ac:dyDescent="0.25">
      <c r="A685" s="372"/>
      <c r="B685" s="372"/>
      <c r="C685" s="372"/>
      <c r="D685" s="373"/>
      <c r="E685" s="373"/>
      <c r="F685" s="373"/>
      <c r="G685" s="373"/>
      <c r="H685" s="373"/>
      <c r="I685" s="373"/>
      <c r="J685" s="127"/>
      <c r="K685" s="127"/>
      <c r="L685" s="127"/>
      <c r="M685" s="127"/>
      <c r="N685" s="127"/>
    </row>
    <row r="686" spans="1:14" ht="16.5" x14ac:dyDescent="0.25">
      <c r="A686" s="372"/>
      <c r="B686" s="372"/>
      <c r="C686" s="372"/>
      <c r="D686" s="373"/>
      <c r="E686" s="373"/>
      <c r="F686" s="373"/>
      <c r="G686" s="373"/>
      <c r="H686" s="373"/>
      <c r="I686" s="373"/>
      <c r="J686" s="127"/>
      <c r="K686" s="127"/>
      <c r="L686" s="127"/>
      <c r="M686" s="127"/>
      <c r="N686" s="127"/>
    </row>
    <row r="687" spans="1:14" ht="16.5" x14ac:dyDescent="0.25">
      <c r="A687" s="372"/>
      <c r="B687" s="372"/>
      <c r="C687" s="372"/>
      <c r="D687" s="373"/>
      <c r="E687" s="373"/>
      <c r="F687" s="373"/>
      <c r="G687" s="373"/>
      <c r="H687" s="373"/>
      <c r="I687" s="373"/>
      <c r="J687" s="127"/>
      <c r="K687" s="127"/>
      <c r="L687" s="127"/>
      <c r="M687" s="127"/>
      <c r="N687" s="127"/>
    </row>
    <row r="688" spans="1:14" ht="16.5" x14ac:dyDescent="0.25">
      <c r="A688" s="372"/>
      <c r="B688" s="372"/>
      <c r="C688" s="372"/>
      <c r="D688" s="373"/>
      <c r="E688" s="373"/>
      <c r="F688" s="373"/>
      <c r="G688" s="373"/>
      <c r="H688" s="373"/>
      <c r="I688" s="373"/>
      <c r="J688" s="127"/>
      <c r="K688" s="127"/>
      <c r="L688" s="127"/>
      <c r="M688" s="127"/>
      <c r="N688" s="127"/>
    </row>
    <row r="689" spans="1:14" ht="16.5" x14ac:dyDescent="0.25">
      <c r="A689" s="372"/>
      <c r="B689" s="372"/>
      <c r="C689" s="372"/>
      <c r="D689" s="373"/>
      <c r="E689" s="373"/>
      <c r="F689" s="373"/>
      <c r="G689" s="373"/>
      <c r="H689" s="373"/>
      <c r="I689" s="373"/>
      <c r="J689" s="127"/>
      <c r="K689" s="127"/>
      <c r="L689" s="127"/>
      <c r="M689" s="127"/>
      <c r="N689" s="127"/>
    </row>
    <row r="690" spans="1:14" ht="16.5" x14ac:dyDescent="0.25">
      <c r="A690" s="372"/>
      <c r="B690" s="372"/>
      <c r="C690" s="372"/>
      <c r="D690" s="373"/>
      <c r="E690" s="373"/>
      <c r="F690" s="373"/>
      <c r="G690" s="373"/>
      <c r="H690" s="373"/>
      <c r="I690" s="373"/>
      <c r="J690" s="127"/>
      <c r="K690" s="127"/>
      <c r="L690" s="127"/>
      <c r="M690" s="127"/>
      <c r="N690" s="127"/>
    </row>
    <row r="691" spans="1:14" ht="16.5" x14ac:dyDescent="0.25">
      <c r="A691" s="372"/>
      <c r="B691" s="372"/>
      <c r="C691" s="372"/>
      <c r="D691" s="373"/>
      <c r="E691" s="373"/>
      <c r="F691" s="373"/>
      <c r="G691" s="373"/>
      <c r="H691" s="373"/>
      <c r="I691" s="373"/>
      <c r="J691" s="127"/>
      <c r="K691" s="127"/>
      <c r="L691" s="127"/>
      <c r="M691" s="127"/>
      <c r="N691" s="127"/>
    </row>
    <row r="692" spans="1:14" ht="16.5" x14ac:dyDescent="0.25">
      <c r="A692" s="372"/>
      <c r="B692" s="372"/>
      <c r="C692" s="372"/>
      <c r="D692" s="373"/>
      <c r="E692" s="373"/>
      <c r="F692" s="373"/>
      <c r="G692" s="373"/>
      <c r="H692" s="373"/>
      <c r="I692" s="373"/>
      <c r="J692" s="127"/>
      <c r="K692" s="127"/>
      <c r="L692" s="127"/>
      <c r="M692" s="127"/>
      <c r="N692" s="127"/>
    </row>
    <row r="693" spans="1:14" ht="16.5" x14ac:dyDescent="0.25">
      <c r="A693" s="372"/>
      <c r="B693" s="372"/>
      <c r="C693" s="372"/>
      <c r="D693" s="373"/>
      <c r="E693" s="373"/>
      <c r="F693" s="373"/>
      <c r="G693" s="373"/>
      <c r="H693" s="373"/>
      <c r="I693" s="373"/>
      <c r="J693" s="127"/>
      <c r="K693" s="127"/>
      <c r="L693" s="127"/>
      <c r="M693" s="127"/>
      <c r="N693" s="127"/>
    </row>
    <row r="694" spans="1:14" ht="16.5" x14ac:dyDescent="0.25">
      <c r="A694" s="372"/>
      <c r="B694" s="372"/>
      <c r="C694" s="372"/>
      <c r="D694" s="373"/>
      <c r="E694" s="373"/>
      <c r="F694" s="373"/>
      <c r="G694" s="373"/>
      <c r="H694" s="373"/>
      <c r="I694" s="373"/>
      <c r="J694" s="127"/>
      <c r="K694" s="127"/>
      <c r="L694" s="127"/>
      <c r="M694" s="127"/>
      <c r="N694" s="127"/>
    </row>
    <row r="695" spans="1:14" ht="16.5" x14ac:dyDescent="0.25">
      <c r="A695" s="372"/>
      <c r="B695" s="372"/>
      <c r="C695" s="372"/>
      <c r="D695" s="373"/>
      <c r="E695" s="373"/>
      <c r="F695" s="373"/>
      <c r="G695" s="373"/>
      <c r="H695" s="373"/>
      <c r="I695" s="373"/>
      <c r="J695" s="127"/>
      <c r="K695" s="127"/>
      <c r="L695" s="127"/>
      <c r="M695" s="127"/>
      <c r="N695" s="127"/>
    </row>
    <row r="696" spans="1:14" ht="16.5" x14ac:dyDescent="0.25">
      <c r="A696" s="372"/>
      <c r="B696" s="372"/>
      <c r="C696" s="372"/>
      <c r="D696" s="373"/>
      <c r="E696" s="373"/>
      <c r="F696" s="373"/>
      <c r="G696" s="373"/>
      <c r="H696" s="373"/>
      <c r="I696" s="373"/>
      <c r="J696" s="127"/>
      <c r="K696" s="127"/>
      <c r="L696" s="127"/>
      <c r="M696" s="127"/>
      <c r="N696" s="127"/>
    </row>
    <row r="697" spans="1:14" ht="16.5" x14ac:dyDescent="0.25">
      <c r="A697" s="372"/>
      <c r="B697" s="372"/>
      <c r="C697" s="372"/>
      <c r="D697" s="373"/>
      <c r="E697" s="373"/>
      <c r="F697" s="373"/>
      <c r="G697" s="373"/>
      <c r="H697" s="373"/>
      <c r="I697" s="373"/>
      <c r="J697" s="127"/>
      <c r="K697" s="127"/>
      <c r="L697" s="127"/>
      <c r="M697" s="127"/>
      <c r="N697" s="127"/>
    </row>
    <row r="698" spans="1:14" ht="16.5" x14ac:dyDescent="0.25">
      <c r="A698" s="372"/>
      <c r="B698" s="372"/>
      <c r="C698" s="372"/>
      <c r="D698" s="373"/>
      <c r="E698" s="373"/>
      <c r="F698" s="373"/>
      <c r="G698" s="373"/>
      <c r="H698" s="373"/>
      <c r="I698" s="373"/>
      <c r="J698" s="127"/>
      <c r="K698" s="127"/>
      <c r="L698" s="127"/>
      <c r="M698" s="127"/>
      <c r="N698" s="127"/>
    </row>
    <row r="699" spans="1:14" ht="16.5" x14ac:dyDescent="0.25">
      <c r="A699" s="372"/>
      <c r="B699" s="372"/>
      <c r="C699" s="372"/>
      <c r="D699" s="373"/>
      <c r="E699" s="373"/>
      <c r="F699" s="373"/>
      <c r="G699" s="373"/>
      <c r="H699" s="373"/>
      <c r="I699" s="373"/>
      <c r="J699" s="127"/>
      <c r="K699" s="127"/>
      <c r="L699" s="127"/>
      <c r="M699" s="127"/>
      <c r="N699" s="127"/>
    </row>
    <row r="700" spans="1:14" ht="16.5" x14ac:dyDescent="0.25">
      <c r="A700" s="372"/>
      <c r="B700" s="372"/>
      <c r="C700" s="372"/>
      <c r="D700" s="373"/>
      <c r="E700" s="373"/>
      <c r="F700" s="373"/>
      <c r="G700" s="373"/>
      <c r="H700" s="373"/>
      <c r="I700" s="373"/>
      <c r="J700" s="127"/>
      <c r="K700" s="127"/>
      <c r="L700" s="127"/>
      <c r="M700" s="127"/>
      <c r="N700" s="127"/>
    </row>
    <row r="701" spans="1:14" ht="16.5" x14ac:dyDescent="0.25">
      <c r="A701" s="372"/>
      <c r="B701" s="372"/>
      <c r="C701" s="372"/>
      <c r="D701" s="373"/>
      <c r="E701" s="373"/>
      <c r="F701" s="373"/>
      <c r="G701" s="373"/>
      <c r="H701" s="373"/>
      <c r="I701" s="373"/>
      <c r="J701" s="127"/>
      <c r="K701" s="127"/>
      <c r="L701" s="127"/>
      <c r="M701" s="127"/>
      <c r="N701" s="127"/>
    </row>
    <row r="702" spans="1:14" ht="16.5" x14ac:dyDescent="0.25">
      <c r="A702" s="372"/>
      <c r="B702" s="372"/>
      <c r="C702" s="372"/>
      <c r="D702" s="373"/>
      <c r="E702" s="373"/>
      <c r="F702" s="373"/>
      <c r="G702" s="373"/>
      <c r="H702" s="373"/>
      <c r="I702" s="373"/>
      <c r="J702" s="127"/>
      <c r="K702" s="127"/>
      <c r="L702" s="127"/>
      <c r="M702" s="127"/>
      <c r="N702" s="127"/>
    </row>
    <row r="703" spans="1:14" ht="16.5" x14ac:dyDescent="0.25">
      <c r="A703" s="372"/>
      <c r="B703" s="372"/>
      <c r="C703" s="372"/>
      <c r="D703" s="373"/>
      <c r="E703" s="373"/>
      <c r="F703" s="373"/>
      <c r="G703" s="373"/>
      <c r="H703" s="373"/>
      <c r="I703" s="373"/>
      <c r="J703" s="127"/>
      <c r="K703" s="127"/>
      <c r="L703" s="127"/>
      <c r="M703" s="127"/>
      <c r="N703" s="127"/>
    </row>
    <row r="704" spans="1:14" ht="16.5" x14ac:dyDescent="0.25">
      <c r="A704" s="372"/>
      <c r="B704" s="372"/>
      <c r="C704" s="372"/>
      <c r="D704" s="373"/>
      <c r="E704" s="373"/>
      <c r="F704" s="373"/>
      <c r="G704" s="373"/>
      <c r="H704" s="373"/>
      <c r="I704" s="373"/>
      <c r="J704" s="127"/>
      <c r="K704" s="127"/>
      <c r="L704" s="127"/>
      <c r="M704" s="127"/>
      <c r="N704" s="127"/>
    </row>
    <row r="705" spans="1:14" ht="16.5" x14ac:dyDescent="0.25">
      <c r="A705" s="372"/>
      <c r="B705" s="372"/>
      <c r="C705" s="372"/>
      <c r="D705" s="373"/>
      <c r="E705" s="373"/>
      <c r="F705" s="373"/>
      <c r="G705" s="373"/>
      <c r="H705" s="373"/>
      <c r="I705" s="373"/>
      <c r="J705" s="127"/>
      <c r="K705" s="127"/>
      <c r="L705" s="127"/>
      <c r="M705" s="127"/>
      <c r="N705" s="127"/>
    </row>
    <row r="706" spans="1:14" ht="16.5" x14ac:dyDescent="0.25">
      <c r="A706" s="372"/>
      <c r="B706" s="372"/>
      <c r="C706" s="372"/>
      <c r="D706" s="373"/>
      <c r="E706" s="373"/>
      <c r="F706" s="373"/>
      <c r="G706" s="373"/>
      <c r="H706" s="373"/>
      <c r="I706" s="373"/>
      <c r="J706" s="127"/>
      <c r="K706" s="127"/>
      <c r="L706" s="127"/>
      <c r="M706" s="127"/>
      <c r="N706" s="127"/>
    </row>
    <row r="707" spans="1:14" ht="16.5" x14ac:dyDescent="0.25">
      <c r="A707" s="372"/>
      <c r="B707" s="372"/>
      <c r="C707" s="372"/>
      <c r="D707" s="373"/>
      <c r="E707" s="373"/>
      <c r="F707" s="373"/>
      <c r="G707" s="373"/>
      <c r="H707" s="373"/>
      <c r="I707" s="373"/>
      <c r="J707" s="127"/>
      <c r="K707" s="127"/>
      <c r="L707" s="127"/>
      <c r="M707" s="127"/>
      <c r="N707" s="127"/>
    </row>
    <row r="708" spans="1:14" ht="16.5" x14ac:dyDescent="0.25">
      <c r="A708" s="372"/>
      <c r="B708" s="372"/>
      <c r="C708" s="372"/>
      <c r="D708" s="373"/>
      <c r="E708" s="373"/>
      <c r="F708" s="373"/>
      <c r="G708" s="373"/>
      <c r="H708" s="373"/>
      <c r="I708" s="373"/>
      <c r="J708" s="127"/>
      <c r="K708" s="127"/>
      <c r="L708" s="127"/>
      <c r="M708" s="127"/>
      <c r="N708" s="127"/>
    </row>
    <row r="709" spans="1:14" ht="16.5" x14ac:dyDescent="0.25">
      <c r="A709" s="372"/>
      <c r="B709" s="372"/>
      <c r="C709" s="372"/>
      <c r="D709" s="373"/>
      <c r="E709" s="373"/>
      <c r="F709" s="373"/>
      <c r="G709" s="373"/>
      <c r="H709" s="373"/>
      <c r="I709" s="373"/>
      <c r="J709" s="127"/>
      <c r="K709" s="127"/>
      <c r="L709" s="127"/>
      <c r="M709" s="127"/>
      <c r="N709" s="127"/>
    </row>
    <row r="710" spans="1:14" ht="16.5" x14ac:dyDescent="0.25">
      <c r="A710" s="372"/>
      <c r="B710" s="372"/>
      <c r="C710" s="372"/>
      <c r="D710" s="373"/>
      <c r="E710" s="373"/>
      <c r="F710" s="373"/>
      <c r="G710" s="373"/>
      <c r="H710" s="373"/>
      <c r="I710" s="373"/>
      <c r="J710" s="127"/>
      <c r="K710" s="127"/>
      <c r="L710" s="127"/>
      <c r="M710" s="127"/>
      <c r="N710" s="127"/>
    </row>
    <row r="711" spans="1:14" ht="16.5" x14ac:dyDescent="0.25">
      <c r="A711" s="372"/>
      <c r="B711" s="372"/>
      <c r="C711" s="372"/>
      <c r="D711" s="373"/>
      <c r="E711" s="373"/>
      <c r="F711" s="373"/>
      <c r="G711" s="373"/>
      <c r="H711" s="373"/>
      <c r="I711" s="373"/>
      <c r="J711" s="127"/>
      <c r="K711" s="127"/>
      <c r="L711" s="127"/>
      <c r="M711" s="127"/>
      <c r="N711" s="127"/>
    </row>
    <row r="712" spans="1:14" ht="16.5" x14ac:dyDescent="0.25">
      <c r="A712" s="372"/>
      <c r="B712" s="372"/>
      <c r="C712" s="372"/>
      <c r="D712" s="373"/>
      <c r="E712" s="373"/>
      <c r="F712" s="373"/>
      <c r="G712" s="373"/>
      <c r="H712" s="373"/>
      <c r="I712" s="373"/>
      <c r="J712" s="127"/>
      <c r="K712" s="127"/>
      <c r="L712" s="127"/>
      <c r="M712" s="127"/>
      <c r="N712" s="127"/>
    </row>
    <row r="713" spans="1:14" ht="16.5" x14ac:dyDescent="0.25">
      <c r="A713" s="372"/>
      <c r="B713" s="372"/>
      <c r="C713" s="372"/>
      <c r="D713" s="373"/>
      <c r="E713" s="373"/>
      <c r="F713" s="373"/>
      <c r="G713" s="373"/>
      <c r="H713" s="373"/>
      <c r="I713" s="373"/>
      <c r="J713" s="127"/>
      <c r="K713" s="127"/>
      <c r="L713" s="127"/>
      <c r="M713" s="127"/>
      <c r="N713" s="127"/>
    </row>
    <row r="714" spans="1:14" ht="16.5" x14ac:dyDescent="0.25">
      <c r="A714" s="372"/>
      <c r="B714" s="372"/>
      <c r="C714" s="372"/>
      <c r="D714" s="373"/>
      <c r="E714" s="373"/>
      <c r="F714" s="373"/>
      <c r="G714" s="373"/>
      <c r="H714" s="373"/>
      <c r="I714" s="373"/>
      <c r="J714" s="127"/>
      <c r="K714" s="127"/>
      <c r="L714" s="127"/>
      <c r="M714" s="127"/>
      <c r="N714" s="127"/>
    </row>
    <row r="715" spans="1:14" ht="16.5" x14ac:dyDescent="0.25">
      <c r="A715" s="372"/>
      <c r="B715" s="372"/>
      <c r="C715" s="372"/>
      <c r="D715" s="373"/>
      <c r="E715" s="373"/>
      <c r="F715" s="373"/>
      <c r="G715" s="373"/>
      <c r="H715" s="373"/>
      <c r="I715" s="373"/>
      <c r="J715" s="127"/>
      <c r="K715" s="127"/>
      <c r="L715" s="127"/>
      <c r="M715" s="127"/>
      <c r="N715" s="127"/>
    </row>
    <row r="716" spans="1:14" ht="16.5" x14ac:dyDescent="0.25">
      <c r="A716" s="372"/>
      <c r="B716" s="372"/>
      <c r="C716" s="372"/>
      <c r="D716" s="373"/>
      <c r="E716" s="373"/>
      <c r="F716" s="373"/>
      <c r="G716" s="373"/>
      <c r="H716" s="373"/>
      <c r="I716" s="373"/>
      <c r="J716" s="127"/>
      <c r="K716" s="127"/>
      <c r="L716" s="127"/>
      <c r="M716" s="127"/>
      <c r="N716" s="127"/>
    </row>
    <row r="717" spans="1:14" ht="16.5" x14ac:dyDescent="0.25">
      <c r="A717" s="372"/>
      <c r="B717" s="372"/>
      <c r="C717" s="372"/>
      <c r="D717" s="373"/>
      <c r="E717" s="373"/>
      <c r="F717" s="373"/>
      <c r="G717" s="373"/>
      <c r="H717" s="373"/>
      <c r="I717" s="373"/>
      <c r="J717" s="127"/>
      <c r="K717" s="127"/>
      <c r="L717" s="127"/>
      <c r="M717" s="127"/>
      <c r="N717" s="127"/>
    </row>
    <row r="718" spans="1:14" ht="16.5" x14ac:dyDescent="0.25">
      <c r="A718" s="372"/>
      <c r="B718" s="372"/>
      <c r="C718" s="372"/>
      <c r="D718" s="373"/>
      <c r="E718" s="373"/>
      <c r="F718" s="373"/>
      <c r="G718" s="373"/>
      <c r="H718" s="373"/>
      <c r="I718" s="373"/>
      <c r="J718" s="127"/>
      <c r="K718" s="127"/>
      <c r="L718" s="127"/>
      <c r="M718" s="127"/>
      <c r="N718" s="127"/>
    </row>
    <row r="719" spans="1:14" ht="16.5" x14ac:dyDescent="0.25">
      <c r="A719" s="372"/>
      <c r="B719" s="372"/>
      <c r="C719" s="372"/>
      <c r="D719" s="373"/>
      <c r="E719" s="373"/>
      <c r="F719" s="373"/>
      <c r="G719" s="373"/>
      <c r="H719" s="373"/>
      <c r="I719" s="373"/>
      <c r="J719" s="127"/>
      <c r="K719" s="127"/>
      <c r="L719" s="127"/>
      <c r="M719" s="127"/>
      <c r="N719" s="127"/>
    </row>
    <row r="720" spans="1:14" ht="16.5" x14ac:dyDescent="0.25">
      <c r="A720" s="372"/>
      <c r="B720" s="372"/>
      <c r="C720" s="372"/>
      <c r="D720" s="373"/>
      <c r="E720" s="373"/>
      <c r="F720" s="373"/>
      <c r="G720" s="373"/>
      <c r="H720" s="373"/>
      <c r="I720" s="373"/>
      <c r="J720" s="127"/>
      <c r="K720" s="127"/>
      <c r="L720" s="127"/>
      <c r="M720" s="127"/>
      <c r="N720" s="127"/>
    </row>
    <row r="721" spans="1:14" ht="16.5" x14ac:dyDescent="0.25">
      <c r="A721" s="372"/>
      <c r="B721" s="372"/>
      <c r="C721" s="372"/>
      <c r="D721" s="373"/>
      <c r="E721" s="373"/>
      <c r="F721" s="373"/>
      <c r="G721" s="373"/>
      <c r="H721" s="373"/>
      <c r="I721" s="373"/>
      <c r="J721" s="127"/>
      <c r="K721" s="127"/>
      <c r="L721" s="127"/>
      <c r="M721" s="127"/>
      <c r="N721" s="127"/>
    </row>
    <row r="722" spans="1:14" ht="16.5" x14ac:dyDescent="0.25">
      <c r="A722" s="372"/>
      <c r="B722" s="372"/>
      <c r="C722" s="372"/>
      <c r="D722" s="373"/>
      <c r="E722" s="373"/>
      <c r="F722" s="373"/>
      <c r="G722" s="373"/>
      <c r="H722" s="373"/>
      <c r="I722" s="373"/>
      <c r="J722" s="127"/>
      <c r="K722" s="127"/>
      <c r="L722" s="127"/>
      <c r="M722" s="127"/>
      <c r="N722" s="127"/>
    </row>
    <row r="723" spans="1:14" ht="16.5" x14ac:dyDescent="0.25">
      <c r="A723" s="372"/>
      <c r="B723" s="372"/>
      <c r="C723" s="372"/>
      <c r="D723" s="373"/>
      <c r="E723" s="373"/>
      <c r="F723" s="373"/>
      <c r="G723" s="373"/>
      <c r="H723" s="373"/>
      <c r="I723" s="373"/>
      <c r="J723" s="127"/>
      <c r="K723" s="127"/>
      <c r="L723" s="127"/>
      <c r="M723" s="127"/>
      <c r="N723" s="127"/>
    </row>
    <row r="724" spans="1:14" ht="16.5" x14ac:dyDescent="0.25">
      <c r="A724" s="372"/>
      <c r="B724" s="372"/>
      <c r="C724" s="372"/>
      <c r="D724" s="373"/>
      <c r="E724" s="373"/>
      <c r="F724" s="373"/>
      <c r="G724" s="373"/>
      <c r="H724" s="373"/>
      <c r="I724" s="373"/>
      <c r="J724" s="127"/>
      <c r="K724" s="127"/>
      <c r="L724" s="127"/>
      <c r="M724" s="127"/>
      <c r="N724" s="127"/>
    </row>
    <row r="725" spans="1:14" ht="16.5" x14ac:dyDescent="0.25">
      <c r="A725" s="372"/>
      <c r="B725" s="372"/>
      <c r="C725" s="372"/>
      <c r="D725" s="373"/>
      <c r="E725" s="373"/>
      <c r="F725" s="373"/>
      <c r="G725" s="373"/>
      <c r="H725" s="373"/>
      <c r="I725" s="373"/>
      <c r="J725" s="127"/>
      <c r="K725" s="127"/>
      <c r="L725" s="127"/>
      <c r="M725" s="127"/>
      <c r="N725" s="127"/>
    </row>
    <row r="726" spans="1:14" ht="16.5" x14ac:dyDescent="0.25">
      <c r="A726" s="372"/>
      <c r="B726" s="372"/>
      <c r="C726" s="372"/>
      <c r="D726" s="373"/>
      <c r="E726" s="373"/>
      <c r="F726" s="373"/>
      <c r="G726" s="373"/>
      <c r="H726" s="373"/>
      <c r="I726" s="373"/>
      <c r="J726" s="127"/>
      <c r="K726" s="127"/>
      <c r="L726" s="127"/>
      <c r="M726" s="127"/>
      <c r="N726" s="127"/>
    </row>
    <row r="727" spans="1:14" ht="16.5" x14ac:dyDescent="0.25">
      <c r="A727" s="372"/>
      <c r="B727" s="372"/>
      <c r="C727" s="372"/>
      <c r="D727" s="373"/>
      <c r="E727" s="373"/>
      <c r="F727" s="373"/>
      <c r="G727" s="373"/>
      <c r="H727" s="373"/>
      <c r="I727" s="373"/>
      <c r="J727" s="127"/>
      <c r="K727" s="127"/>
      <c r="L727" s="127"/>
      <c r="M727" s="127"/>
      <c r="N727" s="127"/>
    </row>
    <row r="728" spans="1:14" ht="16.5" x14ac:dyDescent="0.25">
      <c r="A728" s="372"/>
      <c r="B728" s="372"/>
      <c r="C728" s="372"/>
      <c r="D728" s="373"/>
      <c r="E728" s="373"/>
      <c r="F728" s="373"/>
      <c r="G728" s="373"/>
      <c r="H728" s="373"/>
      <c r="I728" s="373"/>
      <c r="J728" s="127"/>
      <c r="K728" s="127"/>
      <c r="L728" s="127"/>
      <c r="M728" s="127"/>
      <c r="N728" s="127"/>
    </row>
    <row r="729" spans="1:14" ht="16.5" x14ac:dyDescent="0.25">
      <c r="A729" s="372"/>
      <c r="B729" s="372"/>
      <c r="C729" s="372"/>
      <c r="D729" s="373"/>
      <c r="E729" s="373"/>
      <c r="F729" s="373"/>
      <c r="G729" s="373"/>
      <c r="H729" s="373"/>
      <c r="I729" s="373"/>
      <c r="J729" s="127"/>
      <c r="K729" s="127"/>
      <c r="L729" s="127"/>
      <c r="M729" s="127"/>
      <c r="N729" s="127"/>
    </row>
    <row r="730" spans="1:14" ht="16.5" x14ac:dyDescent="0.25">
      <c r="A730" s="372"/>
      <c r="B730" s="372"/>
      <c r="C730" s="372"/>
      <c r="D730" s="373"/>
      <c r="E730" s="373"/>
      <c r="F730" s="373"/>
      <c r="G730" s="373"/>
      <c r="H730" s="373"/>
      <c r="I730" s="373"/>
      <c r="J730" s="127"/>
      <c r="K730" s="127"/>
      <c r="L730" s="127"/>
      <c r="M730" s="127"/>
      <c r="N730" s="127"/>
    </row>
    <row r="731" spans="1:14" ht="16.5" x14ac:dyDescent="0.25">
      <c r="A731" s="372"/>
      <c r="B731" s="372"/>
      <c r="C731" s="372"/>
      <c r="D731" s="373"/>
      <c r="E731" s="373"/>
      <c r="F731" s="373"/>
      <c r="G731" s="373"/>
      <c r="H731" s="373"/>
      <c r="I731" s="373"/>
      <c r="J731" s="127"/>
      <c r="K731" s="127"/>
      <c r="L731" s="127"/>
      <c r="M731" s="127"/>
      <c r="N731" s="127"/>
    </row>
    <row r="732" spans="1:14" ht="16.5" x14ac:dyDescent="0.25">
      <c r="A732" s="372"/>
      <c r="B732" s="372"/>
      <c r="C732" s="372"/>
      <c r="D732" s="373"/>
      <c r="E732" s="373"/>
      <c r="F732" s="373"/>
      <c r="G732" s="373"/>
      <c r="H732" s="373"/>
      <c r="I732" s="373"/>
      <c r="J732" s="127"/>
      <c r="K732" s="127"/>
      <c r="L732" s="127"/>
      <c r="M732" s="127"/>
      <c r="N732" s="127"/>
    </row>
    <row r="733" spans="1:14" ht="16.5" x14ac:dyDescent="0.25">
      <c r="A733" s="372"/>
      <c r="B733" s="372"/>
      <c r="C733" s="372"/>
      <c r="D733" s="373"/>
      <c r="E733" s="373"/>
      <c r="F733" s="373"/>
      <c r="G733" s="373"/>
      <c r="H733" s="373"/>
      <c r="I733" s="373"/>
      <c r="J733" s="127"/>
      <c r="K733" s="127"/>
      <c r="L733" s="127"/>
      <c r="M733" s="127"/>
      <c r="N733" s="127"/>
    </row>
    <row r="734" spans="1:14" ht="16.5" x14ac:dyDescent="0.25">
      <c r="A734" s="372"/>
      <c r="B734" s="372"/>
      <c r="C734" s="372"/>
      <c r="D734" s="373"/>
      <c r="E734" s="373"/>
      <c r="F734" s="373"/>
      <c r="G734" s="373"/>
      <c r="H734" s="373"/>
      <c r="I734" s="373"/>
      <c r="J734" s="127"/>
      <c r="K734" s="127"/>
      <c r="L734" s="127"/>
      <c r="M734" s="127"/>
      <c r="N734" s="127"/>
    </row>
    <row r="735" spans="1:14" ht="16.5" x14ac:dyDescent="0.25">
      <c r="A735" s="372"/>
      <c r="B735" s="372"/>
      <c r="C735" s="372"/>
      <c r="D735" s="373"/>
      <c r="E735" s="373"/>
      <c r="F735" s="373"/>
      <c r="G735" s="373"/>
      <c r="H735" s="373"/>
      <c r="I735" s="373"/>
      <c r="J735" s="127"/>
      <c r="K735" s="127"/>
      <c r="L735" s="127"/>
      <c r="M735" s="127"/>
      <c r="N735" s="127"/>
    </row>
    <row r="736" spans="1:14" ht="16.5" x14ac:dyDescent="0.25">
      <c r="A736" s="372"/>
      <c r="B736" s="372"/>
      <c r="C736" s="372"/>
      <c r="D736" s="373"/>
      <c r="E736" s="373"/>
      <c r="F736" s="373"/>
      <c r="G736" s="373"/>
      <c r="H736" s="373"/>
      <c r="I736" s="373"/>
      <c r="J736" s="127"/>
      <c r="K736" s="127"/>
      <c r="L736" s="127"/>
      <c r="M736" s="127"/>
      <c r="N736" s="127"/>
    </row>
    <row r="737" spans="1:14" ht="16.5" x14ac:dyDescent="0.25">
      <c r="A737" s="372"/>
      <c r="B737" s="372"/>
      <c r="C737" s="372"/>
      <c r="D737" s="373"/>
      <c r="E737" s="373"/>
      <c r="F737" s="373"/>
      <c r="G737" s="373"/>
      <c r="H737" s="373"/>
      <c r="I737" s="373"/>
      <c r="J737" s="127"/>
      <c r="K737" s="127"/>
      <c r="L737" s="127"/>
      <c r="M737" s="127"/>
      <c r="N737" s="127"/>
    </row>
    <row r="738" spans="1:14" ht="16.5" x14ac:dyDescent="0.25">
      <c r="A738" s="372"/>
      <c r="B738" s="372"/>
      <c r="C738" s="372"/>
      <c r="D738" s="373"/>
      <c r="E738" s="373"/>
      <c r="F738" s="373"/>
      <c r="G738" s="373"/>
      <c r="H738" s="373"/>
      <c r="I738" s="373"/>
      <c r="J738" s="127"/>
      <c r="K738" s="127"/>
      <c r="L738" s="127"/>
      <c r="M738" s="127"/>
      <c r="N738" s="127"/>
    </row>
    <row r="739" spans="1:14" ht="16.5" x14ac:dyDescent="0.25">
      <c r="A739" s="372"/>
      <c r="B739" s="372"/>
      <c r="C739" s="372"/>
      <c r="D739" s="373"/>
      <c r="E739" s="373"/>
      <c r="F739" s="373"/>
      <c r="G739" s="373"/>
      <c r="H739" s="373"/>
      <c r="I739" s="373"/>
      <c r="J739" s="127"/>
      <c r="K739" s="127"/>
      <c r="L739" s="127"/>
      <c r="M739" s="127"/>
      <c r="N739" s="127"/>
    </row>
    <row r="740" spans="1:14" ht="16.5" x14ac:dyDescent="0.25">
      <c r="A740" s="372"/>
      <c r="B740" s="372"/>
      <c r="C740" s="372"/>
      <c r="D740" s="373"/>
      <c r="E740" s="373"/>
      <c r="F740" s="373"/>
      <c r="G740" s="373"/>
      <c r="H740" s="373"/>
      <c r="I740" s="373"/>
      <c r="J740" s="127"/>
      <c r="K740" s="127"/>
      <c r="L740" s="127"/>
      <c r="M740" s="127"/>
      <c r="N740" s="127"/>
    </row>
    <row r="741" spans="1:14" ht="16.5" x14ac:dyDescent="0.25">
      <c r="A741" s="372"/>
      <c r="B741" s="372"/>
      <c r="C741" s="372"/>
      <c r="D741" s="373"/>
      <c r="E741" s="373"/>
      <c r="F741" s="373"/>
      <c r="G741" s="373"/>
      <c r="H741" s="373"/>
      <c r="I741" s="373"/>
      <c r="J741" s="127"/>
      <c r="K741" s="127"/>
      <c r="L741" s="127"/>
      <c r="M741" s="127"/>
      <c r="N741" s="127"/>
    </row>
    <row r="742" spans="1:14" ht="16.5" x14ac:dyDescent="0.25">
      <c r="A742" s="372"/>
      <c r="B742" s="372"/>
      <c r="C742" s="372"/>
      <c r="D742" s="373"/>
      <c r="E742" s="373"/>
      <c r="F742" s="373"/>
      <c r="G742" s="373"/>
      <c r="H742" s="373"/>
      <c r="I742" s="373"/>
      <c r="J742" s="127"/>
      <c r="K742" s="127"/>
      <c r="L742" s="127"/>
      <c r="M742" s="127"/>
      <c r="N742" s="127"/>
    </row>
    <row r="743" spans="1:14" ht="16.5" x14ac:dyDescent="0.25">
      <c r="A743" s="372"/>
      <c r="B743" s="372"/>
      <c r="C743" s="372"/>
      <c r="D743" s="373"/>
      <c r="E743" s="373"/>
      <c r="F743" s="373"/>
      <c r="G743" s="373"/>
      <c r="H743" s="373"/>
      <c r="I743" s="373"/>
      <c r="J743" s="127"/>
      <c r="K743" s="127"/>
      <c r="L743" s="127"/>
      <c r="M743" s="127"/>
      <c r="N743" s="127"/>
    </row>
    <row r="744" spans="1:14" ht="16.5" x14ac:dyDescent="0.25">
      <c r="A744" s="372"/>
      <c r="B744" s="372"/>
      <c r="C744" s="372"/>
      <c r="D744" s="373"/>
      <c r="E744" s="373"/>
      <c r="F744" s="373"/>
      <c r="G744" s="373"/>
      <c r="H744" s="373"/>
      <c r="I744" s="373"/>
      <c r="J744" s="127"/>
      <c r="K744" s="127"/>
      <c r="L744" s="127"/>
      <c r="M744" s="127"/>
      <c r="N744" s="127"/>
    </row>
    <row r="745" spans="1:14" ht="16.5" x14ac:dyDescent="0.25">
      <c r="A745" s="372"/>
      <c r="B745" s="372"/>
      <c r="C745" s="372"/>
      <c r="D745" s="373"/>
      <c r="E745" s="373"/>
      <c r="F745" s="373"/>
      <c r="G745" s="373"/>
      <c r="H745" s="373"/>
      <c r="I745" s="373"/>
      <c r="J745" s="127"/>
      <c r="K745" s="127"/>
      <c r="L745" s="127"/>
      <c r="M745" s="127"/>
      <c r="N745" s="127"/>
    </row>
    <row r="746" spans="1:14" ht="16.5" x14ac:dyDescent="0.25">
      <c r="A746" s="372"/>
      <c r="B746" s="372"/>
      <c r="C746" s="372"/>
      <c r="D746" s="373"/>
      <c r="E746" s="373"/>
      <c r="F746" s="373"/>
      <c r="G746" s="373"/>
      <c r="H746" s="373"/>
      <c r="I746" s="373"/>
      <c r="J746" s="127"/>
      <c r="K746" s="127"/>
      <c r="L746" s="127"/>
      <c r="M746" s="127"/>
      <c r="N746" s="127"/>
    </row>
    <row r="747" spans="1:14" ht="16.5" x14ac:dyDescent="0.25">
      <c r="A747" s="372"/>
      <c r="B747" s="372"/>
      <c r="C747" s="372"/>
      <c r="D747" s="373"/>
      <c r="E747" s="373"/>
      <c r="F747" s="373"/>
      <c r="G747" s="373"/>
      <c r="H747" s="373"/>
      <c r="I747" s="373"/>
      <c r="J747" s="127"/>
      <c r="K747" s="127"/>
      <c r="L747" s="127"/>
      <c r="M747" s="127"/>
      <c r="N747" s="127"/>
    </row>
    <row r="748" spans="1:14" ht="16.5" x14ac:dyDescent="0.25">
      <c r="A748" s="372"/>
      <c r="B748" s="372"/>
      <c r="C748" s="372"/>
      <c r="D748" s="373"/>
      <c r="E748" s="373"/>
      <c r="F748" s="373"/>
      <c r="G748" s="373"/>
      <c r="H748" s="373"/>
      <c r="I748" s="373"/>
      <c r="J748" s="127"/>
      <c r="K748" s="127"/>
      <c r="L748" s="127"/>
      <c r="M748" s="127"/>
      <c r="N748" s="127"/>
    </row>
    <row r="749" spans="1:14" ht="16.5" x14ac:dyDescent="0.25">
      <c r="A749" s="372"/>
      <c r="B749" s="372"/>
      <c r="C749" s="372"/>
      <c r="D749" s="373"/>
      <c r="E749" s="373"/>
      <c r="F749" s="373"/>
      <c r="G749" s="373"/>
      <c r="H749" s="373"/>
      <c r="I749" s="373"/>
      <c r="J749" s="127"/>
      <c r="K749" s="127"/>
      <c r="L749" s="127"/>
      <c r="M749" s="127"/>
      <c r="N749" s="127"/>
    </row>
    <row r="750" spans="1:14" ht="16.5" x14ac:dyDescent="0.25">
      <c r="A750" s="372"/>
      <c r="B750" s="372"/>
      <c r="C750" s="372"/>
      <c r="D750" s="373"/>
      <c r="E750" s="373"/>
      <c r="F750" s="373"/>
      <c r="G750" s="373"/>
      <c r="H750" s="373"/>
      <c r="I750" s="373"/>
      <c r="J750" s="127"/>
      <c r="K750" s="127"/>
      <c r="L750" s="127"/>
      <c r="M750" s="127"/>
      <c r="N750" s="127"/>
    </row>
    <row r="751" spans="1:14" ht="16.5" x14ac:dyDescent="0.25">
      <c r="A751" s="372"/>
      <c r="B751" s="372"/>
      <c r="C751" s="372"/>
      <c r="D751" s="373"/>
      <c r="E751" s="373"/>
      <c r="F751" s="373"/>
      <c r="G751" s="373"/>
      <c r="H751" s="373"/>
      <c r="I751" s="373"/>
      <c r="J751" s="127"/>
      <c r="K751" s="127"/>
      <c r="L751" s="127"/>
      <c r="M751" s="127"/>
      <c r="N751" s="127"/>
    </row>
    <row r="752" spans="1:14" ht="16.5" x14ac:dyDescent="0.25">
      <c r="A752" s="372"/>
      <c r="B752" s="372"/>
      <c r="C752" s="372"/>
      <c r="D752" s="373"/>
      <c r="E752" s="373"/>
      <c r="F752" s="373"/>
      <c r="G752" s="373"/>
      <c r="H752" s="373"/>
      <c r="I752" s="373"/>
      <c r="J752" s="127"/>
      <c r="K752" s="127"/>
      <c r="L752" s="127"/>
      <c r="M752" s="127"/>
      <c r="N752" s="127"/>
    </row>
    <row r="753" spans="1:14" ht="16.5" x14ac:dyDescent="0.25">
      <c r="A753" s="372"/>
      <c r="B753" s="372"/>
      <c r="C753" s="372"/>
      <c r="D753" s="373"/>
      <c r="E753" s="373"/>
      <c r="F753" s="373"/>
      <c r="G753" s="373"/>
      <c r="H753" s="373"/>
      <c r="I753" s="373"/>
      <c r="J753" s="127"/>
      <c r="K753" s="127"/>
      <c r="L753" s="127"/>
      <c r="M753" s="127"/>
      <c r="N753" s="127"/>
    </row>
    <row r="754" spans="1:14" ht="16.5" x14ac:dyDescent="0.25">
      <c r="A754" s="372"/>
      <c r="B754" s="372"/>
      <c r="C754" s="372"/>
      <c r="D754" s="373"/>
      <c r="E754" s="373"/>
      <c r="F754" s="373"/>
      <c r="G754" s="373"/>
      <c r="H754" s="373"/>
      <c r="I754" s="373"/>
      <c r="J754" s="127"/>
      <c r="K754" s="127"/>
      <c r="L754" s="127"/>
      <c r="M754" s="127"/>
      <c r="N754" s="127"/>
    </row>
    <row r="755" spans="1:14" ht="16.5" x14ac:dyDescent="0.25">
      <c r="A755" s="372"/>
      <c r="B755" s="372"/>
      <c r="C755" s="372"/>
      <c r="D755" s="373"/>
      <c r="E755" s="373"/>
      <c r="F755" s="373"/>
      <c r="G755" s="373"/>
      <c r="H755" s="373"/>
      <c r="I755" s="373"/>
      <c r="J755" s="127"/>
      <c r="K755" s="127"/>
      <c r="L755" s="127"/>
      <c r="M755" s="127"/>
      <c r="N755" s="127"/>
    </row>
    <row r="756" spans="1:14" ht="16.5" x14ac:dyDescent="0.25">
      <c r="A756" s="372"/>
      <c r="B756" s="372"/>
      <c r="C756" s="372"/>
      <c r="D756" s="373"/>
      <c r="E756" s="373"/>
      <c r="F756" s="373"/>
      <c r="G756" s="373"/>
      <c r="H756" s="373"/>
      <c r="I756" s="373"/>
      <c r="J756" s="127"/>
      <c r="K756" s="127"/>
      <c r="L756" s="127"/>
      <c r="M756" s="127"/>
      <c r="N756" s="127"/>
    </row>
    <row r="757" spans="1:14" ht="16.5" x14ac:dyDescent="0.25">
      <c r="A757" s="372"/>
      <c r="B757" s="372"/>
      <c r="C757" s="372"/>
      <c r="D757" s="373"/>
      <c r="E757" s="373"/>
      <c r="F757" s="373"/>
      <c r="G757" s="373"/>
      <c r="H757" s="373"/>
      <c r="I757" s="373"/>
      <c r="J757" s="127"/>
      <c r="K757" s="127"/>
      <c r="L757" s="127"/>
      <c r="M757" s="127"/>
      <c r="N757" s="127"/>
    </row>
    <row r="758" spans="1:14" ht="16.5" x14ac:dyDescent="0.25">
      <c r="A758" s="372"/>
      <c r="B758" s="372"/>
      <c r="C758" s="372"/>
      <c r="D758" s="373"/>
      <c r="E758" s="373"/>
      <c r="F758" s="373"/>
      <c r="G758" s="373"/>
      <c r="H758" s="373"/>
      <c r="I758" s="373"/>
      <c r="J758" s="127"/>
      <c r="K758" s="127"/>
      <c r="L758" s="127"/>
      <c r="M758" s="127"/>
      <c r="N758" s="127"/>
    </row>
    <row r="759" spans="1:14" ht="16.5" x14ac:dyDescent="0.25">
      <c r="A759" s="372"/>
      <c r="B759" s="372"/>
      <c r="C759" s="372"/>
      <c r="D759" s="373"/>
      <c r="E759" s="373"/>
      <c r="F759" s="373"/>
      <c r="G759" s="373"/>
      <c r="H759" s="373"/>
      <c r="I759" s="373"/>
      <c r="J759" s="127"/>
      <c r="K759" s="127"/>
      <c r="L759" s="127"/>
      <c r="M759" s="127"/>
      <c r="N759" s="127"/>
    </row>
    <row r="760" spans="1:14" ht="16.5" x14ac:dyDescent="0.25">
      <c r="A760" s="372"/>
      <c r="B760" s="372"/>
      <c r="C760" s="372"/>
      <c r="D760" s="373"/>
      <c r="E760" s="373"/>
      <c r="F760" s="373"/>
      <c r="G760" s="373"/>
      <c r="H760" s="373"/>
      <c r="I760" s="373"/>
      <c r="J760" s="127"/>
      <c r="K760" s="127"/>
      <c r="L760" s="127"/>
      <c r="M760" s="127"/>
      <c r="N760" s="127"/>
    </row>
    <row r="761" spans="1:14" ht="16.5" x14ac:dyDescent="0.25">
      <c r="A761" s="372"/>
      <c r="B761" s="372"/>
      <c r="C761" s="372"/>
      <c r="D761" s="373"/>
      <c r="E761" s="373"/>
      <c r="F761" s="373"/>
      <c r="G761" s="373"/>
      <c r="H761" s="373"/>
      <c r="I761" s="373"/>
      <c r="J761" s="127"/>
      <c r="K761" s="127"/>
      <c r="L761" s="127"/>
      <c r="M761" s="127"/>
      <c r="N761" s="127"/>
    </row>
    <row r="762" spans="1:14" ht="16.5" x14ac:dyDescent="0.25">
      <c r="A762" s="372"/>
      <c r="B762" s="372"/>
      <c r="C762" s="372"/>
      <c r="D762" s="373"/>
      <c r="E762" s="373"/>
      <c r="F762" s="373"/>
      <c r="G762" s="373"/>
      <c r="H762" s="373"/>
      <c r="I762" s="373"/>
      <c r="J762" s="127"/>
      <c r="K762" s="127"/>
      <c r="L762" s="127"/>
      <c r="M762" s="127"/>
      <c r="N762" s="127"/>
    </row>
    <row r="763" spans="1:14" ht="16.5" x14ac:dyDescent="0.25">
      <c r="A763" s="372"/>
      <c r="B763" s="372"/>
      <c r="C763" s="372"/>
      <c r="D763" s="373"/>
      <c r="E763" s="373"/>
      <c r="F763" s="373"/>
      <c r="G763" s="373"/>
      <c r="H763" s="373"/>
      <c r="I763" s="373"/>
      <c r="J763" s="127"/>
      <c r="K763" s="127"/>
      <c r="L763" s="127"/>
      <c r="M763" s="127"/>
      <c r="N763" s="127"/>
    </row>
    <row r="764" spans="1:14" ht="16.5" x14ac:dyDescent="0.25">
      <c r="A764" s="372"/>
      <c r="B764" s="372"/>
      <c r="C764" s="372"/>
      <c r="D764" s="373"/>
      <c r="E764" s="373"/>
      <c r="F764" s="373"/>
      <c r="G764" s="373"/>
      <c r="H764" s="373"/>
      <c r="I764" s="373"/>
      <c r="J764" s="127"/>
      <c r="K764" s="127"/>
      <c r="L764" s="127"/>
      <c r="M764" s="127"/>
      <c r="N764" s="127"/>
    </row>
    <row r="765" spans="1:14" ht="16.5" x14ac:dyDescent="0.25">
      <c r="A765" s="372"/>
      <c r="B765" s="372"/>
      <c r="C765" s="372"/>
      <c r="D765" s="373"/>
      <c r="E765" s="373"/>
      <c r="F765" s="373"/>
      <c r="G765" s="373"/>
      <c r="H765" s="373"/>
      <c r="I765" s="373"/>
      <c r="J765" s="127"/>
      <c r="K765" s="127"/>
      <c r="L765" s="127"/>
      <c r="M765" s="127"/>
      <c r="N765" s="127"/>
    </row>
    <row r="766" spans="1:14" ht="16.5" x14ac:dyDescent="0.25">
      <c r="A766" s="372"/>
      <c r="B766" s="372"/>
      <c r="C766" s="372"/>
      <c r="D766" s="373"/>
      <c r="E766" s="373"/>
      <c r="F766" s="373"/>
      <c r="G766" s="373"/>
      <c r="H766" s="373"/>
      <c r="I766" s="373"/>
      <c r="J766" s="127"/>
      <c r="K766" s="127"/>
      <c r="L766" s="127"/>
      <c r="M766" s="127"/>
      <c r="N766" s="127"/>
    </row>
    <row r="767" spans="1:14" ht="16.5" x14ac:dyDescent="0.25">
      <c r="A767" s="372"/>
      <c r="B767" s="372"/>
      <c r="C767" s="372"/>
      <c r="D767" s="373"/>
      <c r="E767" s="373"/>
      <c r="F767" s="373"/>
      <c r="G767" s="373"/>
      <c r="H767" s="373"/>
      <c r="I767" s="373"/>
      <c r="J767" s="127"/>
      <c r="K767" s="127"/>
      <c r="L767" s="127"/>
      <c r="M767" s="127"/>
      <c r="N767" s="127"/>
    </row>
    <row r="768" spans="1:14" ht="16.5" x14ac:dyDescent="0.25">
      <c r="A768" s="372"/>
      <c r="B768" s="372"/>
      <c r="C768" s="372"/>
      <c r="D768" s="373"/>
      <c r="E768" s="373"/>
      <c r="F768" s="373"/>
      <c r="G768" s="373"/>
      <c r="H768" s="373"/>
      <c r="I768" s="373"/>
      <c r="J768" s="127"/>
      <c r="K768" s="127"/>
      <c r="L768" s="127"/>
      <c r="M768" s="127"/>
      <c r="N768" s="127"/>
    </row>
    <row r="769" spans="1:14" ht="16.5" x14ac:dyDescent="0.25">
      <c r="A769" s="372"/>
      <c r="B769" s="372"/>
      <c r="C769" s="372"/>
      <c r="D769" s="373"/>
      <c r="E769" s="373"/>
      <c r="F769" s="373"/>
      <c r="G769" s="373"/>
      <c r="H769" s="373"/>
      <c r="I769" s="373"/>
      <c r="J769" s="127"/>
      <c r="K769" s="127"/>
      <c r="L769" s="127"/>
      <c r="M769" s="127"/>
      <c r="N769" s="127"/>
    </row>
    <row r="770" spans="1:14" ht="16.5" x14ac:dyDescent="0.25">
      <c r="A770" s="372"/>
      <c r="B770" s="372"/>
      <c r="C770" s="372"/>
      <c r="D770" s="373"/>
      <c r="E770" s="373"/>
      <c r="F770" s="373"/>
      <c r="G770" s="373"/>
      <c r="H770" s="373"/>
      <c r="I770" s="373"/>
      <c r="J770" s="127"/>
      <c r="K770" s="127"/>
      <c r="L770" s="127"/>
      <c r="M770" s="127"/>
      <c r="N770" s="127"/>
    </row>
    <row r="771" spans="1:14" ht="16.5" x14ac:dyDescent="0.25">
      <c r="A771" s="372"/>
      <c r="B771" s="372"/>
      <c r="C771" s="372"/>
      <c r="D771" s="373"/>
      <c r="E771" s="373"/>
      <c r="F771" s="373"/>
      <c r="G771" s="373"/>
      <c r="H771" s="373"/>
      <c r="I771" s="373"/>
      <c r="J771" s="127"/>
      <c r="K771" s="127"/>
      <c r="L771" s="127"/>
      <c r="M771" s="127"/>
      <c r="N771" s="127"/>
    </row>
    <row r="772" spans="1:14" ht="16.5" x14ac:dyDescent="0.25">
      <c r="A772" s="372"/>
      <c r="B772" s="372"/>
      <c r="C772" s="372"/>
      <c r="D772" s="373"/>
      <c r="E772" s="373"/>
      <c r="F772" s="373"/>
      <c r="G772" s="373"/>
      <c r="H772" s="373"/>
      <c r="I772" s="373"/>
      <c r="J772" s="127"/>
      <c r="K772" s="127"/>
      <c r="L772" s="127"/>
      <c r="M772" s="127"/>
      <c r="N772" s="127"/>
    </row>
    <row r="773" spans="1:14" ht="16.5" x14ac:dyDescent="0.25">
      <c r="A773" s="372"/>
      <c r="B773" s="372"/>
      <c r="C773" s="372"/>
      <c r="D773" s="373"/>
      <c r="E773" s="373"/>
      <c r="F773" s="373"/>
      <c r="G773" s="373"/>
      <c r="H773" s="373"/>
      <c r="I773" s="373"/>
      <c r="J773" s="127"/>
      <c r="K773" s="127"/>
      <c r="L773" s="127"/>
      <c r="M773" s="127"/>
      <c r="N773" s="127"/>
    </row>
    <row r="774" spans="1:14" ht="16.5" x14ac:dyDescent="0.25">
      <c r="A774" s="372"/>
      <c r="B774" s="372"/>
      <c r="C774" s="372"/>
      <c r="D774" s="373"/>
      <c r="E774" s="373"/>
      <c r="F774" s="373"/>
      <c r="G774" s="373"/>
      <c r="H774" s="373"/>
      <c r="I774" s="373"/>
      <c r="J774" s="127"/>
      <c r="K774" s="127"/>
      <c r="L774" s="127"/>
      <c r="M774" s="127"/>
      <c r="N774" s="127"/>
    </row>
    <row r="775" spans="1:14" ht="16.5" x14ac:dyDescent="0.25">
      <c r="A775" s="372"/>
      <c r="B775" s="372"/>
      <c r="C775" s="372"/>
      <c r="D775" s="373"/>
      <c r="E775" s="373"/>
      <c r="F775" s="373"/>
      <c r="G775" s="373"/>
      <c r="H775" s="373"/>
      <c r="I775" s="373"/>
      <c r="J775" s="127"/>
      <c r="K775" s="127"/>
      <c r="L775" s="127"/>
      <c r="M775" s="127"/>
      <c r="N775" s="127"/>
    </row>
    <row r="776" spans="1:14" ht="16.5" x14ac:dyDescent="0.25">
      <c r="A776" s="372"/>
      <c r="B776" s="372"/>
      <c r="C776" s="372"/>
      <c r="D776" s="373"/>
      <c r="E776" s="373"/>
      <c r="F776" s="373"/>
      <c r="G776" s="373"/>
      <c r="H776" s="373"/>
      <c r="I776" s="373"/>
      <c r="J776" s="127"/>
      <c r="K776" s="127"/>
      <c r="L776" s="127"/>
      <c r="M776" s="127"/>
      <c r="N776" s="127"/>
    </row>
    <row r="777" spans="1:14" ht="16.5" x14ac:dyDescent="0.25">
      <c r="A777" s="372"/>
      <c r="B777" s="372"/>
      <c r="C777" s="372"/>
      <c r="D777" s="373"/>
      <c r="E777" s="373"/>
      <c r="F777" s="373"/>
      <c r="G777" s="373"/>
      <c r="H777" s="373"/>
      <c r="I777" s="373"/>
      <c r="J777" s="127"/>
      <c r="K777" s="127"/>
      <c r="L777" s="127"/>
      <c r="M777" s="127"/>
      <c r="N777" s="127"/>
    </row>
    <row r="778" spans="1:14" ht="16.5" x14ac:dyDescent="0.25">
      <c r="A778" s="372"/>
      <c r="B778" s="372"/>
      <c r="C778" s="372"/>
      <c r="D778" s="373"/>
      <c r="E778" s="373"/>
      <c r="F778" s="373"/>
      <c r="G778" s="373"/>
      <c r="H778" s="373"/>
      <c r="I778" s="373"/>
      <c r="J778" s="127"/>
      <c r="K778" s="127"/>
      <c r="L778" s="127"/>
      <c r="M778" s="127"/>
      <c r="N778" s="127"/>
    </row>
    <row r="779" spans="1:14" ht="16.5" x14ac:dyDescent="0.25">
      <c r="A779" s="372"/>
      <c r="B779" s="372"/>
      <c r="C779" s="372"/>
      <c r="D779" s="373"/>
      <c r="E779" s="373"/>
      <c r="F779" s="373"/>
      <c r="G779" s="373"/>
      <c r="H779" s="373"/>
      <c r="I779" s="373"/>
      <c r="J779" s="127"/>
      <c r="K779" s="127"/>
      <c r="L779" s="127"/>
      <c r="M779" s="127"/>
      <c r="N779" s="127"/>
    </row>
    <row r="780" spans="1:14" ht="16.5" x14ac:dyDescent="0.25">
      <c r="A780" s="372"/>
      <c r="B780" s="372"/>
      <c r="C780" s="372"/>
      <c r="D780" s="373"/>
      <c r="E780" s="373"/>
      <c r="F780" s="373"/>
      <c r="G780" s="373"/>
      <c r="H780" s="373"/>
      <c r="I780" s="373"/>
      <c r="J780" s="127"/>
      <c r="K780" s="127"/>
      <c r="L780" s="127"/>
      <c r="M780" s="127"/>
      <c r="N780" s="127"/>
    </row>
    <row r="781" spans="1:14" ht="16.5" x14ac:dyDescent="0.25">
      <c r="A781" s="372"/>
      <c r="B781" s="372"/>
      <c r="C781" s="372"/>
      <c r="D781" s="373"/>
      <c r="E781" s="373"/>
      <c r="F781" s="373"/>
      <c r="G781" s="373"/>
      <c r="H781" s="373"/>
      <c r="I781" s="373"/>
      <c r="J781" s="127"/>
      <c r="K781" s="127"/>
      <c r="L781" s="127"/>
      <c r="M781" s="127"/>
      <c r="N781" s="127"/>
    </row>
    <row r="782" spans="1:14" ht="16.5" x14ac:dyDescent="0.25">
      <c r="A782" s="372"/>
      <c r="B782" s="372"/>
      <c r="C782" s="372"/>
      <c r="D782" s="373"/>
      <c r="E782" s="373"/>
      <c r="F782" s="373"/>
      <c r="G782" s="373"/>
      <c r="H782" s="373"/>
      <c r="I782" s="373"/>
      <c r="J782" s="127"/>
      <c r="K782" s="127"/>
      <c r="L782" s="127"/>
      <c r="M782" s="127"/>
      <c r="N782" s="127"/>
    </row>
    <row r="783" spans="1:14" ht="16.5" x14ac:dyDescent="0.25">
      <c r="A783" s="372"/>
      <c r="B783" s="372"/>
      <c r="C783" s="372"/>
      <c r="D783" s="373"/>
      <c r="E783" s="373"/>
      <c r="F783" s="373"/>
      <c r="G783" s="373"/>
      <c r="H783" s="373"/>
      <c r="I783" s="373"/>
      <c r="J783" s="127"/>
      <c r="K783" s="127"/>
      <c r="L783" s="127"/>
      <c r="M783" s="127"/>
      <c r="N783" s="127"/>
    </row>
    <row r="784" spans="1:14" ht="16.5" x14ac:dyDescent="0.25">
      <c r="A784" s="372"/>
      <c r="B784" s="372"/>
      <c r="C784" s="372"/>
      <c r="D784" s="373"/>
      <c r="E784" s="373"/>
      <c r="F784" s="373"/>
      <c r="G784" s="373"/>
      <c r="H784" s="373"/>
      <c r="I784" s="373"/>
      <c r="J784" s="127"/>
      <c r="K784" s="127"/>
      <c r="L784" s="127"/>
      <c r="M784" s="127"/>
      <c r="N784" s="127"/>
    </row>
    <row r="785" spans="1:14" ht="16.5" x14ac:dyDescent="0.25">
      <c r="A785" s="372"/>
      <c r="B785" s="372"/>
      <c r="C785" s="372"/>
      <c r="D785" s="373"/>
      <c r="E785" s="373"/>
      <c r="F785" s="373"/>
      <c r="G785" s="373"/>
      <c r="H785" s="373"/>
      <c r="I785" s="373"/>
      <c r="J785" s="127"/>
      <c r="K785" s="127"/>
      <c r="L785" s="127"/>
      <c r="M785" s="127"/>
      <c r="N785" s="127"/>
    </row>
    <row r="786" spans="1:14" ht="16.5" x14ac:dyDescent="0.25">
      <c r="A786" s="372"/>
      <c r="B786" s="372"/>
      <c r="C786" s="372"/>
      <c r="D786" s="373"/>
      <c r="E786" s="373"/>
      <c r="F786" s="373"/>
      <c r="G786" s="373"/>
      <c r="H786" s="373"/>
      <c r="I786" s="373"/>
      <c r="J786" s="127"/>
      <c r="K786" s="127"/>
      <c r="L786" s="127"/>
      <c r="M786" s="127"/>
      <c r="N786" s="127"/>
    </row>
    <row r="787" spans="1:14" ht="16.5" x14ac:dyDescent="0.25">
      <c r="A787" s="372"/>
      <c r="B787" s="372"/>
      <c r="C787" s="372"/>
      <c r="D787" s="373"/>
      <c r="E787" s="373"/>
      <c r="F787" s="373"/>
      <c r="G787" s="373"/>
      <c r="H787" s="373"/>
      <c r="I787" s="373"/>
      <c r="J787" s="127"/>
      <c r="K787" s="127"/>
      <c r="L787" s="127"/>
      <c r="M787" s="127"/>
      <c r="N787" s="127"/>
    </row>
    <row r="788" spans="1:14" ht="16.5" x14ac:dyDescent="0.25">
      <c r="A788" s="372"/>
      <c r="B788" s="372"/>
      <c r="C788" s="372"/>
      <c r="D788" s="373"/>
      <c r="E788" s="373"/>
      <c r="F788" s="373"/>
      <c r="G788" s="373"/>
      <c r="H788" s="373"/>
      <c r="I788" s="373"/>
      <c r="J788" s="127"/>
      <c r="K788" s="127"/>
      <c r="L788" s="127"/>
      <c r="M788" s="127"/>
      <c r="N788" s="127"/>
    </row>
    <row r="789" spans="1:14" ht="16.5" x14ac:dyDescent="0.25">
      <c r="A789" s="372"/>
      <c r="B789" s="372"/>
      <c r="C789" s="372"/>
      <c r="D789" s="373"/>
      <c r="E789" s="373"/>
      <c r="F789" s="373"/>
      <c r="G789" s="373"/>
      <c r="H789" s="373"/>
      <c r="I789" s="373"/>
      <c r="J789" s="127"/>
      <c r="K789" s="127"/>
      <c r="L789" s="127"/>
      <c r="M789" s="127"/>
      <c r="N789" s="127"/>
    </row>
    <row r="790" spans="1:14" ht="16.5" x14ac:dyDescent="0.25">
      <c r="A790" s="372"/>
      <c r="B790" s="372"/>
      <c r="C790" s="372"/>
      <c r="D790" s="373"/>
      <c r="E790" s="373"/>
      <c r="F790" s="373"/>
      <c r="G790" s="373"/>
      <c r="H790" s="373"/>
      <c r="I790" s="373"/>
      <c r="J790" s="127"/>
      <c r="K790" s="127"/>
      <c r="L790" s="127"/>
      <c r="M790" s="127"/>
      <c r="N790" s="127"/>
    </row>
    <row r="791" spans="1:14" ht="16.5" x14ac:dyDescent="0.25">
      <c r="A791" s="372"/>
      <c r="B791" s="372"/>
      <c r="C791" s="372"/>
      <c r="D791" s="373"/>
      <c r="E791" s="373"/>
      <c r="F791" s="373"/>
      <c r="G791" s="373"/>
      <c r="H791" s="373"/>
      <c r="I791" s="373"/>
      <c r="J791" s="127"/>
      <c r="K791" s="127"/>
      <c r="L791" s="127"/>
      <c r="M791" s="127"/>
      <c r="N791" s="127"/>
    </row>
    <row r="792" spans="1:14" ht="16.5" x14ac:dyDescent="0.25">
      <c r="A792" s="372"/>
      <c r="B792" s="372"/>
      <c r="C792" s="372"/>
      <c r="D792" s="373"/>
      <c r="E792" s="373"/>
      <c r="F792" s="373"/>
      <c r="G792" s="373"/>
      <c r="H792" s="373"/>
      <c r="I792" s="373"/>
      <c r="J792" s="127"/>
      <c r="K792" s="127"/>
      <c r="L792" s="127"/>
      <c r="M792" s="127"/>
      <c r="N792" s="127"/>
    </row>
    <row r="793" spans="1:14" ht="16.5" x14ac:dyDescent="0.25">
      <c r="A793" s="372"/>
      <c r="B793" s="372"/>
      <c r="C793" s="372"/>
      <c r="D793" s="373"/>
      <c r="E793" s="373"/>
      <c r="F793" s="373"/>
      <c r="G793" s="373"/>
      <c r="H793" s="373"/>
      <c r="I793" s="373"/>
      <c r="J793" s="127"/>
      <c r="K793" s="127"/>
      <c r="L793" s="127"/>
      <c r="M793" s="127"/>
      <c r="N793" s="127"/>
    </row>
    <row r="794" spans="1:14" ht="16.5" x14ac:dyDescent="0.25">
      <c r="A794" s="372"/>
      <c r="B794" s="372"/>
      <c r="C794" s="372"/>
      <c r="D794" s="373"/>
      <c r="E794" s="373"/>
      <c r="F794" s="373"/>
      <c r="G794" s="373"/>
      <c r="H794" s="373"/>
      <c r="I794" s="373"/>
      <c r="J794" s="127"/>
      <c r="K794" s="127"/>
      <c r="L794" s="127"/>
      <c r="M794" s="127"/>
      <c r="N794" s="127"/>
    </row>
    <row r="795" spans="1:14" ht="16.5" x14ac:dyDescent="0.25">
      <c r="A795" s="372"/>
      <c r="B795" s="372"/>
      <c r="C795" s="372"/>
      <c r="D795" s="373"/>
      <c r="E795" s="373"/>
      <c r="F795" s="373"/>
      <c r="G795" s="373"/>
      <c r="H795" s="373"/>
      <c r="I795" s="373"/>
      <c r="J795" s="127"/>
      <c r="K795" s="127"/>
      <c r="L795" s="127"/>
      <c r="M795" s="127"/>
      <c r="N795" s="127"/>
    </row>
    <row r="796" spans="1:14" ht="16.5" x14ac:dyDescent="0.25">
      <c r="A796" s="372"/>
      <c r="B796" s="372"/>
      <c r="C796" s="372"/>
      <c r="D796" s="373"/>
      <c r="E796" s="373"/>
      <c r="F796" s="373"/>
      <c r="G796" s="373"/>
      <c r="H796" s="373"/>
      <c r="I796" s="373"/>
      <c r="J796" s="127"/>
      <c r="K796" s="127"/>
      <c r="L796" s="127"/>
      <c r="M796" s="127"/>
      <c r="N796" s="127"/>
    </row>
    <row r="797" spans="1:14" ht="16.5" x14ac:dyDescent="0.25">
      <c r="A797" s="372"/>
      <c r="B797" s="372"/>
      <c r="C797" s="372"/>
      <c r="D797" s="373"/>
      <c r="E797" s="373"/>
      <c r="F797" s="373"/>
      <c r="G797" s="373"/>
      <c r="H797" s="373"/>
      <c r="I797" s="373"/>
      <c r="J797" s="127"/>
      <c r="K797" s="127"/>
      <c r="L797" s="127"/>
      <c r="M797" s="127"/>
      <c r="N797" s="127"/>
    </row>
    <row r="798" spans="1:14" ht="16.5" x14ac:dyDescent="0.25">
      <c r="A798" s="372"/>
      <c r="B798" s="372"/>
      <c r="C798" s="372"/>
      <c r="D798" s="373"/>
      <c r="E798" s="373"/>
      <c r="F798" s="373"/>
      <c r="G798" s="373"/>
      <c r="H798" s="373"/>
      <c r="I798" s="373"/>
      <c r="J798" s="127"/>
      <c r="K798" s="127"/>
      <c r="L798" s="127"/>
      <c r="M798" s="127"/>
      <c r="N798" s="127"/>
    </row>
    <row r="799" spans="1:14" ht="16.5" x14ac:dyDescent="0.25">
      <c r="A799" s="372"/>
      <c r="B799" s="372"/>
      <c r="C799" s="372"/>
      <c r="D799" s="373"/>
      <c r="E799" s="373"/>
      <c r="F799" s="373"/>
      <c r="G799" s="373"/>
      <c r="H799" s="373"/>
      <c r="I799" s="373"/>
      <c r="J799" s="127"/>
      <c r="K799" s="127"/>
      <c r="L799" s="127"/>
      <c r="M799" s="127"/>
      <c r="N799" s="127"/>
    </row>
    <row r="800" spans="1:14" ht="16.5" x14ac:dyDescent="0.25">
      <c r="A800" s="372"/>
      <c r="B800" s="372"/>
      <c r="C800" s="372"/>
      <c r="D800" s="373"/>
      <c r="E800" s="373"/>
      <c r="F800" s="373"/>
      <c r="G800" s="373"/>
      <c r="H800" s="373"/>
      <c r="I800" s="373"/>
      <c r="J800" s="127"/>
      <c r="K800" s="127"/>
      <c r="L800" s="127"/>
      <c r="M800" s="127"/>
      <c r="N800" s="127"/>
    </row>
    <row r="801" spans="1:14" ht="16.5" x14ac:dyDescent="0.25">
      <c r="A801" s="372"/>
      <c r="B801" s="372"/>
      <c r="C801" s="372"/>
      <c r="D801" s="373"/>
      <c r="E801" s="373"/>
      <c r="F801" s="373"/>
      <c r="G801" s="373"/>
      <c r="H801" s="373"/>
      <c r="I801" s="373"/>
      <c r="J801" s="127"/>
      <c r="K801" s="127"/>
      <c r="L801" s="127"/>
      <c r="M801" s="127"/>
      <c r="N801" s="127"/>
    </row>
    <row r="802" spans="1:14" ht="16.5" x14ac:dyDescent="0.25">
      <c r="A802" s="372"/>
      <c r="B802" s="372"/>
      <c r="C802" s="372"/>
      <c r="D802" s="373"/>
      <c r="E802" s="373"/>
      <c r="F802" s="373"/>
      <c r="G802" s="373"/>
      <c r="H802" s="373"/>
      <c r="I802" s="373"/>
      <c r="J802" s="127"/>
      <c r="K802" s="127"/>
      <c r="L802" s="127"/>
      <c r="M802" s="127"/>
      <c r="N802" s="127"/>
    </row>
    <row r="803" spans="1:14" ht="16.5" x14ac:dyDescent="0.25">
      <c r="A803" s="372"/>
      <c r="B803" s="372"/>
      <c r="C803" s="372"/>
      <c r="D803" s="373"/>
      <c r="E803" s="373"/>
      <c r="F803" s="373"/>
      <c r="G803" s="373"/>
      <c r="H803" s="373"/>
      <c r="I803" s="373"/>
      <c r="J803" s="127"/>
      <c r="K803" s="127"/>
      <c r="L803" s="127"/>
      <c r="M803" s="127"/>
      <c r="N803" s="127"/>
    </row>
    <row r="804" spans="1:14" ht="16.5" x14ac:dyDescent="0.25">
      <c r="A804" s="372"/>
      <c r="B804" s="372"/>
      <c r="C804" s="372"/>
      <c r="D804" s="373"/>
      <c r="E804" s="373"/>
      <c r="F804" s="373"/>
      <c r="G804" s="373"/>
      <c r="H804" s="373"/>
      <c r="I804" s="373"/>
      <c r="J804" s="127"/>
      <c r="K804" s="127"/>
      <c r="L804" s="127"/>
      <c r="M804" s="127"/>
      <c r="N804" s="127"/>
    </row>
    <row r="805" spans="1:14" ht="16.5" x14ac:dyDescent="0.25">
      <c r="A805" s="372"/>
      <c r="B805" s="372"/>
      <c r="C805" s="372"/>
      <c r="D805" s="373"/>
      <c r="E805" s="373"/>
      <c r="F805" s="373"/>
      <c r="G805" s="373"/>
      <c r="H805" s="373"/>
      <c r="I805" s="373"/>
      <c r="J805" s="127"/>
      <c r="K805" s="127"/>
      <c r="L805" s="127"/>
      <c r="M805" s="127"/>
      <c r="N805" s="127"/>
    </row>
    <row r="806" spans="1:14" ht="16.5" x14ac:dyDescent="0.25">
      <c r="A806" s="372"/>
      <c r="B806" s="372"/>
      <c r="C806" s="372"/>
      <c r="D806" s="373"/>
      <c r="E806" s="373"/>
      <c r="F806" s="373"/>
      <c r="G806" s="373"/>
      <c r="H806" s="373"/>
      <c r="I806" s="373"/>
      <c r="J806" s="127"/>
      <c r="K806" s="127"/>
      <c r="L806" s="127"/>
      <c r="M806" s="127"/>
      <c r="N806" s="127"/>
    </row>
    <row r="807" spans="1:14" ht="16.5" x14ac:dyDescent="0.25">
      <c r="A807" s="372"/>
      <c r="B807" s="372"/>
      <c r="C807" s="372"/>
      <c r="D807" s="373"/>
      <c r="E807" s="373"/>
      <c r="F807" s="373"/>
      <c r="G807" s="373"/>
      <c r="H807" s="373"/>
      <c r="I807" s="373"/>
      <c r="J807" s="127"/>
      <c r="K807" s="127"/>
      <c r="L807" s="127"/>
      <c r="M807" s="127"/>
      <c r="N807" s="127"/>
    </row>
    <row r="808" spans="1:14" ht="16.5" x14ac:dyDescent="0.25">
      <c r="A808" s="372"/>
      <c r="B808" s="372"/>
      <c r="C808" s="372"/>
      <c r="D808" s="373"/>
      <c r="E808" s="373"/>
      <c r="F808" s="373"/>
      <c r="G808" s="373"/>
      <c r="H808" s="373"/>
      <c r="I808" s="373"/>
      <c r="J808" s="127"/>
      <c r="K808" s="127"/>
      <c r="L808" s="127"/>
      <c r="M808" s="127"/>
      <c r="N808" s="127"/>
    </row>
    <row r="809" spans="1:14" ht="16.5" x14ac:dyDescent="0.25">
      <c r="A809" s="372"/>
      <c r="B809" s="372"/>
      <c r="C809" s="372"/>
      <c r="D809" s="373"/>
      <c r="E809" s="373"/>
      <c r="F809" s="373"/>
      <c r="G809" s="373"/>
      <c r="H809" s="373"/>
      <c r="I809" s="373"/>
      <c r="J809" s="127"/>
      <c r="K809" s="127"/>
      <c r="L809" s="127"/>
      <c r="M809" s="127"/>
      <c r="N809" s="127"/>
    </row>
    <row r="810" spans="1:14" ht="16.5" x14ac:dyDescent="0.25">
      <c r="A810" s="372"/>
      <c r="B810" s="372"/>
      <c r="C810" s="372"/>
      <c r="D810" s="373"/>
      <c r="E810" s="373"/>
      <c r="F810" s="373"/>
      <c r="G810" s="373"/>
      <c r="H810" s="373"/>
      <c r="I810" s="373"/>
      <c r="J810" s="127"/>
      <c r="K810" s="127"/>
      <c r="L810" s="127"/>
      <c r="M810" s="127"/>
      <c r="N810" s="127"/>
    </row>
    <row r="811" spans="1:14" ht="16.5" x14ac:dyDescent="0.25">
      <c r="A811" s="372"/>
      <c r="B811" s="372"/>
      <c r="C811" s="372"/>
      <c r="D811" s="373"/>
      <c r="E811" s="373"/>
      <c r="F811" s="373"/>
      <c r="G811" s="373"/>
      <c r="H811" s="373"/>
      <c r="I811" s="373"/>
      <c r="J811" s="127"/>
      <c r="K811" s="127"/>
      <c r="L811" s="127"/>
      <c r="M811" s="127"/>
      <c r="N811" s="127"/>
    </row>
    <row r="812" spans="1:14" ht="16.5" x14ac:dyDescent="0.25">
      <c r="A812" s="372"/>
      <c r="B812" s="372"/>
      <c r="C812" s="372"/>
      <c r="D812" s="373"/>
      <c r="E812" s="373"/>
      <c r="F812" s="373"/>
      <c r="G812" s="373"/>
      <c r="H812" s="373"/>
      <c r="I812" s="373"/>
      <c r="J812" s="127"/>
      <c r="K812" s="127"/>
      <c r="L812" s="127"/>
      <c r="M812" s="127"/>
      <c r="N812" s="127"/>
    </row>
    <row r="813" spans="1:14" ht="16.5" x14ac:dyDescent="0.25">
      <c r="A813" s="372"/>
      <c r="B813" s="372"/>
      <c r="C813" s="372"/>
      <c r="D813" s="373"/>
      <c r="E813" s="373"/>
      <c r="F813" s="373"/>
      <c r="G813" s="373"/>
      <c r="H813" s="373"/>
      <c r="I813" s="373"/>
      <c r="J813" s="127"/>
      <c r="K813" s="127"/>
      <c r="L813" s="127"/>
      <c r="M813" s="127"/>
      <c r="N813" s="127"/>
    </row>
    <row r="814" spans="1:14" ht="16.5" x14ac:dyDescent="0.25">
      <c r="A814" s="372"/>
      <c r="B814" s="372"/>
      <c r="C814" s="372"/>
      <c r="D814" s="373"/>
      <c r="E814" s="373"/>
      <c r="F814" s="373"/>
      <c r="G814" s="373"/>
      <c r="H814" s="373"/>
      <c r="I814" s="373"/>
      <c r="J814" s="127"/>
      <c r="K814" s="127"/>
      <c r="L814" s="127"/>
      <c r="M814" s="127"/>
      <c r="N814" s="127"/>
    </row>
    <row r="815" spans="1:14" ht="16.5" x14ac:dyDescent="0.25">
      <c r="A815" s="372"/>
      <c r="B815" s="372"/>
      <c r="C815" s="372"/>
      <c r="D815" s="373"/>
      <c r="E815" s="373"/>
      <c r="F815" s="373"/>
      <c r="G815" s="373"/>
      <c r="H815" s="373"/>
      <c r="I815" s="373"/>
      <c r="J815" s="127"/>
      <c r="K815" s="127"/>
      <c r="L815" s="127"/>
      <c r="M815" s="127"/>
      <c r="N815" s="127"/>
    </row>
    <row r="816" spans="1:14" ht="16.5" x14ac:dyDescent="0.25">
      <c r="A816" s="372"/>
      <c r="B816" s="372"/>
      <c r="C816" s="372"/>
      <c r="D816" s="373"/>
      <c r="E816" s="373"/>
      <c r="F816" s="373"/>
      <c r="G816" s="373"/>
      <c r="H816" s="373"/>
      <c r="I816" s="373"/>
      <c r="J816" s="127"/>
      <c r="K816" s="127"/>
      <c r="L816" s="127"/>
      <c r="M816" s="127"/>
      <c r="N816" s="127"/>
    </row>
    <row r="817" spans="1:14" ht="16.5" x14ac:dyDescent="0.25">
      <c r="A817" s="372"/>
      <c r="B817" s="372"/>
      <c r="C817" s="372"/>
      <c r="D817" s="373"/>
      <c r="E817" s="373"/>
      <c r="F817" s="373"/>
      <c r="G817" s="373"/>
      <c r="H817" s="373"/>
      <c r="I817" s="373"/>
      <c r="J817" s="127"/>
      <c r="K817" s="127"/>
      <c r="L817" s="127"/>
      <c r="M817" s="127"/>
      <c r="N817" s="127"/>
    </row>
    <row r="818" spans="1:14" ht="16.5" x14ac:dyDescent="0.25">
      <c r="A818" s="372"/>
      <c r="B818" s="372"/>
      <c r="C818" s="372"/>
      <c r="D818" s="373"/>
      <c r="E818" s="373"/>
      <c r="F818" s="373"/>
      <c r="G818" s="373"/>
      <c r="H818" s="373"/>
      <c r="I818" s="373"/>
      <c r="J818" s="127"/>
      <c r="K818" s="127"/>
      <c r="L818" s="127"/>
      <c r="M818" s="127"/>
      <c r="N818" s="127"/>
    </row>
    <row r="819" spans="1:14" ht="16.5" x14ac:dyDescent="0.25">
      <c r="A819" s="372"/>
      <c r="B819" s="372"/>
      <c r="C819" s="372"/>
      <c r="D819" s="373"/>
      <c r="E819" s="373"/>
      <c r="F819" s="373"/>
      <c r="G819" s="373"/>
      <c r="H819" s="373"/>
      <c r="I819" s="373"/>
      <c r="J819" s="127"/>
      <c r="K819" s="127"/>
      <c r="L819" s="127"/>
      <c r="M819" s="127"/>
      <c r="N819" s="127"/>
    </row>
    <row r="820" spans="1:14" ht="16.5" x14ac:dyDescent="0.25">
      <c r="A820" s="372"/>
      <c r="B820" s="372"/>
      <c r="C820" s="372"/>
      <c r="D820" s="373"/>
      <c r="E820" s="373"/>
      <c r="F820" s="373"/>
      <c r="G820" s="373"/>
      <c r="H820" s="373"/>
      <c r="I820" s="373"/>
      <c r="J820" s="127"/>
      <c r="K820" s="127"/>
      <c r="L820" s="127"/>
      <c r="M820" s="127"/>
      <c r="N820" s="127"/>
    </row>
    <row r="821" spans="1:14" ht="16.5" x14ac:dyDescent="0.25">
      <c r="A821" s="372"/>
      <c r="B821" s="372"/>
      <c r="C821" s="372"/>
      <c r="D821" s="373"/>
      <c r="E821" s="373"/>
      <c r="F821" s="373"/>
      <c r="G821" s="373"/>
      <c r="H821" s="373"/>
      <c r="I821" s="373"/>
      <c r="J821" s="127"/>
      <c r="K821" s="127"/>
      <c r="L821" s="127"/>
      <c r="M821" s="127"/>
      <c r="N821" s="127"/>
    </row>
    <row r="822" spans="1:14" ht="16.5" x14ac:dyDescent="0.25">
      <c r="A822" s="372"/>
      <c r="B822" s="372"/>
      <c r="C822" s="372"/>
      <c r="D822" s="373"/>
      <c r="E822" s="373"/>
      <c r="F822" s="373"/>
      <c r="G822" s="373"/>
      <c r="H822" s="373"/>
      <c r="I822" s="373"/>
      <c r="J822" s="127"/>
      <c r="K822" s="127"/>
      <c r="L822" s="127"/>
      <c r="M822" s="127"/>
      <c r="N822" s="127"/>
    </row>
    <row r="823" spans="1:14" ht="16.5" x14ac:dyDescent="0.25">
      <c r="A823" s="372"/>
      <c r="B823" s="372"/>
      <c r="C823" s="372"/>
      <c r="D823" s="373"/>
      <c r="E823" s="373"/>
      <c r="F823" s="373"/>
      <c r="G823" s="373"/>
      <c r="H823" s="373"/>
      <c r="I823" s="373"/>
      <c r="J823" s="127"/>
      <c r="K823" s="127"/>
      <c r="L823" s="127"/>
      <c r="M823" s="127"/>
      <c r="N823" s="127"/>
    </row>
    <row r="824" spans="1:14" ht="16.5" x14ac:dyDescent="0.25">
      <c r="A824" s="372"/>
      <c r="B824" s="372"/>
      <c r="C824" s="372"/>
      <c r="D824" s="373"/>
      <c r="E824" s="373"/>
      <c r="F824" s="373"/>
      <c r="G824" s="373"/>
      <c r="H824" s="373"/>
      <c r="I824" s="373"/>
      <c r="J824" s="127"/>
      <c r="K824" s="127"/>
      <c r="L824" s="127"/>
      <c r="M824" s="127"/>
      <c r="N824" s="127"/>
    </row>
    <row r="825" spans="1:14" ht="16.5" x14ac:dyDescent="0.25">
      <c r="A825" s="372"/>
      <c r="B825" s="372"/>
      <c r="C825" s="372"/>
      <c r="D825" s="373"/>
      <c r="E825" s="373"/>
      <c r="F825" s="373"/>
      <c r="G825" s="373"/>
      <c r="H825" s="373"/>
      <c r="I825" s="373"/>
      <c r="J825" s="127"/>
      <c r="K825" s="127"/>
      <c r="L825" s="127"/>
      <c r="M825" s="127"/>
      <c r="N825" s="127"/>
    </row>
    <row r="826" spans="1:14" ht="16.5" x14ac:dyDescent="0.25">
      <c r="A826" s="372"/>
      <c r="B826" s="372"/>
      <c r="C826" s="372"/>
      <c r="D826" s="373"/>
      <c r="E826" s="373"/>
      <c r="F826" s="373"/>
      <c r="G826" s="373"/>
      <c r="H826" s="373"/>
      <c r="I826" s="373"/>
      <c r="J826" s="127"/>
      <c r="K826" s="127"/>
      <c r="L826" s="127"/>
      <c r="M826" s="127"/>
      <c r="N826" s="127"/>
    </row>
    <row r="827" spans="1:14" ht="16.5" x14ac:dyDescent="0.25">
      <c r="A827" s="372"/>
      <c r="B827" s="372"/>
      <c r="C827" s="372"/>
      <c r="D827" s="373"/>
      <c r="E827" s="373"/>
      <c r="F827" s="373"/>
      <c r="G827" s="373"/>
      <c r="H827" s="373"/>
      <c r="I827" s="373"/>
      <c r="J827" s="127"/>
      <c r="K827" s="127"/>
      <c r="L827" s="127"/>
      <c r="M827" s="127"/>
      <c r="N827" s="127"/>
    </row>
    <row r="828" spans="1:14" ht="16.5" x14ac:dyDescent="0.25">
      <c r="A828" s="372"/>
      <c r="B828" s="372"/>
      <c r="C828" s="372"/>
      <c r="D828" s="373"/>
      <c r="E828" s="373"/>
      <c r="F828" s="373"/>
      <c r="G828" s="373"/>
      <c r="H828" s="373"/>
      <c r="I828" s="373"/>
      <c r="J828" s="127"/>
      <c r="K828" s="127"/>
      <c r="L828" s="127"/>
      <c r="M828" s="127"/>
      <c r="N828" s="127"/>
    </row>
    <row r="829" spans="1:14" ht="16.5" x14ac:dyDescent="0.25">
      <c r="A829" s="372"/>
      <c r="B829" s="372"/>
      <c r="C829" s="372"/>
      <c r="D829" s="373"/>
      <c r="E829" s="373"/>
      <c r="F829" s="373"/>
      <c r="G829" s="373"/>
      <c r="H829" s="373"/>
      <c r="I829" s="373"/>
      <c r="J829" s="127"/>
      <c r="K829" s="127"/>
      <c r="L829" s="127"/>
      <c r="M829" s="127"/>
      <c r="N829" s="127"/>
    </row>
    <row r="830" spans="1:14" ht="16.5" x14ac:dyDescent="0.25">
      <c r="A830" s="372"/>
      <c r="B830" s="372"/>
      <c r="C830" s="372"/>
      <c r="D830" s="373"/>
      <c r="E830" s="373"/>
      <c r="F830" s="373"/>
      <c r="G830" s="373"/>
      <c r="H830" s="373"/>
      <c r="I830" s="373"/>
      <c r="J830" s="127"/>
      <c r="K830" s="127"/>
      <c r="L830" s="127"/>
      <c r="M830" s="127"/>
      <c r="N830" s="127"/>
    </row>
    <row r="831" spans="1:14" ht="16.5" x14ac:dyDescent="0.25">
      <c r="A831" s="372"/>
      <c r="B831" s="372"/>
      <c r="C831" s="372"/>
      <c r="D831" s="373"/>
      <c r="E831" s="373"/>
      <c r="F831" s="373"/>
      <c r="G831" s="373"/>
      <c r="H831" s="373"/>
      <c r="I831" s="373"/>
      <c r="J831" s="127"/>
      <c r="K831" s="127"/>
      <c r="L831" s="127"/>
      <c r="M831" s="127"/>
      <c r="N831" s="127"/>
    </row>
    <row r="832" spans="1:14" ht="16.5" x14ac:dyDescent="0.25">
      <c r="A832" s="372"/>
      <c r="B832" s="372"/>
      <c r="C832" s="372"/>
      <c r="D832" s="373"/>
      <c r="E832" s="373"/>
      <c r="F832" s="373"/>
      <c r="G832" s="373"/>
      <c r="H832" s="373"/>
      <c r="I832" s="373"/>
      <c r="J832" s="127"/>
      <c r="K832" s="127"/>
      <c r="L832" s="127"/>
      <c r="M832" s="127"/>
      <c r="N832" s="127"/>
    </row>
    <row r="833" spans="1:14" ht="16.5" x14ac:dyDescent="0.25">
      <c r="A833" s="372"/>
      <c r="B833" s="372"/>
      <c r="C833" s="372"/>
      <c r="D833" s="373"/>
      <c r="E833" s="373"/>
      <c r="F833" s="373"/>
      <c r="G833" s="373"/>
      <c r="H833" s="373"/>
      <c r="I833" s="373"/>
      <c r="J833" s="127"/>
      <c r="K833" s="127"/>
      <c r="L833" s="127"/>
      <c r="M833" s="127"/>
      <c r="N833" s="127"/>
    </row>
    <row r="834" spans="1:14" ht="16.5" x14ac:dyDescent="0.25">
      <c r="A834" s="372"/>
      <c r="B834" s="372"/>
      <c r="C834" s="372"/>
      <c r="D834" s="373"/>
      <c r="E834" s="373"/>
      <c r="F834" s="373"/>
      <c r="G834" s="373"/>
      <c r="H834" s="373"/>
      <c r="I834" s="373"/>
      <c r="J834" s="127"/>
      <c r="K834" s="127"/>
      <c r="L834" s="127"/>
      <c r="M834" s="127"/>
      <c r="N834" s="127"/>
    </row>
    <row r="835" spans="1:14" ht="16.5" x14ac:dyDescent="0.25">
      <c r="A835" s="372"/>
      <c r="B835" s="372"/>
      <c r="C835" s="372"/>
      <c r="D835" s="373"/>
      <c r="E835" s="373"/>
      <c r="F835" s="373"/>
      <c r="G835" s="373"/>
      <c r="H835" s="373"/>
      <c r="I835" s="373"/>
      <c r="J835" s="127"/>
      <c r="K835" s="127"/>
      <c r="L835" s="127"/>
      <c r="M835" s="127"/>
      <c r="N835" s="127"/>
    </row>
    <row r="836" spans="1:14" ht="16.5" x14ac:dyDescent="0.25">
      <c r="A836" s="372"/>
      <c r="B836" s="372"/>
      <c r="C836" s="372"/>
      <c r="D836" s="373"/>
      <c r="E836" s="373"/>
      <c r="F836" s="373"/>
      <c r="G836" s="373"/>
      <c r="H836" s="373"/>
      <c r="I836" s="373"/>
      <c r="J836" s="127"/>
      <c r="K836" s="127"/>
      <c r="L836" s="127"/>
      <c r="M836" s="127"/>
      <c r="N836" s="127"/>
    </row>
    <row r="837" spans="1:14" ht="16.5" x14ac:dyDescent="0.25">
      <c r="A837" s="372"/>
      <c r="B837" s="372"/>
      <c r="C837" s="372"/>
      <c r="D837" s="373"/>
      <c r="E837" s="373"/>
      <c r="F837" s="373"/>
      <c r="G837" s="373"/>
      <c r="H837" s="373"/>
      <c r="I837" s="373"/>
      <c r="J837" s="127"/>
      <c r="K837" s="127"/>
      <c r="L837" s="127"/>
      <c r="M837" s="127"/>
      <c r="N837" s="127"/>
    </row>
    <row r="838" spans="1:14" ht="16.5" x14ac:dyDescent="0.25">
      <c r="A838" s="372"/>
      <c r="B838" s="372"/>
      <c r="C838" s="372"/>
      <c r="D838" s="373"/>
      <c r="E838" s="373"/>
      <c r="F838" s="373"/>
      <c r="G838" s="373"/>
      <c r="H838" s="373"/>
      <c r="I838" s="373"/>
      <c r="J838" s="127"/>
      <c r="K838" s="127"/>
      <c r="L838" s="127"/>
      <c r="M838" s="127"/>
      <c r="N838" s="127"/>
    </row>
    <row r="839" spans="1:14" ht="16.5" x14ac:dyDescent="0.25">
      <c r="A839" s="372"/>
      <c r="B839" s="372"/>
      <c r="C839" s="372"/>
      <c r="D839" s="373"/>
      <c r="E839" s="373"/>
      <c r="F839" s="373"/>
      <c r="G839" s="373"/>
      <c r="H839" s="373"/>
      <c r="I839" s="373"/>
      <c r="J839" s="127"/>
      <c r="K839" s="127"/>
      <c r="L839" s="127"/>
      <c r="M839" s="127"/>
      <c r="N839" s="127"/>
    </row>
    <row r="840" spans="1:14" ht="16.5" x14ac:dyDescent="0.25">
      <c r="A840" s="372"/>
      <c r="B840" s="372"/>
      <c r="C840" s="372"/>
      <c r="D840" s="373"/>
      <c r="E840" s="373"/>
      <c r="F840" s="373"/>
      <c r="G840" s="373"/>
      <c r="H840" s="373"/>
      <c r="I840" s="373"/>
      <c r="J840" s="127"/>
      <c r="K840" s="127"/>
      <c r="L840" s="127"/>
      <c r="M840" s="127"/>
      <c r="N840" s="127"/>
    </row>
    <row r="841" spans="1:14" ht="16.5" x14ac:dyDescent="0.25">
      <c r="A841" s="372"/>
      <c r="B841" s="372"/>
      <c r="C841" s="372"/>
      <c r="D841" s="373"/>
      <c r="E841" s="373"/>
      <c r="F841" s="373"/>
      <c r="G841" s="373"/>
      <c r="H841" s="373"/>
      <c r="I841" s="373"/>
      <c r="J841" s="127"/>
      <c r="K841" s="127"/>
      <c r="L841" s="127"/>
      <c r="M841" s="127"/>
      <c r="N841" s="127"/>
    </row>
    <row r="842" spans="1:14" ht="16.5" x14ac:dyDescent="0.25">
      <c r="A842" s="372"/>
      <c r="B842" s="372"/>
      <c r="C842" s="372"/>
      <c r="D842" s="373"/>
      <c r="E842" s="373"/>
      <c r="F842" s="373"/>
      <c r="G842" s="373"/>
      <c r="H842" s="373"/>
      <c r="I842" s="373"/>
      <c r="J842" s="127"/>
      <c r="K842" s="127"/>
      <c r="L842" s="127"/>
      <c r="M842" s="127"/>
      <c r="N842" s="127"/>
    </row>
    <row r="843" spans="1:14" ht="16.5" x14ac:dyDescent="0.25">
      <c r="A843" s="372"/>
      <c r="B843" s="372"/>
      <c r="C843" s="372"/>
      <c r="D843" s="373"/>
      <c r="E843" s="373"/>
      <c r="F843" s="373"/>
      <c r="G843" s="373"/>
      <c r="H843" s="373"/>
      <c r="I843" s="373"/>
      <c r="J843" s="127"/>
      <c r="K843" s="127"/>
      <c r="L843" s="127"/>
      <c r="M843" s="127"/>
      <c r="N843" s="127"/>
    </row>
    <row r="844" spans="1:14" ht="16.5" x14ac:dyDescent="0.25">
      <c r="A844" s="372"/>
      <c r="B844" s="372"/>
      <c r="C844" s="372"/>
      <c r="D844" s="373"/>
      <c r="E844" s="373"/>
      <c r="F844" s="373"/>
      <c r="G844" s="373"/>
      <c r="H844" s="373"/>
      <c r="I844" s="373"/>
      <c r="J844" s="127"/>
      <c r="K844" s="127"/>
      <c r="L844" s="127"/>
      <c r="M844" s="127"/>
      <c r="N844" s="127"/>
    </row>
    <row r="845" spans="1:14" ht="16.5" x14ac:dyDescent="0.25">
      <c r="A845" s="372"/>
      <c r="B845" s="372"/>
      <c r="C845" s="372"/>
      <c r="D845" s="373"/>
      <c r="E845" s="373"/>
      <c r="F845" s="373"/>
      <c r="G845" s="373"/>
      <c r="H845" s="373"/>
      <c r="I845" s="373"/>
      <c r="J845" s="127"/>
      <c r="K845" s="127"/>
      <c r="L845" s="127"/>
      <c r="M845" s="127"/>
      <c r="N845" s="127"/>
    </row>
    <row r="846" spans="1:14" ht="16.5" x14ac:dyDescent="0.25">
      <c r="A846" s="372"/>
      <c r="B846" s="372"/>
      <c r="C846" s="372"/>
      <c r="D846" s="373"/>
      <c r="E846" s="373"/>
      <c r="F846" s="373"/>
      <c r="G846" s="373"/>
      <c r="H846" s="373"/>
      <c r="I846" s="373"/>
      <c r="J846" s="127"/>
      <c r="K846" s="127"/>
      <c r="L846" s="127"/>
      <c r="M846" s="127"/>
      <c r="N846" s="127"/>
    </row>
    <row r="847" spans="1:14" ht="16.5" x14ac:dyDescent="0.25">
      <c r="A847" s="372"/>
      <c r="B847" s="372"/>
      <c r="C847" s="372"/>
      <c r="D847" s="373"/>
      <c r="E847" s="373"/>
      <c r="F847" s="373"/>
      <c r="G847" s="373"/>
      <c r="H847" s="373"/>
      <c r="I847" s="373"/>
      <c r="J847" s="127"/>
      <c r="K847" s="127"/>
      <c r="L847" s="127"/>
      <c r="M847" s="127"/>
      <c r="N847" s="127"/>
    </row>
    <row r="848" spans="1:14" ht="16.5" x14ac:dyDescent="0.25">
      <c r="A848" s="372"/>
      <c r="B848" s="372"/>
      <c r="C848" s="372"/>
      <c r="D848" s="373"/>
      <c r="E848" s="373"/>
      <c r="F848" s="373"/>
      <c r="G848" s="373"/>
      <c r="H848" s="373"/>
      <c r="I848" s="373"/>
      <c r="J848" s="127"/>
      <c r="K848" s="127"/>
      <c r="L848" s="127"/>
      <c r="M848" s="127"/>
      <c r="N848" s="127"/>
    </row>
    <row r="849" spans="1:14" ht="16.5" x14ac:dyDescent="0.25">
      <c r="A849" s="372"/>
      <c r="B849" s="372"/>
      <c r="C849" s="372"/>
      <c r="D849" s="373"/>
      <c r="E849" s="373"/>
      <c r="F849" s="373"/>
      <c r="G849" s="373"/>
      <c r="H849" s="373"/>
      <c r="I849" s="373"/>
      <c r="J849" s="127"/>
      <c r="K849" s="127"/>
      <c r="L849" s="127"/>
      <c r="M849" s="127"/>
      <c r="N849" s="127"/>
    </row>
    <row r="850" spans="1:14" ht="16.5" x14ac:dyDescent="0.25">
      <c r="A850" s="372"/>
      <c r="B850" s="372"/>
      <c r="C850" s="372"/>
      <c r="D850" s="373"/>
      <c r="E850" s="373"/>
      <c r="F850" s="373"/>
      <c r="G850" s="373"/>
      <c r="H850" s="373"/>
      <c r="I850" s="373"/>
      <c r="J850" s="127"/>
      <c r="K850" s="127"/>
      <c r="L850" s="127"/>
      <c r="M850" s="127"/>
      <c r="N850" s="127"/>
    </row>
    <row r="851" spans="1:14" ht="16.5" x14ac:dyDescent="0.25">
      <c r="A851" s="372"/>
      <c r="B851" s="372"/>
      <c r="C851" s="372"/>
      <c r="D851" s="373"/>
      <c r="E851" s="373"/>
      <c r="F851" s="373"/>
      <c r="G851" s="373"/>
      <c r="H851" s="373"/>
      <c r="I851" s="373"/>
      <c r="J851" s="127"/>
      <c r="K851" s="127"/>
      <c r="L851" s="127"/>
      <c r="M851" s="127"/>
      <c r="N851" s="127"/>
    </row>
    <row r="852" spans="1:14" ht="16.5" x14ac:dyDescent="0.25">
      <c r="A852" s="372"/>
      <c r="B852" s="372"/>
      <c r="C852" s="372"/>
      <c r="D852" s="373"/>
      <c r="E852" s="373"/>
      <c r="F852" s="373"/>
      <c r="G852" s="373"/>
      <c r="H852" s="373"/>
      <c r="I852" s="373"/>
      <c r="J852" s="127"/>
      <c r="K852" s="127"/>
      <c r="L852" s="127"/>
      <c r="M852" s="127"/>
      <c r="N852" s="127"/>
    </row>
    <row r="853" spans="1:14" ht="16.5" x14ac:dyDescent="0.25">
      <c r="A853" s="372"/>
      <c r="B853" s="372"/>
      <c r="C853" s="372"/>
      <c r="D853" s="373"/>
      <c r="E853" s="373"/>
      <c r="F853" s="373"/>
      <c r="G853" s="373"/>
      <c r="H853" s="373"/>
      <c r="I853" s="373"/>
      <c r="J853" s="127"/>
      <c r="K853" s="127"/>
      <c r="L853" s="127"/>
      <c r="M853" s="127"/>
      <c r="N853" s="127"/>
    </row>
    <row r="854" spans="1:14" ht="16.5" x14ac:dyDescent="0.25">
      <c r="A854" s="372"/>
      <c r="B854" s="372"/>
      <c r="C854" s="372"/>
      <c r="D854" s="373"/>
      <c r="E854" s="373"/>
      <c r="F854" s="373"/>
      <c r="G854" s="373"/>
      <c r="H854" s="373"/>
      <c r="I854" s="373"/>
      <c r="J854" s="127"/>
      <c r="K854" s="127"/>
      <c r="L854" s="127"/>
      <c r="M854" s="127"/>
      <c r="N854" s="127"/>
    </row>
    <row r="855" spans="1:14" ht="16.5" x14ac:dyDescent="0.25">
      <c r="A855" s="372"/>
      <c r="B855" s="372"/>
      <c r="C855" s="372"/>
      <c r="D855" s="373"/>
      <c r="E855" s="373"/>
      <c r="F855" s="373"/>
      <c r="G855" s="373"/>
      <c r="H855" s="373"/>
      <c r="I855" s="373"/>
      <c r="J855" s="127"/>
      <c r="K855" s="127"/>
      <c r="L855" s="127"/>
      <c r="M855" s="127"/>
      <c r="N855" s="127"/>
    </row>
    <row r="856" spans="1:14" ht="16.5" x14ac:dyDescent="0.25">
      <c r="A856" s="372"/>
      <c r="B856" s="372"/>
      <c r="C856" s="372"/>
      <c r="D856" s="373"/>
      <c r="E856" s="373"/>
      <c r="F856" s="373"/>
      <c r="G856" s="373"/>
      <c r="H856" s="373"/>
      <c r="I856" s="373"/>
      <c r="J856" s="127"/>
      <c r="K856" s="127"/>
      <c r="L856" s="127"/>
      <c r="M856" s="127"/>
      <c r="N856" s="127"/>
    </row>
    <row r="857" spans="1:14" ht="16.5" x14ac:dyDescent="0.25">
      <c r="A857" s="372"/>
      <c r="B857" s="372"/>
      <c r="C857" s="372"/>
      <c r="D857" s="373"/>
      <c r="E857" s="373"/>
      <c r="F857" s="373"/>
      <c r="G857" s="373"/>
      <c r="H857" s="373"/>
      <c r="I857" s="373"/>
      <c r="J857" s="127"/>
      <c r="K857" s="127"/>
      <c r="L857" s="127"/>
      <c r="M857" s="127"/>
      <c r="N857" s="127"/>
    </row>
    <row r="858" spans="1:14" ht="16.5" x14ac:dyDescent="0.25">
      <c r="A858" s="372"/>
      <c r="B858" s="372"/>
      <c r="C858" s="372"/>
      <c r="D858" s="373"/>
      <c r="E858" s="373"/>
      <c r="F858" s="373"/>
      <c r="G858" s="373"/>
      <c r="H858" s="373"/>
      <c r="I858" s="373"/>
      <c r="J858" s="127"/>
      <c r="K858" s="127"/>
      <c r="L858" s="127"/>
      <c r="M858" s="127"/>
      <c r="N858" s="127"/>
    </row>
    <row r="859" spans="1:14" ht="16.5" x14ac:dyDescent="0.25">
      <c r="A859" s="372"/>
      <c r="B859" s="372"/>
      <c r="C859" s="372"/>
      <c r="D859" s="373"/>
      <c r="E859" s="373"/>
      <c r="F859" s="373"/>
      <c r="G859" s="373"/>
      <c r="H859" s="373"/>
      <c r="I859" s="373"/>
      <c r="J859" s="127"/>
      <c r="K859" s="127"/>
      <c r="L859" s="127"/>
      <c r="M859" s="127"/>
      <c r="N859" s="127"/>
    </row>
    <row r="860" spans="1:14" ht="16.5" x14ac:dyDescent="0.25">
      <c r="A860" s="372"/>
      <c r="B860" s="372"/>
      <c r="C860" s="372"/>
      <c r="D860" s="373"/>
      <c r="E860" s="373"/>
      <c r="F860" s="373"/>
      <c r="G860" s="373"/>
      <c r="H860" s="373"/>
      <c r="I860" s="373"/>
      <c r="J860" s="127"/>
      <c r="K860" s="127"/>
      <c r="L860" s="127"/>
      <c r="M860" s="127"/>
      <c r="N860" s="127"/>
    </row>
    <row r="861" spans="1:14" ht="16.5" x14ac:dyDescent="0.25">
      <c r="A861" s="372"/>
      <c r="B861" s="372"/>
      <c r="C861" s="372"/>
      <c r="D861" s="373"/>
      <c r="E861" s="373"/>
      <c r="F861" s="373"/>
      <c r="G861" s="373"/>
      <c r="H861" s="373"/>
      <c r="I861" s="373"/>
      <c r="J861" s="127"/>
      <c r="K861" s="127"/>
      <c r="L861" s="127"/>
      <c r="M861" s="127"/>
      <c r="N861" s="127"/>
    </row>
    <row r="862" spans="1:14" ht="16.5" x14ac:dyDescent="0.25">
      <c r="A862" s="372"/>
      <c r="B862" s="372"/>
      <c r="C862" s="372"/>
      <c r="D862" s="373"/>
      <c r="E862" s="373"/>
      <c r="F862" s="373"/>
      <c r="G862" s="373"/>
      <c r="H862" s="373"/>
      <c r="I862" s="373"/>
      <c r="J862" s="127"/>
      <c r="K862" s="127"/>
      <c r="L862" s="127"/>
      <c r="M862" s="127"/>
      <c r="N862" s="127"/>
    </row>
    <row r="863" spans="1:14" ht="16.5" x14ac:dyDescent="0.25">
      <c r="A863" s="372"/>
      <c r="B863" s="372"/>
      <c r="C863" s="372"/>
      <c r="D863" s="373"/>
      <c r="E863" s="373"/>
      <c r="F863" s="373"/>
      <c r="G863" s="373"/>
      <c r="H863" s="373"/>
      <c r="I863" s="373"/>
      <c r="J863" s="127"/>
      <c r="K863" s="127"/>
      <c r="L863" s="127"/>
      <c r="M863" s="127"/>
      <c r="N863" s="127"/>
    </row>
    <row r="864" spans="1:14" ht="16.5" x14ac:dyDescent="0.25">
      <c r="A864" s="372"/>
      <c r="B864" s="372"/>
      <c r="C864" s="372"/>
      <c r="D864" s="373"/>
      <c r="E864" s="373"/>
      <c r="F864" s="373"/>
      <c r="G864" s="373"/>
      <c r="H864" s="373"/>
      <c r="I864" s="373"/>
      <c r="J864" s="127"/>
      <c r="K864" s="127"/>
      <c r="L864" s="127"/>
      <c r="M864" s="127"/>
      <c r="N864" s="127"/>
    </row>
    <row r="865" spans="1:14" ht="16.5" x14ac:dyDescent="0.25">
      <c r="A865" s="372"/>
      <c r="B865" s="372"/>
      <c r="C865" s="372"/>
      <c r="D865" s="373"/>
      <c r="E865" s="373"/>
      <c r="F865" s="373"/>
      <c r="G865" s="373"/>
      <c r="H865" s="373"/>
      <c r="I865" s="373"/>
      <c r="J865" s="127"/>
      <c r="K865" s="127"/>
      <c r="L865" s="127"/>
      <c r="M865" s="127"/>
      <c r="N865" s="127"/>
    </row>
    <row r="866" spans="1:14" ht="16.5" x14ac:dyDescent="0.25">
      <c r="A866" s="372"/>
      <c r="B866" s="372"/>
      <c r="C866" s="372"/>
      <c r="D866" s="373"/>
      <c r="E866" s="373"/>
      <c r="F866" s="373"/>
      <c r="G866" s="373"/>
      <c r="H866" s="373"/>
      <c r="I866" s="373"/>
      <c r="J866" s="127"/>
      <c r="K866" s="127"/>
      <c r="L866" s="127"/>
      <c r="M866" s="127"/>
      <c r="N866" s="127"/>
    </row>
    <row r="867" spans="1:14" ht="16.5" x14ac:dyDescent="0.25">
      <c r="A867" s="372"/>
      <c r="B867" s="372"/>
      <c r="C867" s="372"/>
      <c r="D867" s="373"/>
      <c r="E867" s="373"/>
      <c r="F867" s="373"/>
      <c r="G867" s="373"/>
      <c r="H867" s="373"/>
      <c r="I867" s="373"/>
      <c r="J867" s="127"/>
      <c r="K867" s="127"/>
      <c r="L867" s="127"/>
      <c r="M867" s="127"/>
      <c r="N867" s="127"/>
    </row>
    <row r="868" spans="1:14" ht="16.5" x14ac:dyDescent="0.25">
      <c r="A868" s="372"/>
      <c r="B868" s="372"/>
      <c r="C868" s="372"/>
      <c r="D868" s="373"/>
      <c r="E868" s="373"/>
      <c r="F868" s="373"/>
      <c r="G868" s="373"/>
      <c r="H868" s="373"/>
      <c r="I868" s="373"/>
      <c r="J868" s="127"/>
      <c r="K868" s="127"/>
      <c r="L868" s="127"/>
      <c r="M868" s="127"/>
      <c r="N868" s="127"/>
    </row>
    <row r="869" spans="1:14" ht="16.5" x14ac:dyDescent="0.25">
      <c r="A869" s="372"/>
      <c r="B869" s="372"/>
      <c r="C869" s="372"/>
      <c r="D869" s="373"/>
      <c r="E869" s="373"/>
      <c r="F869" s="373"/>
      <c r="G869" s="373"/>
      <c r="H869" s="373"/>
      <c r="I869" s="373"/>
      <c r="J869" s="127"/>
      <c r="K869" s="127"/>
      <c r="L869" s="127"/>
      <c r="M869" s="127"/>
      <c r="N869" s="127"/>
    </row>
    <row r="870" spans="1:14" ht="16.5" x14ac:dyDescent="0.25">
      <c r="A870" s="372"/>
      <c r="B870" s="372"/>
      <c r="C870" s="372"/>
      <c r="D870" s="373"/>
      <c r="E870" s="373"/>
      <c r="F870" s="373"/>
      <c r="G870" s="373"/>
      <c r="H870" s="373"/>
      <c r="I870" s="373"/>
      <c r="J870" s="127"/>
      <c r="K870" s="127"/>
      <c r="L870" s="127"/>
      <c r="M870" s="127"/>
      <c r="N870" s="127"/>
    </row>
    <row r="871" spans="1:14" ht="16.5" x14ac:dyDescent="0.25">
      <c r="A871" s="372"/>
      <c r="B871" s="372"/>
      <c r="C871" s="372"/>
      <c r="D871" s="373"/>
      <c r="E871" s="373"/>
      <c r="F871" s="373"/>
      <c r="G871" s="373"/>
      <c r="H871" s="373"/>
      <c r="I871" s="373"/>
      <c r="J871" s="127"/>
      <c r="K871" s="127"/>
      <c r="L871" s="127"/>
      <c r="M871" s="127"/>
      <c r="N871" s="127"/>
    </row>
    <row r="872" spans="1:14" ht="16.5" x14ac:dyDescent="0.25">
      <c r="A872" s="372"/>
      <c r="B872" s="372"/>
      <c r="C872" s="372"/>
      <c r="D872" s="373"/>
      <c r="E872" s="373"/>
      <c r="F872" s="373"/>
      <c r="G872" s="373"/>
      <c r="H872" s="373"/>
      <c r="I872" s="373"/>
      <c r="J872" s="127"/>
      <c r="K872" s="127"/>
      <c r="L872" s="127"/>
      <c r="M872" s="127"/>
      <c r="N872" s="127"/>
    </row>
    <row r="873" spans="1:14" ht="16.5" x14ac:dyDescent="0.25">
      <c r="A873" s="372"/>
      <c r="B873" s="372"/>
      <c r="C873" s="372"/>
      <c r="D873" s="373"/>
      <c r="E873" s="373"/>
      <c r="F873" s="373"/>
      <c r="G873" s="373"/>
      <c r="H873" s="373"/>
      <c r="I873" s="373"/>
      <c r="J873" s="127"/>
      <c r="K873" s="127"/>
      <c r="L873" s="127"/>
      <c r="M873" s="127"/>
      <c r="N873" s="127"/>
    </row>
    <row r="874" spans="1:14" ht="16.5" x14ac:dyDescent="0.25">
      <c r="A874" s="372"/>
      <c r="B874" s="372"/>
      <c r="C874" s="372"/>
      <c r="D874" s="373"/>
      <c r="E874" s="373"/>
      <c r="F874" s="373"/>
      <c r="G874" s="373"/>
      <c r="H874" s="373"/>
      <c r="I874" s="373"/>
      <c r="J874" s="127"/>
      <c r="K874" s="127"/>
      <c r="L874" s="127"/>
      <c r="M874" s="127"/>
      <c r="N874" s="127"/>
    </row>
    <row r="875" spans="1:14" ht="16.5" x14ac:dyDescent="0.25">
      <c r="A875" s="372"/>
      <c r="B875" s="372"/>
      <c r="C875" s="372"/>
      <c r="D875" s="373"/>
      <c r="E875" s="373"/>
      <c r="F875" s="373"/>
      <c r="G875" s="373"/>
      <c r="H875" s="373"/>
      <c r="I875" s="373"/>
      <c r="J875" s="127"/>
      <c r="K875" s="127"/>
      <c r="L875" s="127"/>
      <c r="M875" s="127"/>
      <c r="N875" s="127"/>
    </row>
    <row r="876" spans="1:14" ht="16.5" x14ac:dyDescent="0.25">
      <c r="A876" s="372"/>
      <c r="B876" s="372"/>
      <c r="C876" s="372"/>
      <c r="D876" s="373"/>
      <c r="E876" s="373"/>
      <c r="F876" s="373"/>
      <c r="G876" s="373"/>
      <c r="H876" s="373"/>
      <c r="I876" s="373"/>
      <c r="J876" s="127"/>
      <c r="K876" s="127"/>
      <c r="L876" s="127"/>
      <c r="M876" s="127"/>
      <c r="N876" s="127"/>
    </row>
    <row r="877" spans="1:14" ht="16.5" x14ac:dyDescent="0.25">
      <c r="A877" s="372"/>
      <c r="B877" s="372"/>
      <c r="C877" s="372"/>
      <c r="D877" s="373"/>
      <c r="E877" s="373"/>
      <c r="F877" s="373"/>
      <c r="G877" s="373"/>
      <c r="H877" s="373"/>
      <c r="I877" s="373"/>
      <c r="J877" s="127"/>
      <c r="K877" s="127"/>
      <c r="L877" s="127"/>
      <c r="M877" s="127"/>
      <c r="N877" s="127"/>
    </row>
    <row r="878" spans="1:14" ht="16.5" x14ac:dyDescent="0.25">
      <c r="A878" s="372"/>
      <c r="B878" s="372"/>
      <c r="C878" s="372"/>
      <c r="D878" s="373"/>
      <c r="E878" s="373"/>
      <c r="F878" s="373"/>
      <c r="G878" s="373"/>
      <c r="H878" s="373"/>
      <c r="I878" s="373"/>
      <c r="J878" s="127"/>
      <c r="K878" s="127"/>
      <c r="L878" s="127"/>
      <c r="M878" s="127"/>
      <c r="N878" s="127"/>
    </row>
    <row r="879" spans="1:14" ht="16.5" x14ac:dyDescent="0.25">
      <c r="A879" s="372"/>
      <c r="B879" s="372"/>
      <c r="C879" s="372"/>
      <c r="D879" s="373"/>
      <c r="E879" s="373"/>
      <c r="F879" s="373"/>
      <c r="G879" s="373"/>
      <c r="H879" s="373"/>
      <c r="I879" s="373"/>
      <c r="J879" s="127"/>
      <c r="K879" s="127"/>
      <c r="L879" s="127"/>
      <c r="M879" s="127"/>
      <c r="N879" s="127"/>
    </row>
    <row r="880" spans="1:14" ht="16.5" x14ac:dyDescent="0.25">
      <c r="A880" s="372"/>
      <c r="B880" s="372"/>
      <c r="C880" s="372"/>
      <c r="D880" s="373"/>
      <c r="E880" s="373"/>
      <c r="F880" s="373"/>
      <c r="G880" s="373"/>
      <c r="H880" s="373"/>
      <c r="I880" s="373"/>
      <c r="J880" s="127"/>
      <c r="K880" s="127"/>
      <c r="L880" s="127"/>
      <c r="M880" s="127"/>
      <c r="N880" s="127"/>
    </row>
    <row r="881" spans="1:14" ht="16.5" x14ac:dyDescent="0.25">
      <c r="A881" s="372"/>
      <c r="B881" s="372"/>
      <c r="C881" s="372"/>
      <c r="D881" s="373"/>
      <c r="E881" s="373"/>
      <c r="F881" s="373"/>
      <c r="G881" s="373"/>
      <c r="H881" s="373"/>
      <c r="I881" s="373"/>
      <c r="J881" s="127"/>
      <c r="K881" s="127"/>
      <c r="L881" s="127"/>
      <c r="M881" s="127"/>
      <c r="N881" s="127"/>
    </row>
    <row r="882" spans="1:14" ht="16.5" x14ac:dyDescent="0.25">
      <c r="A882" s="372"/>
      <c r="B882" s="372"/>
      <c r="C882" s="372"/>
      <c r="D882" s="373"/>
      <c r="E882" s="373"/>
      <c r="F882" s="373"/>
      <c r="G882" s="373"/>
      <c r="H882" s="373"/>
      <c r="I882" s="373"/>
      <c r="J882" s="127"/>
      <c r="K882" s="127"/>
      <c r="L882" s="127"/>
      <c r="M882" s="127"/>
      <c r="N882" s="127"/>
    </row>
    <row r="883" spans="1:14" ht="16.5" x14ac:dyDescent="0.25">
      <c r="A883" s="372"/>
      <c r="B883" s="372"/>
      <c r="C883" s="372"/>
      <c r="D883" s="373"/>
      <c r="E883" s="373"/>
      <c r="F883" s="373"/>
      <c r="G883" s="373"/>
      <c r="H883" s="373"/>
      <c r="I883" s="373"/>
      <c r="J883" s="127"/>
      <c r="K883" s="127"/>
      <c r="L883" s="127"/>
      <c r="M883" s="127"/>
      <c r="N883" s="127"/>
    </row>
    <row r="884" spans="1:14" ht="16.5" x14ac:dyDescent="0.25">
      <c r="A884" s="372"/>
      <c r="B884" s="372"/>
      <c r="C884" s="372"/>
      <c r="D884" s="373"/>
      <c r="E884" s="373"/>
      <c r="F884" s="373"/>
      <c r="G884" s="373"/>
      <c r="H884" s="373"/>
      <c r="I884" s="373"/>
      <c r="J884" s="127"/>
      <c r="K884" s="127"/>
      <c r="L884" s="127"/>
      <c r="M884" s="127"/>
      <c r="N884" s="127"/>
    </row>
    <row r="885" spans="1:14" ht="16.5" x14ac:dyDescent="0.25">
      <c r="A885" s="372"/>
      <c r="B885" s="372"/>
      <c r="C885" s="372"/>
      <c r="D885" s="373"/>
      <c r="E885" s="373"/>
      <c r="F885" s="373"/>
      <c r="G885" s="373"/>
      <c r="H885" s="373"/>
      <c r="I885" s="373"/>
      <c r="J885" s="127"/>
      <c r="K885" s="127"/>
      <c r="L885" s="127"/>
      <c r="M885" s="127"/>
      <c r="N885" s="127"/>
    </row>
    <row r="886" spans="1:14" ht="16.5" x14ac:dyDescent="0.25">
      <c r="A886" s="372"/>
      <c r="B886" s="372"/>
      <c r="C886" s="372"/>
      <c r="D886" s="373"/>
      <c r="E886" s="373"/>
      <c r="F886" s="373"/>
      <c r="G886" s="373"/>
      <c r="H886" s="373"/>
      <c r="I886" s="373"/>
      <c r="J886" s="127"/>
      <c r="K886" s="127"/>
      <c r="L886" s="127"/>
      <c r="M886" s="127"/>
      <c r="N886" s="127"/>
    </row>
    <row r="887" spans="1:14" ht="16.5" x14ac:dyDescent="0.25">
      <c r="A887" s="372"/>
      <c r="B887" s="372"/>
      <c r="C887" s="372"/>
      <c r="D887" s="373"/>
      <c r="E887" s="373"/>
      <c r="F887" s="373"/>
      <c r="G887" s="373"/>
      <c r="H887" s="373"/>
      <c r="I887" s="373"/>
      <c r="J887" s="127"/>
      <c r="K887" s="127"/>
      <c r="L887" s="127"/>
      <c r="M887" s="127"/>
      <c r="N887" s="127"/>
    </row>
    <row r="888" spans="1:14" ht="16.5" x14ac:dyDescent="0.25">
      <c r="A888" s="372"/>
      <c r="B888" s="372"/>
      <c r="C888" s="372"/>
      <c r="D888" s="373"/>
      <c r="E888" s="373"/>
      <c r="F888" s="373"/>
      <c r="G888" s="373"/>
      <c r="H888" s="373"/>
      <c r="I888" s="373"/>
      <c r="J888" s="127"/>
      <c r="K888" s="127"/>
      <c r="L888" s="127"/>
      <c r="M888" s="127"/>
      <c r="N888" s="127"/>
    </row>
    <row r="889" spans="1:14" ht="16.5" x14ac:dyDescent="0.25">
      <c r="A889" s="372"/>
      <c r="B889" s="372"/>
      <c r="C889" s="372"/>
      <c r="D889" s="373"/>
      <c r="E889" s="373"/>
      <c r="F889" s="373"/>
      <c r="G889" s="373"/>
      <c r="H889" s="373"/>
      <c r="I889" s="373"/>
      <c r="J889" s="127"/>
      <c r="K889" s="127"/>
      <c r="L889" s="127"/>
      <c r="M889" s="127"/>
      <c r="N889" s="127"/>
    </row>
    <row r="890" spans="1:14" ht="16.5" x14ac:dyDescent="0.25">
      <c r="A890" s="372"/>
      <c r="B890" s="372"/>
      <c r="C890" s="372"/>
      <c r="D890" s="373"/>
      <c r="E890" s="373"/>
      <c r="F890" s="373"/>
      <c r="G890" s="373"/>
      <c r="H890" s="373"/>
      <c r="I890" s="373"/>
      <c r="J890" s="127"/>
      <c r="K890" s="127"/>
      <c r="L890" s="127"/>
      <c r="M890" s="127"/>
      <c r="N890" s="127"/>
    </row>
    <row r="891" spans="1:14" ht="16.5" x14ac:dyDescent="0.25">
      <c r="A891" s="372"/>
      <c r="B891" s="372"/>
      <c r="C891" s="372"/>
      <c r="D891" s="373"/>
      <c r="E891" s="373"/>
      <c r="F891" s="373"/>
      <c r="G891" s="373"/>
      <c r="H891" s="373"/>
      <c r="I891" s="373"/>
      <c r="J891" s="127"/>
      <c r="K891" s="127"/>
      <c r="L891" s="127"/>
      <c r="M891" s="127"/>
      <c r="N891" s="127"/>
    </row>
    <row r="892" spans="1:14" ht="16.5" x14ac:dyDescent="0.25">
      <c r="A892" s="372"/>
      <c r="B892" s="372"/>
      <c r="C892" s="372"/>
      <c r="D892" s="373"/>
      <c r="E892" s="373"/>
      <c r="F892" s="373"/>
      <c r="G892" s="373"/>
      <c r="H892" s="373"/>
      <c r="I892" s="373"/>
      <c r="J892" s="127"/>
      <c r="K892" s="127"/>
      <c r="L892" s="127"/>
      <c r="M892" s="127"/>
      <c r="N892" s="127"/>
    </row>
    <row r="893" spans="1:14" ht="16.5" x14ac:dyDescent="0.25">
      <c r="A893" s="372"/>
      <c r="B893" s="372"/>
      <c r="C893" s="372"/>
      <c r="D893" s="373"/>
      <c r="E893" s="373"/>
      <c r="F893" s="373"/>
      <c r="G893" s="373"/>
      <c r="H893" s="373"/>
      <c r="I893" s="373"/>
      <c r="J893" s="127"/>
      <c r="K893" s="127"/>
      <c r="L893" s="127"/>
      <c r="M893" s="127"/>
      <c r="N893" s="127"/>
    </row>
    <row r="894" spans="1:14" ht="16.5" x14ac:dyDescent="0.25">
      <c r="A894" s="372"/>
      <c r="B894" s="372"/>
      <c r="C894" s="372"/>
      <c r="D894" s="373"/>
      <c r="E894" s="373"/>
      <c r="F894" s="373"/>
      <c r="G894" s="373"/>
      <c r="H894" s="373"/>
      <c r="I894" s="373"/>
      <c r="J894" s="127"/>
      <c r="K894" s="127"/>
      <c r="L894" s="127"/>
      <c r="M894" s="127"/>
      <c r="N894" s="127"/>
    </row>
    <row r="895" spans="1:14" ht="16.5" x14ac:dyDescent="0.25">
      <c r="A895" s="372"/>
      <c r="B895" s="372"/>
      <c r="C895" s="372"/>
      <c r="D895" s="373"/>
      <c r="E895" s="373"/>
      <c r="F895" s="373"/>
      <c r="G895" s="373"/>
      <c r="H895" s="373"/>
      <c r="I895" s="373"/>
      <c r="J895" s="127"/>
      <c r="K895" s="127"/>
      <c r="L895" s="127"/>
      <c r="M895" s="127"/>
      <c r="N895" s="127"/>
    </row>
    <row r="896" spans="1:14" ht="16.5" x14ac:dyDescent="0.25">
      <c r="A896" s="372"/>
      <c r="B896" s="372"/>
      <c r="C896" s="372"/>
      <c r="D896" s="373"/>
      <c r="E896" s="373"/>
      <c r="F896" s="373"/>
      <c r="G896" s="373"/>
      <c r="H896" s="373"/>
      <c r="I896" s="373"/>
      <c r="J896" s="127"/>
      <c r="K896" s="127"/>
      <c r="L896" s="127"/>
      <c r="M896" s="127"/>
      <c r="N896" s="127"/>
    </row>
    <row r="897" spans="1:14" ht="16.5" x14ac:dyDescent="0.25">
      <c r="A897" s="372"/>
      <c r="B897" s="372"/>
      <c r="C897" s="372"/>
      <c r="D897" s="373"/>
      <c r="E897" s="373"/>
      <c r="F897" s="373"/>
      <c r="G897" s="373"/>
      <c r="H897" s="373"/>
      <c r="I897" s="373"/>
      <c r="J897" s="127"/>
      <c r="K897" s="127"/>
      <c r="L897" s="127"/>
      <c r="M897" s="127"/>
      <c r="N897" s="127"/>
    </row>
    <row r="898" spans="1:14" ht="16.5" x14ac:dyDescent="0.25">
      <c r="A898" s="372"/>
      <c r="B898" s="372"/>
      <c r="C898" s="372"/>
      <c r="D898" s="373"/>
      <c r="E898" s="373"/>
      <c r="F898" s="373"/>
      <c r="G898" s="373"/>
      <c r="H898" s="373"/>
      <c r="I898" s="373"/>
      <c r="J898" s="127"/>
      <c r="K898" s="127"/>
      <c r="L898" s="127"/>
      <c r="M898" s="127"/>
      <c r="N898" s="127"/>
    </row>
    <row r="899" spans="1:14" ht="16.5" x14ac:dyDescent="0.25">
      <c r="A899" s="372"/>
      <c r="B899" s="372"/>
      <c r="C899" s="372"/>
      <c r="D899" s="373"/>
      <c r="E899" s="373"/>
      <c r="F899" s="373"/>
      <c r="G899" s="373"/>
      <c r="H899" s="373"/>
      <c r="I899" s="373"/>
      <c r="J899" s="127"/>
      <c r="K899" s="127"/>
      <c r="L899" s="127"/>
      <c r="M899" s="127"/>
      <c r="N899" s="127"/>
    </row>
    <row r="900" spans="1:14" ht="16.5" x14ac:dyDescent="0.25">
      <c r="A900" s="372"/>
      <c r="B900" s="372"/>
      <c r="C900" s="372"/>
      <c r="D900" s="373"/>
      <c r="E900" s="373"/>
      <c r="F900" s="373"/>
      <c r="G900" s="373"/>
      <c r="H900" s="373"/>
      <c r="I900" s="373"/>
      <c r="J900" s="127"/>
      <c r="K900" s="127"/>
      <c r="L900" s="127"/>
      <c r="M900" s="127"/>
      <c r="N900" s="127"/>
    </row>
    <row r="901" spans="1:14" ht="16.5" x14ac:dyDescent="0.25">
      <c r="A901" s="372"/>
      <c r="B901" s="372"/>
      <c r="C901" s="372"/>
      <c r="D901" s="373"/>
      <c r="E901" s="373"/>
      <c r="F901" s="373"/>
      <c r="G901" s="373"/>
      <c r="H901" s="373"/>
      <c r="I901" s="373"/>
      <c r="J901" s="127"/>
      <c r="K901" s="127"/>
      <c r="L901" s="127"/>
      <c r="M901" s="127"/>
      <c r="N901" s="127"/>
    </row>
    <row r="902" spans="1:14" ht="16.5" x14ac:dyDescent="0.25">
      <c r="A902" s="372"/>
      <c r="B902" s="372"/>
      <c r="C902" s="372"/>
      <c r="D902" s="373"/>
      <c r="E902" s="373"/>
      <c r="F902" s="373"/>
      <c r="G902" s="373"/>
      <c r="H902" s="373"/>
      <c r="I902" s="373"/>
      <c r="J902" s="127"/>
      <c r="K902" s="127"/>
      <c r="L902" s="127"/>
      <c r="M902" s="127"/>
      <c r="N902" s="127"/>
    </row>
    <row r="903" spans="1:14" ht="16.5" x14ac:dyDescent="0.25">
      <c r="A903" s="372"/>
      <c r="B903" s="372"/>
      <c r="C903" s="372"/>
      <c r="D903" s="373"/>
      <c r="E903" s="373"/>
      <c r="F903" s="373"/>
      <c r="G903" s="373"/>
      <c r="H903" s="373"/>
      <c r="I903" s="373"/>
      <c r="J903" s="127"/>
      <c r="K903" s="127"/>
      <c r="L903" s="127"/>
      <c r="M903" s="127"/>
      <c r="N903" s="127"/>
    </row>
    <row r="904" spans="1:14" ht="16.5" x14ac:dyDescent="0.25">
      <c r="A904" s="372"/>
      <c r="B904" s="372"/>
      <c r="C904" s="372"/>
      <c r="D904" s="373"/>
      <c r="E904" s="373"/>
      <c r="F904" s="373"/>
      <c r="G904" s="373"/>
      <c r="H904" s="373"/>
      <c r="I904" s="373"/>
      <c r="J904" s="127"/>
      <c r="K904" s="127"/>
      <c r="L904" s="127"/>
      <c r="M904" s="127"/>
      <c r="N904" s="127"/>
    </row>
    <row r="905" spans="1:14" ht="16.5" x14ac:dyDescent="0.25">
      <c r="A905" s="372"/>
      <c r="B905" s="372"/>
      <c r="C905" s="372"/>
      <c r="D905" s="373"/>
      <c r="E905" s="373"/>
      <c r="F905" s="373"/>
      <c r="G905" s="373"/>
      <c r="H905" s="373"/>
      <c r="I905" s="373"/>
      <c r="J905" s="127"/>
      <c r="K905" s="127"/>
      <c r="L905" s="127"/>
      <c r="M905" s="127"/>
      <c r="N905" s="127"/>
    </row>
    <row r="906" spans="1:14" ht="16.5" x14ac:dyDescent="0.25">
      <c r="A906" s="372"/>
      <c r="B906" s="372"/>
      <c r="C906" s="372"/>
      <c r="D906" s="373"/>
      <c r="E906" s="373"/>
      <c r="F906" s="373"/>
      <c r="G906" s="373"/>
      <c r="H906" s="373"/>
      <c r="I906" s="373"/>
      <c r="J906" s="127"/>
      <c r="K906" s="127"/>
      <c r="L906" s="127"/>
      <c r="M906" s="127"/>
      <c r="N906" s="127"/>
    </row>
    <row r="907" spans="1:14" ht="16.5" x14ac:dyDescent="0.25">
      <c r="A907" s="372"/>
      <c r="B907" s="372"/>
      <c r="C907" s="372"/>
      <c r="D907" s="373"/>
      <c r="E907" s="373"/>
      <c r="F907" s="373"/>
      <c r="G907" s="373"/>
      <c r="H907" s="373"/>
      <c r="I907" s="373"/>
      <c r="J907" s="127"/>
      <c r="K907" s="127"/>
      <c r="L907" s="127"/>
      <c r="M907" s="127"/>
      <c r="N907" s="127"/>
    </row>
    <row r="908" spans="1:14" ht="16.5" x14ac:dyDescent="0.25">
      <c r="A908" s="372"/>
      <c r="B908" s="372"/>
      <c r="C908" s="372"/>
      <c r="D908" s="373"/>
      <c r="E908" s="373"/>
      <c r="F908" s="373"/>
      <c r="G908" s="373"/>
      <c r="H908" s="373"/>
      <c r="I908" s="373"/>
      <c r="J908" s="127"/>
      <c r="K908" s="127"/>
      <c r="L908" s="127"/>
      <c r="M908" s="127"/>
      <c r="N908" s="127"/>
    </row>
    <row r="909" spans="1:14" ht="16.5" x14ac:dyDescent="0.25">
      <c r="A909" s="372"/>
      <c r="B909" s="372"/>
      <c r="C909" s="372"/>
      <c r="D909" s="373"/>
      <c r="E909" s="373"/>
      <c r="F909" s="373"/>
      <c r="G909" s="373"/>
      <c r="H909" s="373"/>
      <c r="I909" s="373"/>
      <c r="J909" s="127"/>
      <c r="K909" s="127"/>
      <c r="L909" s="127"/>
      <c r="M909" s="127"/>
      <c r="N909" s="127"/>
    </row>
    <row r="910" spans="1:14" ht="16.5" x14ac:dyDescent="0.25">
      <c r="A910" s="372"/>
      <c r="B910" s="372"/>
      <c r="C910" s="372"/>
      <c r="D910" s="373"/>
      <c r="E910" s="373"/>
      <c r="F910" s="373"/>
      <c r="G910" s="373"/>
      <c r="H910" s="373"/>
      <c r="I910" s="373"/>
      <c r="J910" s="127"/>
      <c r="K910" s="127"/>
      <c r="L910" s="127"/>
      <c r="M910" s="127"/>
      <c r="N910" s="127"/>
    </row>
    <row r="911" spans="1:14" ht="16.5" x14ac:dyDescent="0.25">
      <c r="A911" s="372"/>
      <c r="B911" s="372"/>
      <c r="C911" s="372"/>
      <c r="D911" s="373"/>
      <c r="E911" s="373"/>
      <c r="F911" s="373"/>
      <c r="G911" s="373"/>
      <c r="H911" s="373"/>
      <c r="I911" s="373"/>
      <c r="J911" s="127"/>
      <c r="K911" s="127"/>
      <c r="L911" s="127"/>
      <c r="M911" s="127"/>
      <c r="N911" s="127"/>
    </row>
    <row r="912" spans="1:14" ht="16.5" x14ac:dyDescent="0.25">
      <c r="A912" s="372"/>
      <c r="B912" s="372"/>
      <c r="C912" s="372"/>
      <c r="D912" s="373"/>
      <c r="E912" s="373"/>
      <c r="F912" s="373"/>
      <c r="G912" s="373"/>
      <c r="H912" s="373"/>
      <c r="I912" s="373"/>
      <c r="J912" s="127"/>
      <c r="K912" s="127"/>
      <c r="L912" s="127"/>
      <c r="M912" s="127"/>
      <c r="N912" s="127"/>
    </row>
    <row r="913" spans="1:14" ht="16.5" x14ac:dyDescent="0.25">
      <c r="A913" s="372"/>
      <c r="B913" s="372"/>
      <c r="C913" s="372"/>
      <c r="D913" s="373"/>
      <c r="E913" s="373"/>
      <c r="F913" s="373"/>
      <c r="G913" s="373"/>
      <c r="H913" s="373"/>
      <c r="I913" s="373"/>
      <c r="J913" s="127"/>
      <c r="K913" s="127"/>
      <c r="L913" s="127"/>
      <c r="M913" s="127"/>
      <c r="N913" s="127"/>
    </row>
    <row r="914" spans="1:14" ht="16.5" x14ac:dyDescent="0.25">
      <c r="A914" s="372"/>
      <c r="B914" s="372"/>
      <c r="C914" s="372"/>
      <c r="D914" s="373"/>
      <c r="E914" s="373"/>
      <c r="F914" s="373"/>
      <c r="G914" s="373"/>
      <c r="H914" s="373"/>
      <c r="I914" s="373"/>
      <c r="J914" s="127"/>
      <c r="K914" s="127"/>
      <c r="L914" s="127"/>
      <c r="M914" s="127"/>
      <c r="N914" s="127"/>
    </row>
    <row r="915" spans="1:14" ht="16.5" x14ac:dyDescent="0.25">
      <c r="A915" s="372"/>
      <c r="B915" s="372"/>
      <c r="C915" s="372"/>
      <c r="D915" s="373"/>
      <c r="E915" s="373"/>
      <c r="F915" s="373"/>
      <c r="G915" s="373"/>
      <c r="H915" s="373"/>
      <c r="I915" s="373"/>
      <c r="J915" s="127"/>
      <c r="K915" s="127"/>
      <c r="L915" s="127"/>
      <c r="M915" s="127"/>
      <c r="N915" s="127"/>
    </row>
    <row r="916" spans="1:14" ht="16.5" x14ac:dyDescent="0.25">
      <c r="A916" s="372"/>
      <c r="B916" s="372"/>
      <c r="C916" s="372"/>
      <c r="D916" s="373"/>
      <c r="E916" s="373"/>
      <c r="F916" s="373"/>
      <c r="G916" s="373"/>
      <c r="H916" s="373"/>
      <c r="I916" s="373"/>
      <c r="J916" s="127"/>
      <c r="K916" s="127"/>
      <c r="L916" s="127"/>
      <c r="M916" s="127"/>
      <c r="N916" s="127"/>
    </row>
    <row r="917" spans="1:14" ht="16.5" x14ac:dyDescent="0.25">
      <c r="A917" s="372"/>
      <c r="B917" s="372"/>
      <c r="C917" s="372"/>
      <c r="D917" s="373"/>
      <c r="E917" s="373"/>
      <c r="F917" s="373"/>
      <c r="G917" s="373"/>
      <c r="H917" s="373"/>
      <c r="I917" s="373"/>
      <c r="J917" s="127"/>
      <c r="K917" s="127"/>
      <c r="L917" s="127"/>
      <c r="M917" s="127"/>
      <c r="N917" s="127"/>
    </row>
    <row r="918" spans="1:14" ht="16.5" x14ac:dyDescent="0.25">
      <c r="A918" s="372"/>
      <c r="B918" s="372"/>
      <c r="C918" s="372"/>
      <c r="D918" s="373"/>
      <c r="E918" s="373"/>
      <c r="F918" s="373"/>
      <c r="G918" s="373"/>
      <c r="H918" s="373"/>
      <c r="I918" s="373"/>
      <c r="J918" s="127"/>
      <c r="K918" s="127"/>
      <c r="L918" s="127"/>
      <c r="M918" s="127"/>
      <c r="N918" s="127"/>
    </row>
    <row r="919" spans="1:14" ht="16.5" x14ac:dyDescent="0.25">
      <c r="A919" s="372"/>
      <c r="B919" s="372"/>
      <c r="C919" s="372"/>
      <c r="D919" s="373"/>
      <c r="E919" s="373"/>
      <c r="F919" s="373"/>
      <c r="G919" s="373"/>
      <c r="H919" s="373"/>
      <c r="I919" s="373"/>
      <c r="J919" s="127"/>
      <c r="K919" s="127"/>
      <c r="L919" s="127"/>
      <c r="M919" s="127"/>
      <c r="N919" s="127"/>
    </row>
    <row r="920" spans="1:14" ht="16.5" x14ac:dyDescent="0.25">
      <c r="A920" s="372"/>
      <c r="B920" s="372"/>
      <c r="C920" s="372"/>
      <c r="D920" s="373"/>
      <c r="E920" s="373"/>
      <c r="F920" s="373"/>
      <c r="G920" s="373"/>
      <c r="H920" s="373"/>
      <c r="I920" s="373"/>
      <c r="J920" s="127"/>
      <c r="K920" s="127"/>
      <c r="L920" s="127"/>
      <c r="M920" s="127"/>
      <c r="N920" s="127"/>
    </row>
    <row r="921" spans="1:14" ht="16.5" x14ac:dyDescent="0.25">
      <c r="A921" s="372"/>
      <c r="B921" s="372"/>
      <c r="C921" s="372"/>
      <c r="D921" s="373"/>
      <c r="E921" s="373"/>
      <c r="F921" s="373"/>
      <c r="G921" s="373"/>
      <c r="H921" s="373"/>
      <c r="I921" s="373"/>
      <c r="J921" s="127"/>
      <c r="K921" s="127"/>
      <c r="L921" s="127"/>
      <c r="M921" s="127"/>
      <c r="N921" s="127"/>
    </row>
    <row r="922" spans="1:14" ht="16.5" x14ac:dyDescent="0.25">
      <c r="A922" s="372"/>
      <c r="B922" s="372"/>
      <c r="C922" s="372"/>
      <c r="D922" s="373"/>
      <c r="E922" s="373"/>
      <c r="F922" s="373"/>
      <c r="G922" s="373"/>
      <c r="H922" s="373"/>
      <c r="I922" s="373"/>
      <c r="J922" s="127"/>
      <c r="K922" s="127"/>
      <c r="L922" s="127"/>
      <c r="M922" s="127"/>
      <c r="N922" s="127"/>
    </row>
    <row r="923" spans="1:14" ht="16.5" x14ac:dyDescent="0.25">
      <c r="A923" s="372"/>
      <c r="B923" s="372"/>
      <c r="C923" s="372"/>
      <c r="D923" s="373"/>
      <c r="E923" s="373"/>
      <c r="F923" s="373"/>
      <c r="G923" s="373"/>
      <c r="H923" s="373"/>
      <c r="I923" s="373"/>
      <c r="J923" s="127"/>
      <c r="K923" s="127"/>
      <c r="L923" s="127"/>
      <c r="M923" s="127"/>
      <c r="N923" s="127"/>
    </row>
    <row r="924" spans="1:14" ht="16.5" x14ac:dyDescent="0.25">
      <c r="A924" s="372"/>
      <c r="B924" s="372"/>
      <c r="C924" s="372"/>
      <c r="D924" s="373"/>
      <c r="E924" s="373"/>
      <c r="F924" s="373"/>
      <c r="G924" s="373"/>
      <c r="H924" s="373"/>
      <c r="I924" s="373"/>
      <c r="J924" s="127"/>
      <c r="K924" s="127"/>
      <c r="L924" s="127"/>
      <c r="M924" s="127"/>
      <c r="N924" s="127"/>
    </row>
    <row r="925" spans="1:14" ht="16.5" x14ac:dyDescent="0.25">
      <c r="A925" s="372"/>
      <c r="B925" s="372"/>
      <c r="C925" s="372"/>
      <c r="D925" s="373"/>
      <c r="E925" s="373"/>
      <c r="F925" s="373"/>
      <c r="G925" s="373"/>
      <c r="H925" s="373"/>
      <c r="I925" s="373"/>
      <c r="J925" s="127"/>
      <c r="K925" s="127"/>
      <c r="L925" s="127"/>
      <c r="M925" s="127"/>
      <c r="N925" s="127"/>
    </row>
    <row r="926" spans="1:14" ht="16.5" x14ac:dyDescent="0.25">
      <c r="A926" s="372"/>
      <c r="B926" s="372"/>
      <c r="C926" s="372"/>
      <c r="D926" s="373"/>
      <c r="E926" s="373"/>
      <c r="F926" s="373"/>
      <c r="G926" s="373"/>
      <c r="H926" s="373"/>
      <c r="I926" s="373"/>
      <c r="J926" s="127"/>
      <c r="K926" s="127"/>
      <c r="L926" s="127"/>
      <c r="M926" s="127"/>
      <c r="N926" s="127"/>
    </row>
    <row r="927" spans="1:14" ht="16.5" x14ac:dyDescent="0.25">
      <c r="A927" s="372"/>
      <c r="B927" s="372"/>
      <c r="C927" s="372"/>
      <c r="D927" s="373"/>
      <c r="E927" s="373"/>
      <c r="F927" s="373"/>
      <c r="G927" s="373"/>
      <c r="H927" s="373"/>
      <c r="I927" s="373"/>
      <c r="J927" s="127"/>
      <c r="K927" s="127"/>
      <c r="L927" s="127"/>
      <c r="M927" s="127"/>
      <c r="N927" s="127"/>
    </row>
    <row r="928" spans="1:14" ht="16.5" x14ac:dyDescent="0.25">
      <c r="A928" s="372"/>
      <c r="B928" s="372"/>
      <c r="C928" s="372"/>
      <c r="D928" s="373"/>
      <c r="E928" s="373"/>
      <c r="F928" s="373"/>
      <c r="G928" s="373"/>
      <c r="H928" s="373"/>
      <c r="I928" s="373"/>
      <c r="J928" s="127"/>
      <c r="K928" s="127"/>
      <c r="L928" s="127"/>
      <c r="M928" s="127"/>
      <c r="N928" s="127"/>
    </row>
    <row r="929" spans="1:14" ht="16.5" x14ac:dyDescent="0.25">
      <c r="A929" s="372"/>
      <c r="B929" s="372"/>
      <c r="C929" s="372"/>
      <c r="D929" s="373"/>
      <c r="E929" s="373"/>
      <c r="F929" s="373"/>
      <c r="G929" s="373"/>
      <c r="H929" s="373"/>
      <c r="I929" s="373"/>
      <c r="J929" s="127"/>
      <c r="K929" s="127"/>
      <c r="L929" s="127"/>
      <c r="M929" s="127"/>
      <c r="N929" s="127"/>
    </row>
    <row r="930" spans="1:14" ht="16.5" x14ac:dyDescent="0.25">
      <c r="A930" s="372"/>
      <c r="B930" s="372"/>
      <c r="C930" s="372"/>
      <c r="D930" s="373"/>
      <c r="E930" s="373"/>
      <c r="F930" s="373"/>
      <c r="G930" s="373"/>
      <c r="H930" s="373"/>
      <c r="I930" s="373"/>
      <c r="J930" s="127"/>
      <c r="K930" s="127"/>
      <c r="L930" s="127"/>
      <c r="M930" s="127"/>
      <c r="N930" s="127"/>
    </row>
    <row r="931" spans="1:14" ht="16.5" x14ac:dyDescent="0.25">
      <c r="A931" s="372"/>
      <c r="B931" s="372"/>
      <c r="C931" s="372"/>
      <c r="D931" s="373"/>
      <c r="E931" s="373"/>
      <c r="F931" s="373"/>
      <c r="G931" s="373"/>
      <c r="H931" s="373"/>
      <c r="I931" s="373"/>
      <c r="J931" s="127"/>
      <c r="K931" s="127"/>
      <c r="L931" s="127"/>
      <c r="M931" s="127"/>
      <c r="N931" s="127"/>
    </row>
    <row r="932" spans="1:14" ht="16.5" x14ac:dyDescent="0.25">
      <c r="A932" s="372"/>
      <c r="B932" s="372"/>
      <c r="C932" s="372"/>
      <c r="D932" s="373"/>
      <c r="E932" s="373"/>
      <c r="F932" s="373"/>
      <c r="G932" s="373"/>
      <c r="H932" s="373"/>
      <c r="I932" s="373"/>
      <c r="J932" s="127"/>
      <c r="K932" s="127"/>
      <c r="L932" s="127"/>
      <c r="M932" s="127"/>
      <c r="N932" s="127"/>
    </row>
    <row r="933" spans="1:14" ht="16.5" x14ac:dyDescent="0.25">
      <c r="A933" s="372"/>
      <c r="B933" s="372"/>
      <c r="C933" s="372"/>
      <c r="D933" s="373"/>
      <c r="E933" s="373"/>
      <c r="F933" s="373"/>
      <c r="G933" s="373"/>
      <c r="H933" s="373"/>
      <c r="I933" s="373"/>
      <c r="J933" s="127"/>
      <c r="K933" s="127"/>
      <c r="L933" s="127"/>
      <c r="M933" s="127"/>
      <c r="N933" s="127"/>
    </row>
    <row r="934" spans="1:14" ht="16.5" x14ac:dyDescent="0.25">
      <c r="A934" s="372"/>
      <c r="B934" s="372"/>
      <c r="C934" s="372"/>
      <c r="D934" s="373"/>
      <c r="E934" s="373"/>
      <c r="F934" s="373"/>
      <c r="G934" s="373"/>
      <c r="H934" s="373"/>
      <c r="I934" s="373"/>
      <c r="J934" s="127"/>
      <c r="K934" s="127"/>
      <c r="L934" s="127"/>
      <c r="M934" s="127"/>
      <c r="N934" s="127"/>
    </row>
    <row r="935" spans="1:14" ht="16.5" x14ac:dyDescent="0.25">
      <c r="A935" s="372"/>
      <c r="B935" s="372"/>
      <c r="C935" s="372"/>
      <c r="D935" s="373"/>
      <c r="E935" s="373"/>
      <c r="F935" s="373"/>
      <c r="G935" s="373"/>
      <c r="H935" s="373"/>
      <c r="I935" s="373"/>
      <c r="J935" s="127"/>
      <c r="K935" s="127"/>
      <c r="L935" s="127"/>
      <c r="M935" s="127"/>
      <c r="N935" s="127"/>
    </row>
    <row r="936" spans="1:14" ht="16.5" x14ac:dyDescent="0.25">
      <c r="A936" s="372"/>
      <c r="B936" s="372"/>
      <c r="C936" s="372"/>
      <c r="D936" s="373"/>
      <c r="E936" s="373"/>
      <c r="F936" s="373"/>
      <c r="G936" s="373"/>
      <c r="H936" s="373"/>
      <c r="I936" s="373"/>
      <c r="J936" s="127"/>
      <c r="K936" s="127"/>
      <c r="L936" s="127"/>
      <c r="M936" s="127"/>
      <c r="N936" s="127"/>
    </row>
    <row r="937" spans="1:14" ht="16.5" x14ac:dyDescent="0.25">
      <c r="A937" s="372"/>
      <c r="B937" s="372"/>
      <c r="C937" s="372"/>
      <c r="D937" s="373"/>
      <c r="E937" s="373"/>
      <c r="F937" s="373"/>
      <c r="G937" s="373"/>
      <c r="H937" s="373"/>
      <c r="I937" s="373"/>
      <c r="J937" s="127"/>
      <c r="K937" s="127"/>
      <c r="L937" s="127"/>
      <c r="M937" s="127"/>
      <c r="N937" s="127"/>
    </row>
    <row r="938" spans="1:14" ht="16.5" x14ac:dyDescent="0.25">
      <c r="A938" s="372"/>
      <c r="B938" s="372"/>
      <c r="C938" s="372"/>
      <c r="D938" s="373"/>
      <c r="E938" s="373"/>
      <c r="F938" s="373"/>
      <c r="G938" s="373"/>
      <c r="H938" s="373"/>
      <c r="I938" s="373"/>
      <c r="J938" s="127"/>
      <c r="K938" s="127"/>
      <c r="L938" s="127"/>
      <c r="M938" s="127"/>
      <c r="N938" s="127"/>
    </row>
    <row r="939" spans="1:14" ht="16.5" x14ac:dyDescent="0.25">
      <c r="A939" s="372"/>
      <c r="B939" s="372"/>
      <c r="C939" s="372"/>
      <c r="D939" s="373"/>
      <c r="E939" s="373"/>
      <c r="F939" s="373"/>
      <c r="G939" s="373"/>
      <c r="H939" s="373"/>
      <c r="I939" s="373"/>
      <c r="J939" s="127"/>
      <c r="K939" s="127"/>
      <c r="L939" s="127"/>
      <c r="M939" s="127"/>
      <c r="N939" s="127"/>
    </row>
    <row r="940" spans="1:14" ht="16.5" x14ac:dyDescent="0.25">
      <c r="A940" s="372"/>
      <c r="B940" s="372"/>
      <c r="C940" s="372"/>
      <c r="D940" s="373"/>
      <c r="E940" s="373"/>
      <c r="F940" s="373"/>
      <c r="G940" s="373"/>
      <c r="H940" s="373"/>
      <c r="I940" s="373"/>
      <c r="J940" s="127"/>
      <c r="K940" s="127"/>
      <c r="L940" s="127"/>
      <c r="M940" s="127"/>
      <c r="N940" s="127"/>
    </row>
    <row r="941" spans="1:14" ht="16.5" x14ac:dyDescent="0.25">
      <c r="A941" s="372"/>
      <c r="B941" s="372"/>
      <c r="C941" s="372"/>
      <c r="D941" s="373"/>
      <c r="E941" s="373"/>
      <c r="F941" s="373"/>
      <c r="G941" s="373"/>
      <c r="H941" s="373"/>
      <c r="I941" s="373"/>
      <c r="J941" s="127"/>
      <c r="K941" s="127"/>
      <c r="L941" s="127"/>
      <c r="M941" s="127"/>
      <c r="N941" s="127"/>
    </row>
    <row r="942" spans="1:14" ht="16.5" x14ac:dyDescent="0.25">
      <c r="A942" s="372"/>
      <c r="B942" s="372"/>
      <c r="C942" s="372"/>
      <c r="D942" s="373"/>
      <c r="E942" s="373"/>
      <c r="F942" s="373"/>
      <c r="G942" s="373"/>
      <c r="H942" s="373"/>
      <c r="I942" s="373"/>
      <c r="J942" s="127"/>
      <c r="K942" s="127"/>
      <c r="L942" s="127"/>
      <c r="M942" s="127"/>
      <c r="N942" s="127"/>
    </row>
    <row r="943" spans="1:14" ht="16.5" x14ac:dyDescent="0.25">
      <c r="A943" s="372"/>
      <c r="B943" s="372"/>
      <c r="C943" s="372"/>
      <c r="D943" s="373"/>
      <c r="E943" s="373"/>
      <c r="F943" s="373"/>
      <c r="G943" s="373"/>
      <c r="H943" s="373"/>
      <c r="I943" s="373"/>
      <c r="J943" s="127"/>
      <c r="K943" s="127"/>
      <c r="L943" s="127"/>
      <c r="M943" s="127"/>
      <c r="N943" s="127"/>
    </row>
    <row r="944" spans="1:14" ht="16.5" x14ac:dyDescent="0.25">
      <c r="A944" s="372"/>
      <c r="B944" s="372"/>
      <c r="C944" s="372"/>
      <c r="D944" s="373"/>
      <c r="E944" s="373"/>
      <c r="F944" s="373"/>
      <c r="G944" s="373"/>
      <c r="H944" s="373"/>
      <c r="I944" s="373"/>
      <c r="J944" s="127"/>
      <c r="K944" s="127"/>
      <c r="L944" s="127"/>
      <c r="M944" s="127"/>
      <c r="N944" s="127"/>
    </row>
    <row r="945" spans="1:14" ht="16.5" x14ac:dyDescent="0.25">
      <c r="A945" s="372"/>
      <c r="B945" s="372"/>
      <c r="C945" s="372"/>
      <c r="D945" s="373"/>
      <c r="E945" s="373"/>
      <c r="F945" s="373"/>
      <c r="G945" s="373"/>
      <c r="H945" s="373"/>
      <c r="I945" s="373"/>
      <c r="J945" s="127"/>
      <c r="K945" s="127"/>
      <c r="L945" s="127"/>
      <c r="M945" s="127"/>
      <c r="N945" s="127"/>
    </row>
    <row r="946" spans="1:14" ht="16.5" x14ac:dyDescent="0.25">
      <c r="A946" s="372"/>
      <c r="B946" s="372"/>
      <c r="C946" s="372"/>
      <c r="D946" s="373"/>
      <c r="E946" s="373"/>
      <c r="F946" s="373"/>
      <c r="G946" s="373"/>
      <c r="H946" s="373"/>
      <c r="I946" s="373"/>
      <c r="J946" s="127"/>
      <c r="K946" s="127"/>
      <c r="L946" s="127"/>
      <c r="M946" s="127"/>
      <c r="N946" s="127"/>
    </row>
    <row r="947" spans="1:14" ht="16.5" x14ac:dyDescent="0.25">
      <c r="A947" s="372"/>
      <c r="B947" s="372"/>
      <c r="C947" s="372"/>
      <c r="D947" s="373"/>
      <c r="E947" s="373"/>
      <c r="F947" s="373"/>
      <c r="G947" s="373"/>
      <c r="H947" s="373"/>
      <c r="I947" s="373"/>
      <c r="J947" s="127"/>
      <c r="K947" s="127"/>
      <c r="L947" s="127"/>
      <c r="M947" s="127"/>
      <c r="N947" s="127"/>
    </row>
    <row r="948" spans="1:14" ht="16.5" x14ac:dyDescent="0.25">
      <c r="A948" s="372"/>
      <c r="B948" s="372"/>
      <c r="C948" s="372"/>
      <c r="D948" s="373"/>
      <c r="E948" s="373"/>
      <c r="F948" s="373"/>
      <c r="G948" s="373"/>
      <c r="H948" s="373"/>
      <c r="I948" s="373"/>
      <c r="J948" s="127"/>
      <c r="K948" s="127"/>
      <c r="L948" s="127"/>
      <c r="M948" s="127"/>
      <c r="N948" s="127"/>
    </row>
    <row r="949" spans="1:14" ht="16.5" x14ac:dyDescent="0.25">
      <c r="A949" s="372"/>
      <c r="B949" s="372"/>
      <c r="C949" s="372"/>
      <c r="D949" s="373"/>
      <c r="E949" s="373"/>
      <c r="F949" s="373"/>
      <c r="G949" s="373"/>
      <c r="H949" s="373"/>
      <c r="I949" s="373"/>
      <c r="J949" s="127"/>
      <c r="K949" s="127"/>
      <c r="L949" s="127"/>
      <c r="M949" s="127"/>
      <c r="N949" s="127"/>
    </row>
    <row r="950" spans="1:14" ht="16.5" x14ac:dyDescent="0.25">
      <c r="A950" s="372"/>
      <c r="B950" s="372"/>
      <c r="C950" s="372"/>
      <c r="D950" s="373"/>
      <c r="E950" s="373"/>
      <c r="F950" s="373"/>
      <c r="G950" s="373"/>
      <c r="H950" s="373"/>
      <c r="I950" s="373"/>
      <c r="J950" s="127"/>
      <c r="K950" s="127"/>
      <c r="L950" s="127"/>
      <c r="M950" s="127"/>
      <c r="N950" s="127"/>
    </row>
    <row r="951" spans="1:14" ht="16.5" x14ac:dyDescent="0.25">
      <c r="A951" s="372"/>
      <c r="B951" s="372"/>
      <c r="C951" s="372"/>
      <c r="D951" s="373"/>
      <c r="E951" s="373"/>
      <c r="F951" s="373"/>
      <c r="G951" s="373"/>
      <c r="H951" s="373"/>
      <c r="I951" s="373"/>
      <c r="J951" s="127"/>
      <c r="K951" s="127"/>
      <c r="L951" s="127"/>
      <c r="M951" s="127"/>
      <c r="N951" s="127"/>
    </row>
    <row r="952" spans="1:14" ht="16.5" x14ac:dyDescent="0.25">
      <c r="A952" s="372"/>
      <c r="B952" s="372"/>
      <c r="C952" s="372"/>
      <c r="D952" s="373"/>
      <c r="E952" s="373"/>
      <c r="F952" s="373"/>
      <c r="G952" s="373"/>
      <c r="H952" s="373"/>
      <c r="I952" s="373"/>
      <c r="J952" s="127"/>
      <c r="K952" s="127"/>
      <c r="L952" s="127"/>
      <c r="M952" s="127"/>
      <c r="N952" s="127"/>
    </row>
    <row r="953" spans="1:14" ht="16.5" x14ac:dyDescent="0.25">
      <c r="A953" s="372"/>
      <c r="B953" s="372"/>
      <c r="C953" s="372"/>
      <c r="D953" s="373"/>
      <c r="E953" s="373"/>
      <c r="F953" s="373"/>
      <c r="G953" s="373"/>
      <c r="H953" s="373"/>
      <c r="I953" s="373"/>
      <c r="J953" s="127"/>
      <c r="K953" s="127"/>
      <c r="L953" s="127"/>
      <c r="M953" s="127"/>
      <c r="N953" s="127"/>
    </row>
    <row r="954" spans="1:14" ht="16.5" x14ac:dyDescent="0.25">
      <c r="A954" s="372"/>
      <c r="B954" s="372"/>
      <c r="C954" s="372"/>
      <c r="D954" s="373"/>
      <c r="E954" s="373"/>
      <c r="F954" s="373"/>
      <c r="G954" s="373"/>
      <c r="H954" s="373"/>
      <c r="I954" s="373"/>
      <c r="J954" s="127"/>
      <c r="K954" s="127"/>
      <c r="L954" s="127"/>
      <c r="M954" s="127"/>
      <c r="N954" s="127"/>
    </row>
    <row r="955" spans="1:14" ht="16.5" x14ac:dyDescent="0.25">
      <c r="A955" s="372"/>
      <c r="B955" s="372"/>
      <c r="C955" s="372"/>
      <c r="D955" s="373"/>
      <c r="E955" s="373"/>
      <c r="F955" s="373"/>
      <c r="G955" s="373"/>
      <c r="H955" s="373"/>
      <c r="I955" s="373"/>
      <c r="J955" s="127"/>
      <c r="K955" s="127"/>
      <c r="L955" s="127"/>
      <c r="M955" s="127"/>
      <c r="N955" s="127"/>
    </row>
    <row r="956" spans="1:14" ht="16.5" x14ac:dyDescent="0.25">
      <c r="A956" s="372"/>
      <c r="B956" s="372"/>
      <c r="C956" s="372"/>
      <c r="D956" s="373"/>
      <c r="E956" s="373"/>
      <c r="F956" s="373"/>
      <c r="G956" s="373"/>
      <c r="H956" s="373"/>
      <c r="I956" s="373"/>
      <c r="J956" s="127"/>
      <c r="K956" s="127"/>
      <c r="L956" s="127"/>
      <c r="M956" s="127"/>
      <c r="N956" s="127"/>
    </row>
    <row r="957" spans="1:14" ht="16.5" x14ac:dyDescent="0.25">
      <c r="A957" s="372"/>
      <c r="B957" s="372"/>
      <c r="C957" s="372"/>
      <c r="D957" s="373"/>
      <c r="E957" s="373"/>
      <c r="F957" s="373"/>
      <c r="G957" s="373"/>
      <c r="H957" s="373"/>
      <c r="I957" s="373"/>
      <c r="J957" s="127"/>
      <c r="K957" s="127"/>
      <c r="L957" s="127"/>
      <c r="M957" s="127"/>
      <c r="N957" s="127"/>
    </row>
    <row r="958" spans="1:14" ht="16.5" x14ac:dyDescent="0.25">
      <c r="A958" s="372"/>
      <c r="B958" s="372"/>
      <c r="C958" s="372"/>
      <c r="D958" s="373"/>
      <c r="E958" s="373"/>
      <c r="F958" s="373"/>
      <c r="G958" s="373"/>
      <c r="H958" s="373"/>
      <c r="I958" s="373"/>
      <c r="J958" s="127"/>
      <c r="K958" s="127"/>
      <c r="L958" s="127"/>
      <c r="M958" s="127"/>
      <c r="N958" s="127"/>
    </row>
    <row r="959" spans="1:14" ht="16.5" x14ac:dyDescent="0.25">
      <c r="A959" s="372"/>
      <c r="B959" s="372"/>
      <c r="C959" s="372"/>
      <c r="D959" s="373"/>
      <c r="E959" s="373"/>
      <c r="F959" s="373"/>
      <c r="G959" s="373"/>
      <c r="H959" s="373"/>
      <c r="I959" s="373"/>
      <c r="J959" s="127"/>
      <c r="K959" s="127"/>
      <c r="L959" s="127"/>
      <c r="M959" s="127"/>
      <c r="N959" s="127"/>
    </row>
    <row r="960" spans="1:14" ht="16.5" x14ac:dyDescent="0.25">
      <c r="A960" s="372"/>
      <c r="B960" s="372"/>
      <c r="C960" s="372"/>
      <c r="D960" s="373"/>
      <c r="E960" s="373"/>
      <c r="F960" s="373"/>
      <c r="G960" s="373"/>
      <c r="H960" s="373"/>
      <c r="I960" s="373"/>
      <c r="J960" s="127"/>
      <c r="K960" s="127"/>
      <c r="L960" s="127"/>
      <c r="M960" s="127"/>
      <c r="N960" s="127"/>
    </row>
    <row r="961" spans="1:14" ht="16.5" x14ac:dyDescent="0.25">
      <c r="A961" s="372"/>
      <c r="B961" s="372"/>
      <c r="C961" s="372"/>
      <c r="D961" s="373"/>
      <c r="E961" s="373"/>
      <c r="F961" s="373"/>
      <c r="G961" s="373"/>
      <c r="H961" s="373"/>
      <c r="I961" s="373"/>
      <c r="J961" s="127"/>
      <c r="K961" s="127"/>
      <c r="L961" s="127"/>
      <c r="M961" s="127"/>
      <c r="N961" s="127"/>
    </row>
    <row r="962" spans="1:14" ht="16.5" x14ac:dyDescent="0.25">
      <c r="A962" s="372"/>
      <c r="B962" s="372"/>
      <c r="C962" s="372"/>
      <c r="D962" s="373"/>
      <c r="E962" s="373"/>
      <c r="F962" s="373"/>
      <c r="G962" s="373"/>
      <c r="H962" s="373"/>
      <c r="I962" s="373"/>
      <c r="J962" s="127"/>
      <c r="K962" s="127"/>
      <c r="L962" s="127"/>
      <c r="M962" s="127"/>
      <c r="N962" s="127"/>
    </row>
    <row r="963" spans="1:14" ht="16.5" x14ac:dyDescent="0.25">
      <c r="A963" s="372"/>
      <c r="B963" s="372"/>
      <c r="C963" s="372"/>
      <c r="D963" s="373"/>
      <c r="E963" s="373"/>
      <c r="F963" s="373"/>
      <c r="G963" s="373"/>
      <c r="H963" s="373"/>
      <c r="I963" s="373"/>
      <c r="J963" s="127"/>
      <c r="K963" s="127"/>
      <c r="L963" s="127"/>
      <c r="M963" s="127"/>
      <c r="N963" s="127"/>
    </row>
    <row r="964" spans="1:14" ht="16.5" x14ac:dyDescent="0.25">
      <c r="A964" s="372"/>
      <c r="B964" s="372"/>
      <c r="C964" s="372"/>
      <c r="D964" s="373"/>
      <c r="E964" s="373"/>
      <c r="F964" s="373"/>
      <c r="G964" s="373"/>
      <c r="H964" s="373"/>
      <c r="I964" s="373"/>
      <c r="J964" s="127"/>
      <c r="K964" s="127"/>
      <c r="L964" s="127"/>
      <c r="M964" s="127"/>
      <c r="N964" s="127"/>
    </row>
    <row r="965" spans="1:14" ht="16.5" x14ac:dyDescent="0.25">
      <c r="A965" s="372"/>
      <c r="B965" s="372"/>
      <c r="C965" s="372"/>
      <c r="D965" s="373"/>
      <c r="E965" s="373"/>
      <c r="F965" s="373"/>
      <c r="G965" s="373"/>
      <c r="H965" s="373"/>
      <c r="I965" s="373"/>
      <c r="J965" s="127"/>
      <c r="K965" s="127"/>
      <c r="L965" s="127"/>
      <c r="M965" s="127"/>
      <c r="N965" s="127"/>
    </row>
    <row r="966" spans="1:14" ht="16.5" x14ac:dyDescent="0.25">
      <c r="A966" s="372"/>
      <c r="B966" s="372"/>
      <c r="C966" s="372"/>
      <c r="D966" s="373"/>
      <c r="E966" s="373"/>
      <c r="F966" s="373"/>
      <c r="G966" s="373"/>
      <c r="H966" s="373"/>
      <c r="I966" s="373"/>
      <c r="J966" s="127"/>
      <c r="K966" s="127"/>
      <c r="L966" s="127"/>
      <c r="M966" s="127"/>
      <c r="N966" s="127"/>
    </row>
    <row r="967" spans="1:14" ht="16.5" x14ac:dyDescent="0.25">
      <c r="A967" s="372"/>
      <c r="B967" s="372"/>
      <c r="C967" s="372"/>
      <c r="D967" s="373"/>
      <c r="E967" s="373"/>
      <c r="F967" s="373"/>
      <c r="G967" s="373"/>
      <c r="H967" s="373"/>
      <c r="I967" s="373"/>
      <c r="J967" s="127"/>
      <c r="K967" s="127"/>
      <c r="L967" s="127"/>
      <c r="M967" s="127"/>
      <c r="N967" s="127"/>
    </row>
    <row r="968" spans="1:14" ht="16.5" x14ac:dyDescent="0.25">
      <c r="A968" s="372"/>
      <c r="B968" s="372"/>
      <c r="C968" s="372"/>
      <c r="D968" s="373"/>
      <c r="E968" s="373"/>
      <c r="F968" s="373"/>
      <c r="G968" s="373"/>
      <c r="H968" s="373"/>
      <c r="I968" s="373"/>
      <c r="J968" s="127"/>
      <c r="K968" s="127"/>
      <c r="L968" s="127"/>
      <c r="M968" s="127"/>
      <c r="N968" s="127"/>
    </row>
    <row r="969" spans="1:14" ht="16.5" x14ac:dyDescent="0.25">
      <c r="A969" s="372"/>
      <c r="B969" s="372"/>
      <c r="C969" s="372"/>
      <c r="D969" s="373"/>
      <c r="E969" s="373"/>
      <c r="F969" s="373"/>
      <c r="G969" s="373"/>
      <c r="H969" s="373"/>
      <c r="I969" s="373"/>
      <c r="J969" s="127"/>
      <c r="K969" s="127"/>
      <c r="L969" s="127"/>
      <c r="M969" s="127"/>
      <c r="N969" s="127"/>
    </row>
    <row r="970" spans="1:14" ht="16.5" x14ac:dyDescent="0.25">
      <c r="A970" s="372"/>
      <c r="B970" s="372"/>
      <c r="C970" s="372"/>
      <c r="D970" s="373"/>
      <c r="E970" s="373"/>
      <c r="F970" s="373"/>
      <c r="G970" s="373"/>
      <c r="H970" s="373"/>
      <c r="I970" s="373"/>
      <c r="J970" s="127"/>
      <c r="K970" s="127"/>
      <c r="L970" s="127"/>
      <c r="M970" s="127"/>
      <c r="N970" s="127"/>
    </row>
    <row r="971" spans="1:14" ht="16.5" x14ac:dyDescent="0.25">
      <c r="A971" s="372"/>
      <c r="B971" s="372"/>
      <c r="C971" s="372"/>
      <c r="D971" s="373"/>
      <c r="E971" s="373"/>
      <c r="F971" s="373"/>
      <c r="G971" s="373"/>
      <c r="H971" s="373"/>
      <c r="I971" s="373"/>
      <c r="J971" s="127"/>
      <c r="K971" s="127"/>
      <c r="L971" s="127"/>
      <c r="M971" s="127"/>
      <c r="N971" s="127"/>
    </row>
    <row r="972" spans="1:14" ht="16.5" x14ac:dyDescent="0.25">
      <c r="A972" s="372"/>
      <c r="B972" s="372"/>
      <c r="C972" s="372"/>
      <c r="D972" s="373"/>
      <c r="E972" s="373"/>
      <c r="F972" s="373"/>
      <c r="G972" s="373"/>
      <c r="H972" s="373"/>
      <c r="I972" s="373"/>
      <c r="J972" s="127"/>
      <c r="K972" s="127"/>
      <c r="L972" s="127"/>
      <c r="M972" s="127"/>
      <c r="N972" s="127"/>
    </row>
    <row r="973" spans="1:14" ht="16.5" x14ac:dyDescent="0.25">
      <c r="A973" s="372"/>
      <c r="B973" s="372"/>
      <c r="C973" s="372"/>
      <c r="D973" s="373"/>
      <c r="E973" s="373"/>
      <c r="F973" s="373"/>
      <c r="G973" s="373"/>
      <c r="H973" s="373"/>
      <c r="I973" s="373"/>
      <c r="J973" s="127"/>
      <c r="K973" s="127"/>
      <c r="L973" s="127"/>
      <c r="M973" s="127"/>
      <c r="N973" s="127"/>
    </row>
    <row r="974" spans="1:14" ht="16.5" x14ac:dyDescent="0.25">
      <c r="A974" s="372"/>
      <c r="B974" s="372"/>
      <c r="C974" s="372"/>
      <c r="D974" s="373"/>
      <c r="E974" s="373"/>
      <c r="F974" s="373"/>
      <c r="G974" s="373"/>
      <c r="H974" s="373"/>
      <c r="I974" s="373"/>
      <c r="J974" s="127"/>
      <c r="K974" s="127"/>
      <c r="L974" s="127"/>
      <c r="M974" s="127"/>
      <c r="N974" s="127"/>
    </row>
    <row r="975" spans="1:14" ht="16.5" x14ac:dyDescent="0.25">
      <c r="A975" s="372"/>
      <c r="B975" s="372"/>
      <c r="C975" s="372"/>
      <c r="D975" s="373"/>
      <c r="E975" s="373"/>
      <c r="F975" s="373"/>
      <c r="G975" s="373"/>
      <c r="H975" s="373"/>
      <c r="I975" s="373"/>
      <c r="J975" s="127"/>
      <c r="K975" s="127"/>
      <c r="L975" s="127"/>
      <c r="M975" s="127"/>
      <c r="N975" s="127"/>
    </row>
    <row r="976" spans="1:14" ht="16.5" x14ac:dyDescent="0.25">
      <c r="A976" s="372"/>
      <c r="B976" s="372"/>
      <c r="C976" s="372"/>
      <c r="D976" s="373"/>
      <c r="E976" s="373"/>
      <c r="F976" s="373"/>
      <c r="G976" s="373"/>
      <c r="H976" s="373"/>
      <c r="I976" s="373"/>
      <c r="J976" s="127"/>
      <c r="K976" s="127"/>
      <c r="L976" s="127"/>
      <c r="M976" s="127"/>
      <c r="N976" s="127"/>
    </row>
    <row r="977" spans="1:14" ht="16.5" x14ac:dyDescent="0.25">
      <c r="A977" s="372"/>
      <c r="B977" s="372"/>
      <c r="C977" s="372"/>
      <c r="D977" s="373"/>
      <c r="E977" s="373"/>
      <c r="F977" s="373"/>
      <c r="G977" s="373"/>
      <c r="H977" s="373"/>
      <c r="I977" s="373"/>
      <c r="J977" s="127"/>
      <c r="K977" s="127"/>
      <c r="L977" s="127"/>
      <c r="M977" s="127"/>
      <c r="N977" s="127"/>
    </row>
    <row r="978" spans="1:14" ht="16.5" x14ac:dyDescent="0.25">
      <c r="A978" s="372"/>
      <c r="B978" s="372"/>
      <c r="C978" s="372"/>
      <c r="D978" s="373"/>
      <c r="E978" s="373"/>
      <c r="F978" s="373"/>
      <c r="G978" s="373"/>
      <c r="H978" s="373"/>
      <c r="I978" s="373"/>
      <c r="J978" s="127"/>
      <c r="K978" s="127"/>
      <c r="L978" s="127"/>
      <c r="M978" s="127"/>
      <c r="N978" s="127"/>
    </row>
    <row r="979" spans="1:14" ht="16.5" x14ac:dyDescent="0.25">
      <c r="A979" s="372"/>
      <c r="B979" s="372"/>
      <c r="C979" s="372"/>
      <c r="D979" s="373"/>
      <c r="E979" s="373"/>
      <c r="F979" s="373"/>
      <c r="G979" s="373"/>
      <c r="H979" s="373"/>
      <c r="I979" s="373"/>
      <c r="J979" s="127"/>
      <c r="K979" s="127"/>
      <c r="L979" s="127"/>
      <c r="M979" s="127"/>
      <c r="N979" s="127"/>
    </row>
    <row r="980" spans="1:14" ht="16.5" x14ac:dyDescent="0.25">
      <c r="A980" s="372"/>
      <c r="B980" s="372"/>
      <c r="C980" s="372"/>
      <c r="D980" s="373"/>
      <c r="E980" s="373"/>
      <c r="F980" s="373"/>
      <c r="G980" s="373"/>
      <c r="H980" s="373"/>
      <c r="I980" s="373"/>
      <c r="J980" s="127"/>
      <c r="K980" s="127"/>
      <c r="L980" s="127"/>
      <c r="M980" s="127"/>
      <c r="N980" s="127"/>
    </row>
    <row r="981" spans="1:14" ht="16.5" x14ac:dyDescent="0.25">
      <c r="A981" s="372"/>
      <c r="B981" s="372"/>
      <c r="C981" s="372"/>
      <c r="D981" s="373"/>
      <c r="E981" s="373"/>
      <c r="F981" s="373"/>
      <c r="G981" s="373"/>
      <c r="H981" s="373"/>
      <c r="I981" s="373"/>
      <c r="J981" s="127"/>
      <c r="K981" s="127"/>
      <c r="L981" s="127"/>
      <c r="M981" s="127"/>
      <c r="N981" s="127"/>
    </row>
    <row r="982" spans="1:14" ht="16.5" x14ac:dyDescent="0.25">
      <c r="A982" s="372"/>
      <c r="B982" s="372"/>
      <c r="C982" s="372"/>
      <c r="D982" s="373"/>
      <c r="E982" s="373"/>
      <c r="F982" s="373"/>
      <c r="G982" s="373"/>
      <c r="H982" s="373"/>
      <c r="I982" s="373"/>
      <c r="J982" s="127"/>
      <c r="K982" s="127"/>
      <c r="L982" s="127"/>
      <c r="M982" s="127"/>
      <c r="N982" s="127"/>
    </row>
    <row r="983" spans="1:14" ht="16.5" x14ac:dyDescent="0.25">
      <c r="A983" s="372"/>
      <c r="B983" s="372"/>
      <c r="C983" s="372"/>
      <c r="D983" s="373"/>
      <c r="E983" s="373"/>
      <c r="F983" s="373"/>
      <c r="G983" s="373"/>
      <c r="H983" s="373"/>
      <c r="I983" s="373"/>
      <c r="J983" s="127"/>
      <c r="K983" s="127"/>
      <c r="L983" s="127"/>
      <c r="M983" s="127"/>
      <c r="N983" s="127"/>
    </row>
    <row r="984" spans="1:14" ht="16.5" x14ac:dyDescent="0.25">
      <c r="A984" s="372"/>
      <c r="B984" s="372"/>
      <c r="C984" s="372"/>
      <c r="D984" s="373"/>
      <c r="E984" s="373"/>
      <c r="F984" s="373"/>
      <c r="G984" s="373"/>
      <c r="H984" s="373"/>
      <c r="I984" s="373"/>
      <c r="J984" s="127"/>
      <c r="K984" s="127"/>
      <c r="L984" s="127"/>
      <c r="M984" s="127"/>
      <c r="N984" s="127"/>
    </row>
  </sheetData>
  <mergeCells count="11">
    <mergeCell ref="H1:I1"/>
    <mergeCell ref="A2:I2"/>
    <mergeCell ref="A3:I3"/>
    <mergeCell ref="A4:I4"/>
    <mergeCell ref="A7:A8"/>
    <mergeCell ref="B7:B8"/>
    <mergeCell ref="C7:C8"/>
    <mergeCell ref="D7:D8"/>
    <mergeCell ref="E7:H7"/>
    <mergeCell ref="I7:I8"/>
    <mergeCell ref="A5:I5"/>
  </mergeCells>
  <pageMargins left="0.51181102362204722" right="0.35433070866141736" top="0.55000000000000004" bottom="0.46" header="0" footer="0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36</vt:i4>
      </vt:variant>
    </vt:vector>
  </HeadingPairs>
  <TitlesOfParts>
    <vt:vector size="56" baseType="lpstr">
      <vt:lpstr>PL 01</vt:lpstr>
      <vt:lpstr>TUMO RONG (1)</vt:lpstr>
      <vt:lpstr>LONG LEO(2)</vt:lpstr>
      <vt:lpstr>ĐĂK CHUM 1(3)</vt:lpstr>
      <vt:lpstr>ĐĂK CHUM II(4)</vt:lpstr>
      <vt:lpstr>TU CẤP(5)</vt:lpstr>
      <vt:lpstr>ĐĂK KA(6)</vt:lpstr>
      <vt:lpstr>VĂN SANG(7)</vt:lpstr>
      <vt:lpstr>ĐĂK NEANG(8)</vt:lpstr>
      <vt:lpstr>NGỌC LEANG(9)</vt:lpstr>
      <vt:lpstr>ĐĂK SIÊNG(10)</vt:lpstr>
      <vt:lpstr>KON TUN(11)</vt:lpstr>
      <vt:lpstr>MÔ PẢ(12)</vt:lpstr>
      <vt:lpstr>TY TU(13)</vt:lpstr>
      <vt:lpstr>KON LING(14)</vt:lpstr>
      <vt:lpstr>ĐĂK PƠ TRANG(15)</vt:lpstr>
      <vt:lpstr>KON PIA(16)</vt:lpstr>
      <vt:lpstr>ĐĂK HÀ(17)</vt:lpstr>
      <vt:lpstr>B03. SNVHXH</vt:lpstr>
      <vt:lpstr>PL4</vt:lpstr>
      <vt:lpstr>'ĐĂK CHUM 1(3)'!Print_Area</vt:lpstr>
      <vt:lpstr>'ĐĂK CHUM II(4)'!Print_Area</vt:lpstr>
      <vt:lpstr>'ĐĂK HÀ(17)'!Print_Area</vt:lpstr>
      <vt:lpstr>'ĐĂK KA(6)'!Print_Area</vt:lpstr>
      <vt:lpstr>'ĐĂK NEANG(8)'!Print_Area</vt:lpstr>
      <vt:lpstr>'ĐĂK PƠ TRANG(15)'!Print_Area</vt:lpstr>
      <vt:lpstr>'ĐĂK SIÊNG(10)'!Print_Area</vt:lpstr>
      <vt:lpstr>'KON LING(14)'!Print_Area</vt:lpstr>
      <vt:lpstr>'KON PIA(16)'!Print_Area</vt:lpstr>
      <vt:lpstr>'KON TUN(11)'!Print_Area</vt:lpstr>
      <vt:lpstr>'LONG LEO(2)'!Print_Area</vt:lpstr>
      <vt:lpstr>'MÔ PẢ(12)'!Print_Area</vt:lpstr>
      <vt:lpstr>'NGỌC LEANG(9)'!Print_Area</vt:lpstr>
      <vt:lpstr>'PL 01'!Print_Area</vt:lpstr>
      <vt:lpstr>'TU CẤP(5)'!Print_Area</vt:lpstr>
      <vt:lpstr>'TUMO RONG (1)'!Print_Area</vt:lpstr>
      <vt:lpstr>'TY TU(13)'!Print_Area</vt:lpstr>
      <vt:lpstr>'VĂN SANG(7)'!Print_Area</vt:lpstr>
      <vt:lpstr>'ĐĂK CHUM 1(3)'!Print_Titles</vt:lpstr>
      <vt:lpstr>'ĐĂK CHUM II(4)'!Print_Titles</vt:lpstr>
      <vt:lpstr>'ĐĂK HÀ(17)'!Print_Titles</vt:lpstr>
      <vt:lpstr>'ĐĂK KA(6)'!Print_Titles</vt:lpstr>
      <vt:lpstr>'ĐĂK NEANG(8)'!Print_Titles</vt:lpstr>
      <vt:lpstr>'ĐĂK PƠ TRANG(15)'!Print_Titles</vt:lpstr>
      <vt:lpstr>'ĐĂK SIÊNG(10)'!Print_Titles</vt:lpstr>
      <vt:lpstr>'KON LING(14)'!Print_Titles</vt:lpstr>
      <vt:lpstr>'KON PIA(16)'!Print_Titles</vt:lpstr>
      <vt:lpstr>'KON TUN(11)'!Print_Titles</vt:lpstr>
      <vt:lpstr>'LONG LEO(2)'!Print_Titles</vt:lpstr>
      <vt:lpstr>'MÔ PẢ(12)'!Print_Titles</vt:lpstr>
      <vt:lpstr>'NGỌC LEANG(9)'!Print_Titles</vt:lpstr>
      <vt:lpstr>'PL 01'!Print_Titles</vt:lpstr>
      <vt:lpstr>'TU CẤP(5)'!Print_Titles</vt:lpstr>
      <vt:lpstr>'TUMO RONG (1)'!Print_Titles</vt:lpstr>
      <vt:lpstr>'TY TU(13)'!Print_Titles</vt:lpstr>
      <vt:lpstr>'VĂN SANG(7)'!Print_Titles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PVHUNG</dc:creator>
  <cp:lastModifiedBy>ASUS</cp:lastModifiedBy>
  <cp:lastPrinted>2026-03-10T03:16:17Z</cp:lastPrinted>
  <dcterms:created xsi:type="dcterms:W3CDTF">2012-09-01T04:07:06Z</dcterms:created>
  <dcterms:modified xsi:type="dcterms:W3CDTF">2026-04-13T07:39:31Z</dcterms:modified>
</cp:coreProperties>
</file>