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AppData\Roaming\VNPT Plugin\Files\FileTemp\"/>
    </mc:Choice>
  </mc:AlternateContent>
  <xr:revisionPtr revIDLastSave="0" documentId="13_ncr:1_{1BD3013C-9B10-4872-B25A-8D6B22C8BE77}" xr6:coauthVersionLast="47" xr6:coauthVersionMax="47" xr10:uidLastSave="{00000000-0000-0000-0000-000000000000}"/>
  <bookViews>
    <workbookView xWindow="-120" yWindow="-120" windowWidth="24240" windowHeight="13020" tabRatio="987" xr2:uid="{00000000-000D-0000-FFFF-FFFF00000000}"/>
  </bookViews>
  <sheets>
    <sheet name="PL 01" sheetId="2" r:id="rId1"/>
    <sheet name="PL 02" sheetId="24" r:id="rId2"/>
    <sheet name="TUMO RONG (1)" sheetId="6" state="hidden" r:id="rId3"/>
    <sheet name="LONG LEO(2)" sheetId="7" state="hidden" r:id="rId4"/>
    <sheet name="ĐĂK CHUM 1(3)" sheetId="8" state="hidden" r:id="rId5"/>
    <sheet name="ĐĂK CHUM II(4)" sheetId="9" state="hidden" r:id="rId6"/>
    <sheet name="TU CẤP(5)" sheetId="10" state="hidden" r:id="rId7"/>
    <sheet name="ĐĂK KA(6)" sheetId="12" state="hidden" r:id="rId8"/>
    <sheet name="VĂN SANG(7)" sheetId="22" state="hidden" r:id="rId9"/>
    <sheet name="ĐĂK NEANG(8)" sheetId="13" state="hidden" r:id="rId10"/>
    <sheet name="NGỌC LEANG(9)" sheetId="14" state="hidden" r:id="rId11"/>
    <sheet name="ĐĂK SIÊNG(10)" sheetId="23" state="hidden" r:id="rId12"/>
    <sheet name="KON TUN(11)" sheetId="15" state="hidden" r:id="rId13"/>
    <sheet name="MÔ PẢ(12)" sheetId="16" state="hidden" r:id="rId14"/>
    <sheet name="TY TU(13)" sheetId="17" state="hidden" r:id="rId15"/>
    <sheet name="KON LING(14)" sheetId="18" state="hidden" r:id="rId16"/>
    <sheet name="ĐĂK PƠ TRANG(15)" sheetId="19" state="hidden" r:id="rId17"/>
    <sheet name="KON PIA(16)" sheetId="20" state="hidden" r:id="rId18"/>
    <sheet name="ĐĂK HÀ(17)" sheetId="21" state="hidden" r:id="rId19"/>
  </sheets>
  <definedNames>
    <definedName name="____B1">{"'Sheet1'!$L$16"}</definedName>
    <definedName name="____CON1">#REF!</definedName>
    <definedName name="____CON2">#REF!</definedName>
    <definedName name="____NET2">#REF!</definedName>
    <definedName name="____Pl2">{"'Sheet1'!$L$16"}</definedName>
    <definedName name="___a100000">#REF!</definedName>
    <definedName name="___a80000">#REF!</definedName>
    <definedName name="___B1">{"'Sheet1'!$L$16"}</definedName>
    <definedName name="___boi1">#REF!</definedName>
    <definedName name="___boi2">#REF!</definedName>
    <definedName name="___CON1">#REF!</definedName>
    <definedName name="___CON2">#REF!</definedName>
    <definedName name="___ddn400">#REF!</definedName>
    <definedName name="___ddn600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p1">#REF!</definedName>
    <definedName name="___lap2">#REF!</definedName>
    <definedName name="___MAC12">#REF!</definedName>
    <definedName name="___MAC46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SO2">{"'Sheet1'!$L$16"}</definedName>
    <definedName name="___Pl2">{"'Sheet1'!$L$16"}</definedName>
    <definedName name="___sc1">#REF!</definedName>
    <definedName name="___SC2">#REF!</definedName>
    <definedName name="___sc3">#REF!</definedName>
    <definedName name="___SN3">#REF!</definedName>
    <definedName name="___TB1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z593">#REF!</definedName>
    <definedName name="___VL100">#REF!</definedName>
    <definedName name="___VL200">#REF!</definedName>
    <definedName name="___VL250">#REF!</definedName>
    <definedName name="__a100000">#REF!</definedName>
    <definedName name="__a80000">#REF!</definedName>
    <definedName name="__B1">{"'Sheet1'!$L$16"}</definedName>
    <definedName name="__boi1">#REF!</definedName>
    <definedName name="__boi2">#REF!</definedName>
    <definedName name="__CON1">#REF!</definedName>
    <definedName name="__CON2">#REF!</definedName>
    <definedName name="__ddn400">#REF!</definedName>
    <definedName name="__ddn600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lap1">#REF!</definedName>
    <definedName name="__lap2">#REF!</definedName>
    <definedName name="__MAC12">#REF!</definedName>
    <definedName name="__MAC46">#REF!</definedName>
    <definedName name="__NCL100">#REF!</definedName>
    <definedName name="__NCL200">#REF!</definedName>
    <definedName name="__NCL250">#REF!</definedName>
    <definedName name="__NET2">#REF!</definedName>
    <definedName name="__nin190">#REF!</definedName>
    <definedName name="__NSO2">{"'Sheet1'!$L$16"}</definedName>
    <definedName name="__Pl2">{"'Sheet1'!$L$16"}</definedName>
    <definedName name="__sc1">#REF!</definedName>
    <definedName name="__SC2">#REF!</definedName>
    <definedName name="__sc3">#REF!</definedName>
    <definedName name="__SN3">#REF!</definedName>
    <definedName name="__TB1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z593">#REF!</definedName>
    <definedName name="__VL100">#REF!</definedName>
    <definedName name="__VL200">#REF!</definedName>
    <definedName name="__VL250">#REF!</definedName>
    <definedName name="_05.6022">#REF!</definedName>
    <definedName name="_1">#REF!</definedName>
    <definedName name="_1_2">NA()</definedName>
    <definedName name="_1000A01">#REF!</definedName>
    <definedName name="_1000A01_2">NA()</definedName>
    <definedName name="_2">#REF!</definedName>
    <definedName name="_2_2">NA()</definedName>
    <definedName name="_a100000">#REF!</definedName>
    <definedName name="_a80000">#REF!</definedName>
    <definedName name="_B1">{"'Sheet1'!$L$16"}</definedName>
    <definedName name="_boi1">#REF!</definedName>
    <definedName name="_boi2">#REF!</definedName>
    <definedName name="_CON1">#REF!</definedName>
    <definedName name="_CON1_2">#REF!</definedName>
    <definedName name="_CON2">#REF!</definedName>
    <definedName name="_CON2_2">#REF!</definedName>
    <definedName name="_ddn400">#REF!</definedName>
    <definedName name="_ddn600">#REF!</definedName>
    <definedName name="_Fill">#REF!</definedName>
    <definedName name="_Key1">#REF!</definedName>
    <definedName name="_Key2">#REF!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lap1">#REF!</definedName>
    <definedName name="_lap2">#REF!</definedName>
    <definedName name="_MAC12">#REF!</definedName>
    <definedName name="_MAC46">#REF!</definedName>
    <definedName name="_NCL100">#REF!</definedName>
    <definedName name="_NCL200">#REF!</definedName>
    <definedName name="_NCL250">#REF!</definedName>
    <definedName name="_NET2">#REF!</definedName>
    <definedName name="_NET2_2">#REF!</definedName>
    <definedName name="_nin190">#REF!</definedName>
    <definedName name="_NSO2">{"'Sheet1'!$L$16"}</definedName>
    <definedName name="_Order1">255</definedName>
    <definedName name="_Order2">255</definedName>
    <definedName name="_Pl2">{"'Sheet1'!$L$16"}</definedName>
    <definedName name="_sc1">#REF!</definedName>
    <definedName name="_SC2">#REF!</definedName>
    <definedName name="_sc3">#REF!</definedName>
    <definedName name="_SN3">#REF!</definedName>
    <definedName name="_Sort">#REF!</definedName>
    <definedName name="_TB1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z593">#REF!</definedName>
    <definedName name="_VL100">#REF!</definedName>
    <definedName name="_VL200">#REF!</definedName>
    <definedName name="_VL250">#REF!</definedName>
    <definedName name="A01_">#REF!</definedName>
    <definedName name="A01__2">NA()</definedName>
    <definedName name="A01AC">#REF!</definedName>
    <definedName name="A01AC_2">NA()</definedName>
    <definedName name="A01CAT">#REF!</definedName>
    <definedName name="A01CAT_2">NA()</definedName>
    <definedName name="A01CODE">#REF!</definedName>
    <definedName name="A01CODE_2">NA()</definedName>
    <definedName name="A01DATA">#REF!</definedName>
    <definedName name="A01DATA_2">NA()</definedName>
    <definedName name="A01MI">#REF!</definedName>
    <definedName name="A01MI_2">NA()</definedName>
    <definedName name="A01TO">#REF!</definedName>
    <definedName name="A01TO_2">NA()</definedName>
    <definedName name="A120_">#REF!</definedName>
    <definedName name="a277Print_Titles">#REF!</definedName>
    <definedName name="A35_">#REF!</definedName>
    <definedName name="A50_">#REF!</definedName>
    <definedName name="A70_">#REF!</definedName>
    <definedName name="A95_">#REF!</definedName>
    <definedName name="AA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g15F80">#REF!</definedName>
    <definedName name="All_Item">#REF!</definedName>
    <definedName name="ALPIN">#REF!</definedName>
    <definedName name="ALPIN_2">NA()</definedName>
    <definedName name="ALPJYOU">#REF!</definedName>
    <definedName name="ALPJYOU_2">NA()</definedName>
    <definedName name="ALPTOI">#REF!</definedName>
    <definedName name="ALPTOI_2">NA()</definedName>
    <definedName name="Bang_cly">#REF!</definedName>
    <definedName name="Bang_CVC">#REF!</definedName>
    <definedName name="bang_gia">#REF!</definedName>
    <definedName name="Bang_travl">#REF!</definedName>
    <definedName name="BB">#REF!</definedName>
    <definedName name="Biengioi">#REF!</definedName>
    <definedName name="blkh">#REF!</definedName>
    <definedName name="blkh1">#REF!</definedName>
    <definedName name="BMPB">#REF!</definedName>
    <definedName name="BOQ">#REF!</definedName>
    <definedName name="BT">#REF!</definedName>
    <definedName name="BTB">#REF!</definedName>
    <definedName name="BTM">#REF!</definedName>
    <definedName name="BTN">#REF!</definedName>
    <definedName name="BTT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ap">#REF!</definedName>
    <definedName name="cap0.7">#REF!</definedName>
    <definedName name="Category_All">#REF!</definedName>
    <definedName name="CATIN">#REF!</definedName>
    <definedName name="CATIN_2">NA()</definedName>
    <definedName name="CATJYOU">#REF!</definedName>
    <definedName name="CATJYOU_2">NA()</definedName>
    <definedName name="CATREC">#REF!</definedName>
    <definedName name="CATREC_2">NA()</definedName>
    <definedName name="CATSYU">#REF!</definedName>
    <definedName name="CATSYU_2">NA()</definedName>
    <definedName name="CCS">#REF!</definedName>
    <definedName name="CDD">#REF!</definedName>
    <definedName name="CDDD1PHA">#REF!</definedName>
    <definedName name="CDDD3PHA">#REF!</definedName>
    <definedName name="Cdo_8bat">#REF!</definedName>
    <definedName name="Cdo_TK50">#REF!</definedName>
    <definedName name="Cho_2">#REF!</definedName>
    <definedName name="CK">#REF!</definedName>
    <definedName name="CL">#REF!</definedName>
    <definedName name="CLVC3">0.1</definedName>
    <definedName name="CLVC35">#REF!</definedName>
    <definedName name="CLVCTB">#REF!</definedName>
    <definedName name="CN_RC1">#REF!</definedName>
    <definedName name="CN_RC2">#REF!</definedName>
    <definedName name="CN_Rnha">#REF!</definedName>
    <definedName name="CN_Rs">#REF!</definedName>
    <definedName name="Cneo_8bat">#REF!</definedName>
    <definedName name="Cneo_TK50">#REF!</definedName>
    <definedName name="Co">#REF!</definedName>
    <definedName name="Code">#REF!</definedName>
    <definedName name="Cöï_ly_vaän_chuyeãn">#REF!</definedName>
    <definedName name="CÖÏ_LY_VAÄN_CHUYEÅN">#REF!</definedName>
    <definedName name="COMMON">#REF!</definedName>
    <definedName name="COMMON_2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ST_EQ">#REF!</definedName>
    <definedName name="Coù__4">#REF!</definedName>
    <definedName name="COVER">#REF!</definedName>
    <definedName name="CPKDP">#REF!</definedName>
    <definedName name="CPKTW">#REF!</definedName>
    <definedName name="cptkdp">#REF!</definedName>
    <definedName name="CPVC100">#REF!</definedName>
    <definedName name="CPVC35">#REF!</definedName>
    <definedName name="CRD">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">#REF!</definedName>
    <definedName name="CT_134">#REF!</definedName>
    <definedName name="CT_168">#REF!</definedName>
    <definedName name="CT_194_2">#REF!</definedName>
    <definedName name="ctdn9697">#REF!</definedName>
    <definedName name="ctiep">#REF!</definedName>
    <definedName name="CTK">#REF!</definedName>
    <definedName name="cuoc_vc">#REF!</definedName>
    <definedName name="CURRENCY">#REF!</definedName>
    <definedName name="cx">#REF!</definedName>
    <definedName name="D_7101A_B">#REF!</definedName>
    <definedName name="DATA_DATA2_List">#REF!</definedName>
    <definedName name="data1">#REF!</definedName>
    <definedName name="data2">#REF!</definedName>
    <definedName name="data3">#REF!</definedName>
    <definedName name="DD">#REF!</definedName>
    <definedName name="den_bu">#REF!</definedName>
    <definedName name="dg">#REF!</definedName>
    <definedName name="DGCTI592">#REF!</definedName>
    <definedName name="dgnc">#REF!</definedName>
    <definedName name="DGTH">#REF!</definedName>
    <definedName name="dgthss3">#REF!</definedName>
    <definedName name="DGTV">#REF!</definedName>
    <definedName name="dgvl">#REF!</definedName>
    <definedName name="Discount">#REF!</definedName>
    <definedName name="display_area_2">#REF!</definedName>
    <definedName name="DLCC">#REF!</definedName>
    <definedName name="DM">#REF!</definedName>
    <definedName name="dobt">#REF!</definedName>
    <definedName name="Document_array">{"Book1","LuongT6.05.xls"}</definedName>
    <definedName name="Documents_array">#REF!</definedName>
    <definedName name="Dongia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h">#REF!</definedName>
    <definedName name="DSPK1p1nc">#REF!</definedName>
    <definedName name="DSPK1p1vl">#REF!</definedName>
    <definedName name="DSPK1pnc">#REF!</definedName>
    <definedName name="DSPK1pvl">#REF!</definedName>
    <definedName name="DSUMDATA">#REF!</definedName>
    <definedName name="DU_ODA">#REF!</definedName>
    <definedName name="DUDAUCO">#REF!</definedName>
    <definedName name="DUDAUNO">#REF!</definedName>
    <definedName name="Dulich">#REF!</definedName>
    <definedName name="ee">#REF!</definedName>
    <definedName name="emb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">#REF!</definedName>
    <definedName name="Excel_BuiltIn_Database">#REF!</definedName>
    <definedName name="Excel_BuiltIn_Database_2">#REF!</definedName>
    <definedName name="Excel_BuiltIn_Print_Area">#REF!</definedName>
    <definedName name="Excel_BuiltIn_Print_Area_2">#REF!</definedName>
    <definedName name="Excel_BuiltIn_Print_Titles">#REF!</definedName>
    <definedName name="Excel_BuiltIn_Recorder">#REF!</definedName>
    <definedName name="f">#REF!</definedName>
    <definedName name="f82E46">#REF!</definedName>
    <definedName name="FACTOR">#REF!</definedName>
    <definedName name="FCode">#REF!</definedName>
    <definedName name="fgf">{"'Sheet1'!$L$16"}</definedName>
    <definedName name="fgn">{"Book1","LuongT6.05.xls"}</definedName>
    <definedName name="gb">{"'Sheet1'!$L$16"}</definedName>
    <definedName name="geo">#REF!</definedName>
    <definedName name="gff">{"'Sheet1'!$L$16"}</definedName>
    <definedName name="gfy">{"'Sheet1'!$L$16"}</definedName>
    <definedName name="Gia_CT">#REF!</definedName>
    <definedName name="gia_tien">#REF!</definedName>
    <definedName name="gia_tien_BTN">#REF!</definedName>
    <definedName name="Gia_VT">#REF!</definedName>
    <definedName name="GIAVLIEUTN">#REF!</definedName>
    <definedName name="gjklkj">{"'Sheet1'!$L$16"}</definedName>
    <definedName name="gl3p">#REF!</definedName>
    <definedName name="GTXL">#REF!</definedName>
    <definedName name="h">{"'Sheet1'!$L$16"}</definedName>
    <definedName name="H_THUCHTHH">#REF!</definedName>
    <definedName name="H_THUCTT">#REF!</definedName>
    <definedName name="hdha">{"'Sheet1'!$L$16"}</definedName>
    <definedName name="Heä_soá_laép_xaø_H">1.7</definedName>
    <definedName name="heä_soá_sình_laày">#REF!</definedName>
    <definedName name="hg">{"'Sheet1'!$L$16"}</definedName>
    <definedName name="hgk">{"'Sheet1'!$L$16"}</definedName>
    <definedName name="HHTT">#REF!</definedName>
    <definedName name="HiddenRows">#REF!</definedName>
    <definedName name="hien">#REF!</definedName>
    <definedName name="hiep">{"'Sheet1'!$L$16"}</definedName>
    <definedName name="Hinh_thuc">#REF!</definedName>
    <definedName name="hj">{"'Sheet1'!$L$16"}</definedName>
    <definedName name="HOME_MANP">#REF!</definedName>
    <definedName name="HOME_MANP_2">#REF!</definedName>
    <definedName name="HOMEOFFICE_COST">#REF!</definedName>
    <definedName name="HOMEOFFICE_COST_2">#REF!</definedName>
    <definedName name="HS">#REF!</definedName>
    <definedName name="HSCT3">0.1</definedName>
    <definedName name="hsdc1">#REF!</definedName>
    <definedName name="HSDN">2.5</definedName>
    <definedName name="HSHH">#REF!</definedName>
    <definedName name="HSHHUT">#REF!</definedName>
    <definedName name="HSKK35">#REF!</definedName>
    <definedName name="HSLXH">#REF!</definedName>
    <definedName name="HSLXP">#REF!</definedName>
    <definedName name="HSSL">#REF!</definedName>
    <definedName name="HSVC1">#REF!</definedName>
    <definedName name="HSVC2">#REF!</definedName>
    <definedName name="HSVC3">#REF!</definedName>
    <definedName name="HTHH">#REF!</definedName>
    <definedName name="HTML_CodePage">950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"C:\2689\Q\國內\00q3961台化龍德PTA3建造\MyHTML.htm"</definedName>
    <definedName name="HTML_Title">"00Q3961-SUM"</definedName>
    <definedName name="HTNC">#REF!</definedName>
    <definedName name="HTVL">#REF!</definedName>
    <definedName name="huy">{"'Sheet1'!$L$16"}</definedName>
    <definedName name="Huyenmoi">#REF!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j">#REF!</definedName>
    <definedName name="j356C8">#REF!</definedName>
    <definedName name="jh">{"'Sheet1'!$L$16"}</definedName>
    <definedName name="jyli">{"'Sheet1'!$L$16"}</definedName>
    <definedName name="k">#REF!</definedName>
    <definedName name="kcong">#REF!</definedName>
    <definedName name="KH_Chang">#REF!</definedName>
    <definedName name="Khac">#REF!</definedName>
    <definedName name="Khäúi_læåüng">#REF!</definedName>
    <definedName name="KhuCN">#REF!</definedName>
    <definedName name="Kiem_tra_trung_ten">#REF!</definedName>
    <definedName name="KLTHDN">#REF!</definedName>
    <definedName name="KLVANKHUON">#REF!</definedName>
    <definedName name="kp1ph">#REF!</definedName>
    <definedName name="KSTK">#REF!</definedName>
    <definedName name="KVC">#REF!</definedName>
    <definedName name="l">{"'Sheet1'!$L$16"}</definedName>
    <definedName name="L_mong">#REF!</definedName>
    <definedName name="lan">{#N/A,#N/A,TRUE,"BT M200 da 10x20"}</definedName>
    <definedName name="Langnghe">#REF!</definedName>
    <definedName name="li">{"'Sheet1'!$L$16"}</definedName>
    <definedName name="lk">#REF!</definedName>
    <definedName name="LK_hathe">#REF!</definedName>
    <definedName name="Lmk">#REF!</definedName>
    <definedName name="Loai_TD">#REF!</definedName>
    <definedName name="lVC">#REF!</definedName>
    <definedName name="m">#REF!</definedName>
    <definedName name="M10aavc">#REF!</definedName>
    <definedName name="M12ba3p">#REF!</definedName>
    <definedName name="M12bb1p">#REF!</definedName>
    <definedName name="M12cbnc">#REF!</definedName>
    <definedName name="M12cbvl">#REF!</definedName>
    <definedName name="M14bb1p">#REF!</definedName>
    <definedName name="m8aanc">#REF!</definedName>
    <definedName name="m8aavl">#REF!</definedName>
    <definedName name="Ma3pnc">#REF!</definedName>
    <definedName name="Ma3pvl">#REF!</definedName>
    <definedName name="Maa3pnc">#REF!</definedName>
    <definedName name="Maa3pvl">#REF!</definedName>
    <definedName name="Maïy">#REF!</definedName>
    <definedName name="MAJ_CON_EQP">#REF!</definedName>
    <definedName name="Maùy_bieán_aùp_löïc_110_22_15KV___40MVA">#REF!</definedName>
    <definedName name="MAVANKHUON">#REF!</definedName>
    <definedName name="MAVLTHDN">#REF!</definedName>
    <definedName name="Mba1p">#REF!</definedName>
    <definedName name="Mba3p">#REF!</definedName>
    <definedName name="Mbb3p">#REF!</definedName>
    <definedName name="Mbn1p">#REF!</definedName>
    <definedName name="mc">#REF!</definedName>
    <definedName name="Mcdn3">#REF!</definedName>
    <definedName name="Mckcung">#REF!</definedName>
    <definedName name="MG_A">#REF!</definedName>
    <definedName name="Mhdn3">#REF!</definedName>
    <definedName name="Moùng">#REF!</definedName>
    <definedName name="MSCT">#REF!</definedName>
    <definedName name="MTMAC12">#REF!</definedName>
    <definedName name="mtram">#REF!</definedName>
    <definedName name="n1pig">#REF!</definedName>
    <definedName name="N1pIGvc">#REF!</definedName>
    <definedName name="n1pind">#REF!</definedName>
    <definedName name="N1pINDvc">#REF!</definedName>
    <definedName name="n1ping">#REF!</definedName>
    <definedName name="N1pINGvc">#REF!</definedName>
    <definedName name="n1pint">#REF!</definedName>
    <definedName name="N1pINTvc">#REF!</definedName>
    <definedName name="N1pNLnc">#REF!</definedName>
    <definedName name="N1pNLvc">#REF!</definedName>
    <definedName name="N1pNLvl">#REF!</definedName>
    <definedName name="na">{"'Sheet1'!$L$16"}</definedName>
    <definedName name="nc">#REF!</definedName>
    <definedName name="nc1p">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T3p">#REF!</definedName>
    <definedName name="Ncdn3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GCT">#REF!</definedName>
    <definedName name="NGNKC">#REF!</definedName>
    <definedName name="NH">#REF!</definedName>
    <definedName name="nhan">#REF!</definedName>
    <definedName name="nhan_2">#REF!</definedName>
    <definedName name="Nhán_cäng">#REF!</definedName>
    <definedName name="Nhdn3">#REF!</definedName>
    <definedName name="Nhdn4">#REF!</definedName>
    <definedName name="nhn">#REF!</definedName>
    <definedName name="NHot">#REF!</definedName>
    <definedName name="nig">#REF!</definedName>
    <definedName name="nig1p">#REF!</definedName>
    <definedName name="nig3p">#REF!</definedName>
    <definedName name="NIGnc">#REF!</definedName>
    <definedName name="nignc1p">#REF!</definedName>
    <definedName name="NIGvc">#REF!</definedName>
    <definedName name="NIGvl">#REF!</definedName>
    <definedName name="nigvl1p">#REF!</definedName>
    <definedName name="nin">#REF!</definedName>
    <definedName name="nin14nc3p">#REF!</definedName>
    <definedName name="nin14vl3p">#REF!</definedName>
    <definedName name="nin1903p">#REF!</definedName>
    <definedName name="nin190nc3p">#REF!</definedName>
    <definedName name="nin190vl3p">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1p">#REF!</definedName>
    <definedName name="nindnc3p">#REF!</definedName>
    <definedName name="NINDvc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3p">#REF!</definedName>
    <definedName name="nl">#REF!</definedName>
    <definedName name="nl1p">#REF!</definedName>
    <definedName name="nl3p">#REF!</definedName>
    <definedName name="nlnc3p">#REF!</definedName>
    <definedName name="nlnc3pha">#REF!</definedName>
    <definedName name="NLTK1p">#REF!</definedName>
    <definedName name="nlvl3p">#REF!</definedName>
    <definedName name="nn">#REF!</definedName>
    <definedName name="nn1p">#REF!</definedName>
    <definedName name="nn3p">#REF!</definedName>
    <definedName name="nnnc3p">#REF!</definedName>
    <definedName name="nnvl3p">#REF!</definedName>
    <definedName name="No">#REF!</definedName>
    <definedName name="NTK">#REF!</definedName>
    <definedName name="OrderTable">#REF!</definedName>
    <definedName name="PA">#REF!</definedName>
    <definedName name="ph">{"'Sheet1'!$L$16"}</definedName>
    <definedName name="phg">{"'Sheet1'!$L$16"}</definedName>
    <definedName name="phu_luc_vua">#REF!</definedName>
    <definedName name="phuog">{"'Sheet1'!$L$16"}</definedName>
    <definedName name="phuong">{"'Sheet1'!$L$16"}</definedName>
    <definedName name="pnn">{"'Sheet1'!$L$16"}</definedName>
    <definedName name="PRICE">#REF!</definedName>
    <definedName name="PRICE1">#REF!</definedName>
    <definedName name="_xlnm.Print_Area" localSheetId="4">'ĐĂK CHUM 1(3)'!$A$2:$I$98</definedName>
    <definedName name="_xlnm.Print_Area" localSheetId="5">'ĐĂK CHUM II(4)'!$A$2:$I$98</definedName>
    <definedName name="_xlnm.Print_Area" localSheetId="18">'ĐĂK HÀ(17)'!$A$2:$I$98</definedName>
    <definedName name="_xlnm.Print_Area" localSheetId="7">'ĐĂK KA(6)'!$A$2:$I$98</definedName>
    <definedName name="_xlnm.Print_Area" localSheetId="9">'ĐĂK NEANG(8)'!$A$2:$I$98</definedName>
    <definedName name="_xlnm.Print_Area" localSheetId="16">'ĐĂK PƠ TRANG(15)'!$A$2:$I$98</definedName>
    <definedName name="_xlnm.Print_Area" localSheetId="11">'ĐĂK SIÊNG(10)'!$A$2:$I$98</definedName>
    <definedName name="_xlnm.Print_Area" localSheetId="15">'KON LING(14)'!$A$2:$I$98</definedName>
    <definedName name="_xlnm.Print_Area" localSheetId="17">'KON PIA(16)'!$A$2:$I$98</definedName>
    <definedName name="_xlnm.Print_Area" localSheetId="12">'KON TUN(11)'!$A$2:$I$98</definedName>
    <definedName name="_xlnm.Print_Area" localSheetId="3">'LONG LEO(2)'!$A$2:$I$98</definedName>
    <definedName name="_xlnm.Print_Area" localSheetId="13">'MÔ PẢ(12)'!$A$2:$I$98</definedName>
    <definedName name="_xlnm.Print_Area" localSheetId="10">'NGỌC LEANG(9)'!$A$2:$I$98</definedName>
    <definedName name="_xlnm.Print_Area" localSheetId="0">'PL 01'!$A$1:$J$105</definedName>
    <definedName name="_xlnm.Print_Area" localSheetId="1">'PL 02'!$A$1:$J$124</definedName>
    <definedName name="_xlnm.Print_Area" localSheetId="6">'TU CẤP(5)'!$A$2:$I$98</definedName>
    <definedName name="_xlnm.Print_Area" localSheetId="2">'TUMO RONG (1)'!$A$2:$I$98</definedName>
    <definedName name="_xlnm.Print_Area" localSheetId="14">'TY TU(13)'!$A$2:$I$98</definedName>
    <definedName name="_xlnm.Print_Area" localSheetId="8">'VĂN SANG(7)'!$A$2:$I$98</definedName>
    <definedName name="_xlnm.Print_Titles" localSheetId="4">'ĐĂK CHUM 1(3)'!$7:$8</definedName>
    <definedName name="_xlnm.Print_Titles" localSheetId="5">'ĐĂK CHUM II(4)'!$7:$8</definedName>
    <definedName name="_xlnm.Print_Titles" localSheetId="18">'ĐĂK HÀ(17)'!$7:$8</definedName>
    <definedName name="_xlnm.Print_Titles" localSheetId="7">'ĐĂK KA(6)'!$7:$8</definedName>
    <definedName name="_xlnm.Print_Titles" localSheetId="9">'ĐĂK NEANG(8)'!$7:$8</definedName>
    <definedName name="_xlnm.Print_Titles" localSheetId="16">'ĐĂK PƠ TRANG(15)'!$7:$8</definedName>
    <definedName name="_xlnm.Print_Titles" localSheetId="11">'ĐĂK SIÊNG(10)'!$7:$8</definedName>
    <definedName name="_xlnm.Print_Titles" localSheetId="15">'KON LING(14)'!$7:$8</definedName>
    <definedName name="_xlnm.Print_Titles" localSheetId="17">'KON PIA(16)'!$7:$8</definedName>
    <definedName name="_xlnm.Print_Titles" localSheetId="12">'KON TUN(11)'!$7:$8</definedName>
    <definedName name="_xlnm.Print_Titles" localSheetId="3">'LONG LEO(2)'!$7:$8</definedName>
    <definedName name="_xlnm.Print_Titles" localSheetId="13">'MÔ PẢ(12)'!$7:$8</definedName>
    <definedName name="_xlnm.Print_Titles" localSheetId="10">'NGỌC LEANG(9)'!$7:$8</definedName>
    <definedName name="_xlnm.Print_Titles" localSheetId="0">'PL 01'!$4:$5</definedName>
    <definedName name="_xlnm.Print_Titles" localSheetId="1">'PL 02'!$5:$6</definedName>
    <definedName name="_xlnm.Print_Titles" localSheetId="6">'TU CẤP(5)'!$7:$8</definedName>
    <definedName name="_xlnm.Print_Titles" localSheetId="2">'TUMO RONG (1)'!$7:$8</definedName>
    <definedName name="_xlnm.Print_Titles" localSheetId="14">'TY TU(13)'!$7:$8</definedName>
    <definedName name="_xlnm.Print_Titles" localSheetId="8">'VĂN SANG(7)'!$7:$8</definedName>
    <definedName name="Print_Titles_MI">#REF!</definedName>
    <definedName name="PRINTA">#REF!</definedName>
    <definedName name="PRINTA_2">#REF!</definedName>
    <definedName name="PRINTB">#REF!</definedName>
    <definedName name="PRINTB_2">#REF!</definedName>
    <definedName name="PRINTC">#REF!</definedName>
    <definedName name="PRINTC_2">#REF!</definedName>
    <definedName name="ProdForm">#REF!</definedName>
    <definedName name="Product">#REF!</definedName>
    <definedName name="PROPOSAL">#REF!</definedName>
    <definedName name="PT_Duong">#REF!</definedName>
    <definedName name="ptdg">#REF!</definedName>
    <definedName name="PTDG_cau">#REF!</definedName>
    <definedName name="pvd">#REF!</definedName>
    <definedName name="q">#REF!</definedName>
    <definedName name="QTRON">#REF!</definedName>
    <definedName name="ra11p">#REF!</definedName>
    <definedName name="ra13p">#REF!</definedName>
    <definedName name="rate">14000</definedName>
    <definedName name="RCArea">#REF!</definedName>
    <definedName name="RECOUT">#REF!</definedName>
    <definedName name="RECOUT_2">NA()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SCH">#REF!</definedName>
    <definedName name="sd1p">#REF!</definedName>
    <definedName name="SDMONG">#REF!</definedName>
    <definedName name="sht1p">#REF!</definedName>
    <definedName name="SHTTK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NKC">#REF!</definedName>
    <definedName name="soc3p">#REF!</definedName>
    <definedName name="solieu">#REF!</definedName>
    <definedName name="SORT">#REF!</definedName>
    <definedName name="SPEC">#REF!</definedName>
    <definedName name="SpecialPrice">#REF!</definedName>
    <definedName name="SPECSUMMARY">#REF!</definedName>
    <definedName name="SPSCO">#REF!</definedName>
    <definedName name="SPSNO">#REF!</definedName>
    <definedName name="st1p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BCPC1">#REF!</definedName>
    <definedName name="STBCPC2">#REF!</definedName>
    <definedName name="STBCPT1">#REF!</definedName>
    <definedName name="STBCPT2">#REF!</definedName>
    <definedName name="STTK">#REF!</definedName>
    <definedName name="sub">#REF!</definedName>
    <definedName name="SUMMARY">#REF!</definedName>
    <definedName name="SUMMARY_2">#REF!</definedName>
    <definedName name="sur">#REF!</definedName>
    <definedName name="T">#REF!</definedName>
    <definedName name="t101p">#REF!</definedName>
    <definedName name="t103p">#REF!</definedName>
    <definedName name="t10nc1p">#REF!</definedName>
    <definedName name="T10vc">#REF!</definedName>
    <definedName name="t10vl1p">#REF!</definedName>
    <definedName name="t121p">#REF!</definedName>
    <definedName name="t123p">#REF!</definedName>
    <definedName name="T12vc">#REF!</definedName>
    <definedName name="t141p">#REF!</definedName>
    <definedName name="t143p">#REF!</definedName>
    <definedName name="t14nc3p">#REF!</definedName>
    <definedName name="t14vl3p">#REF!</definedName>
    <definedName name="TAM">#REF!</definedName>
    <definedName name="Taptrung">#REF!</definedName>
    <definedName name="TaxTV">10%</definedName>
    <definedName name="TaxXL">5%</definedName>
    <definedName name="TBA">#REF!</definedName>
    <definedName name="TBH">#REF!</definedName>
    <definedName name="tbl_ProdInfo">#REF!</definedName>
    <definedName name="tbtram">#REF!</definedName>
    <definedName name="TBXD">#REF!</definedName>
    <definedName name="TC">#REF!</definedName>
    <definedName name="TC_NHANH1">#REF!</definedName>
    <definedName name="TD12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3p">#REF!</definedName>
    <definedName name="TDctnc">#REF!</definedName>
    <definedName name="TDctvc">#REF!</definedName>
    <definedName name="TDctvl">#REF!</definedName>
    <definedName name="TDmnc">#REF!</definedName>
    <definedName name="TDmvc">#REF!</definedName>
    <definedName name="TDmvl">#REF!</definedName>
    <definedName name="tdnc1p">#REF!</definedName>
    <definedName name="tdtr2cnc">#REF!</definedName>
    <definedName name="tdtr2cvl">#REF!</definedName>
    <definedName name="tdvl1p">#REF!</definedName>
    <definedName name="th_da_son">#REF!</definedName>
    <definedName name="tham">{"'Sheet1'!$L$16"}</definedName>
    <definedName name="THGO1pnc">#REF!</definedName>
    <definedName name="thht">#REF!</definedName>
    <definedName name="THI">#REF!</definedName>
    <definedName name="THI_2">#REF!</definedName>
    <definedName name="thkp3">#REF!</definedName>
    <definedName name="thßngbaovon">#REF!</definedName>
    <definedName name="THT">#REF!</definedName>
    <definedName name="thtt">#REF!</definedName>
    <definedName name="Thuysan_2">#REF!</definedName>
    <definedName name="Tien">#REF!</definedName>
    <definedName name="Tinhoc_2">#REF!</definedName>
    <definedName name="TITAN">#REF!</definedName>
    <definedName name="TK10.7.2008">{"'Sheet1'!$L$16"}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ONGDUTOAN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L">#REF!</definedName>
    <definedName name="TRADE2">#REF!</definedName>
    <definedName name="TRAM">#REF!</definedName>
    <definedName name="TRAVL">#REF!</definedName>
    <definedName name="TRON">#REF!</definedName>
    <definedName name="Tru">#REF!</definedName>
    <definedName name="Trusoxa_2">#REF!</definedName>
    <definedName name="Truyenhinh_2">#REF!</definedName>
    <definedName name="TT_1P">#REF!</definedName>
    <definedName name="TT_3p">#REF!</definedName>
    <definedName name="ttbt">#REF!</definedName>
    <definedName name="tthi">#REF!</definedName>
    <definedName name="TTHUE">#REF!</definedName>
    <definedName name="ttronmk">#REF!</definedName>
    <definedName name="ttttt">{"'Sheet1'!$L$16"}</definedName>
    <definedName name="TTTTTTTTT">{"'Sheet1'!$L$16"}</definedName>
    <definedName name="ttttttttttt">{"'Sheet1'!$L$16"}</definedName>
    <definedName name="tv75nc">#REF!</definedName>
    <definedName name="tv75vl">#REF!</definedName>
    <definedName name="ty_le">#REF!</definedName>
    <definedName name="ty_le_BTN">#REF!</definedName>
    <definedName name="Ty_le1">#REF!</definedName>
    <definedName name="u">{"'Sheet1'!$L$16"}</definedName>
    <definedName name="ư">{"'Sheet1'!$L$16"}</definedName>
    <definedName name="v">{"'Sheet1'!$L$16"}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RIINST">#REF!</definedName>
    <definedName name="VARIPURC">#REF!</definedName>
    <definedName name="VatTu">#REF!</definedName>
    <definedName name="Váût_liãûu">#REF!</definedName>
    <definedName name="vbtchongnuocm300">#REF!</definedName>
    <definedName name="vbtm150">#REF!</definedName>
    <definedName name="vbtm300">#REF!</definedName>
    <definedName name="vbtm400">#REF!</definedName>
    <definedName name="vccot">#REF!</definedName>
    <definedName name="VCDD1P">#REF!</definedName>
    <definedName name="VCDDCT3p">#REF!</definedName>
    <definedName name="VCDDMBA">#REF!</definedName>
    <definedName name="Vcdn3">#REF!</definedName>
    <definedName name="VCHT">#REF!</definedName>
    <definedName name="Vckcung">#REF!</definedName>
    <definedName name="vctb">#REF!</definedName>
    <definedName name="VCTT">#REF!</definedName>
    <definedName name="vd3p">#REF!</definedName>
    <definedName name="Vhdn3">#REF!</definedName>
    <definedName name="vkcauthang">#REF!</definedName>
    <definedName name="vksan">#REF!</definedName>
    <definedName name="vl">#REF!</definedName>
    <definedName name="VL_RC1">#REF!</definedName>
    <definedName name="VL_RC2">#REF!</definedName>
    <definedName name="VL_Rnha">#REF!</definedName>
    <definedName name="VL_RS">#REF!</definedName>
    <definedName name="vl1p">#REF!</definedName>
    <definedName name="vl3p">#REF!</definedName>
    <definedName name="Vlcap0.7">#REF!</definedName>
    <definedName name="VLcap1">#REF!</definedName>
    <definedName name="VLCT3p">#REF!</definedName>
    <definedName name="vldn400">#REF!</definedName>
    <definedName name="vldn600">#REF!</definedName>
    <definedName name="VLM">#REF!</definedName>
    <definedName name="vltram">#REF!</definedName>
    <definedName name="voc">#REF!</definedName>
    <definedName name="Vonnuocngoai">#REF!</definedName>
    <definedName name="vr3p">#REF!</definedName>
    <definedName name="vt">#REF!</definedName>
    <definedName name="VungTL">#REF!</definedName>
    <definedName name="Vuonquocgia_2">#REF!</definedName>
    <definedName name="W">#REF!</definedName>
    <definedName name="wrn.Bang._.ke._.nhan._.hang.">{#N/A,#N/A,FALSE,"Ke khai NH"}</definedName>
    <definedName name="wrn.Che._.do._.duoc._.huong.">{#N/A,#N/A,FALSE,"BN (2)"}</definedName>
    <definedName name="wrn.chi._.tiÆt.">{#N/A,#N/A,FALSE,"Chi tiÆt"}</definedName>
    <definedName name="wrn.Giáy._.bao._.no.">{#N/A,#N/A,FALSE,"BN"}</definedName>
    <definedName name="wrn.vd.">{#N/A,#N/A,TRUE,"BT M200 da 10x20"}</definedName>
    <definedName name="X">#REF!</definedName>
    <definedName name="x1pind">#REF!</definedName>
    <definedName name="X1pINDvc">#REF!</definedName>
    <definedName name="x1ping">#REF!</definedName>
    <definedName name="X1pINGvc">#REF!</definedName>
    <definedName name="x1pint">#REF!</definedName>
    <definedName name="XCCT">0.5</definedName>
    <definedName name="XE">#REF!</definedName>
    <definedName name="xfco">#REF!</definedName>
    <definedName name="xfco3p">#REF!</definedName>
    <definedName name="xfcotnc">#REF!</definedName>
    <definedName name="xfcotvl">#REF!</definedName>
    <definedName name="XFCOvc">#REF!</definedName>
    <definedName name="xh">#REF!</definedName>
    <definedName name="xhn">#REF!</definedName>
    <definedName name="xig">#REF!</definedName>
    <definedName name="xig1p">#REF!</definedName>
    <definedName name="xig3p">#REF!</definedName>
    <definedName name="xignc3p">#REF!</definedName>
    <definedName name="XIGvc">#REF!</definedName>
    <definedName name="xigvl3p">#REF!</definedName>
    <definedName name="xin">#REF!</definedName>
    <definedName name="xin1903p">#REF!</definedName>
    <definedName name="XIN190vc">#REF!</definedName>
    <definedName name="xin2903p">#REF!</definedName>
    <definedName name="xin290nc3p">#REF!</definedName>
    <definedName name="xin290vl3p">#REF!</definedName>
    <definedName name="xin3p">#REF!</definedName>
    <definedName name="xind">#REF!</definedName>
    <definedName name="xind1p">#REF!</definedName>
    <definedName name="xind3p">#REF!</definedName>
    <definedName name="xindnc1p">#REF!</definedName>
    <definedName name="XINDvc">#REF!</definedName>
    <definedName name="xindvl1p">#REF!</definedName>
    <definedName name="xing1p">#REF!</definedName>
    <definedName name="xingnc1p">#REF!</definedName>
    <definedName name="xingvl1p">#REF!</definedName>
    <definedName name="xinnc3p">#REF!</definedName>
    <definedName name="xint1p">#REF!</definedName>
    <definedName name="XINvc">#REF!</definedName>
    <definedName name="xinvl3p">#REF!</definedName>
    <definedName name="xit">#REF!</definedName>
    <definedName name="xit1p">#REF!</definedName>
    <definedName name="xit2nc3p">#REF!</definedName>
    <definedName name="xit2vl3p">#REF!</definedName>
    <definedName name="xit3p">#REF!</definedName>
    <definedName name="xitnc3p">#REF!</definedName>
    <definedName name="XITvc">#REF!</definedName>
    <definedName name="xitvl3p">#REF!</definedName>
    <definedName name="xmcax">#REF!</definedName>
    <definedName name="xn">#REF!</definedName>
    <definedName name="XSKT_2">#REF!</definedName>
    <definedName name="y">#REF!</definedName>
    <definedName name="Yte_2">#REF!</definedName>
    <definedName name="z">#REF!</definedName>
    <definedName name="zdhdh">{"'Sheet1'!$L$16"}</definedName>
    <definedName name="ZXD">#REF!</definedName>
    <definedName name="ZYX">#REF!</definedName>
    <definedName name="ZZZ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H34" i="21"/>
  <c r="G47" i="2"/>
  <c r="G89" i="2"/>
  <c r="G91" i="2"/>
  <c r="G93" i="2"/>
  <c r="G94" i="2"/>
  <c r="A3" i="24"/>
  <c r="F75" i="24"/>
  <c r="I9" i="24"/>
  <c r="I15" i="24"/>
  <c r="I16" i="24"/>
  <c r="I18" i="24"/>
  <c r="I19" i="24"/>
  <c r="I21" i="24"/>
  <c r="I22" i="24"/>
  <c r="I23" i="24"/>
  <c r="I24" i="24"/>
  <c r="I27" i="24"/>
  <c r="I28" i="24"/>
  <c r="I29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50" i="24"/>
  <c r="I51" i="24"/>
  <c r="I54" i="24"/>
  <c r="I56" i="24"/>
  <c r="I57" i="24"/>
  <c r="I58" i="24"/>
  <c r="I59" i="24"/>
  <c r="I60" i="24"/>
  <c r="I61" i="24"/>
  <c r="I62" i="24"/>
  <c r="I63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3" i="24"/>
  <c r="I84" i="24"/>
  <c r="I85" i="24"/>
  <c r="I86" i="24"/>
  <c r="I87" i="24"/>
  <c r="I88" i="24"/>
  <c r="I90" i="24"/>
  <c r="I91" i="24"/>
  <c r="I92" i="24"/>
  <c r="I93" i="24"/>
  <c r="I94" i="24"/>
  <c r="I99" i="24"/>
  <c r="I105" i="24"/>
  <c r="I106" i="24"/>
  <c r="I107" i="24"/>
  <c r="I109" i="24"/>
  <c r="I110" i="24"/>
  <c r="I111" i="24"/>
  <c r="I112" i="24"/>
  <c r="I113" i="24"/>
  <c r="I114" i="24"/>
  <c r="I116" i="24"/>
  <c r="I117" i="24"/>
  <c r="I118" i="24"/>
  <c r="I120" i="24"/>
  <c r="I121" i="24"/>
  <c r="I122" i="24"/>
  <c r="I123" i="24"/>
  <c r="I124" i="24"/>
  <c r="I7" i="24"/>
  <c r="F104" i="24"/>
  <c r="F52" i="24"/>
  <c r="I52" i="24" s="1"/>
  <c r="F32" i="24"/>
  <c r="I32" i="24" s="1"/>
  <c r="F30" i="24"/>
  <c r="I30" i="24" s="1"/>
  <c r="F12" i="24"/>
  <c r="I12" i="24" s="1"/>
  <c r="F13" i="24" l="1"/>
  <c r="F14" i="24" l="1"/>
  <c r="I14" i="24" s="1"/>
  <c r="I13" i="24"/>
  <c r="F17" i="24" l="1"/>
  <c r="I17" i="24" s="1"/>
  <c r="F25" i="24"/>
  <c r="I25" i="24" s="1"/>
  <c r="H130" i="24"/>
  <c r="H129" i="24"/>
  <c r="H128" i="24"/>
  <c r="H126" i="24"/>
  <c r="F126" i="24" s="1"/>
  <c r="E31" i="24"/>
  <c r="D31" i="24"/>
  <c r="E29" i="24"/>
  <c r="D27" i="24"/>
  <c r="D29" i="24" s="1"/>
  <c r="D13" i="24"/>
  <c r="D24" i="24" s="1"/>
  <c r="D16" i="24" l="1"/>
  <c r="P32" i="24"/>
  <c r="G93" i="21" l="1"/>
  <c r="G92" i="21"/>
  <c r="G91" i="21"/>
  <c r="G90" i="21"/>
  <c r="G89" i="21"/>
  <c r="G43" i="21"/>
  <c r="G45" i="21" s="1"/>
  <c r="G93" i="20"/>
  <c r="G92" i="20"/>
  <c r="G91" i="20"/>
  <c r="G90" i="20"/>
  <c r="G89" i="20"/>
  <c r="G43" i="20"/>
  <c r="G45" i="20" s="1"/>
  <c r="G93" i="19"/>
  <c r="G91" i="19"/>
  <c r="G90" i="19"/>
  <c r="G89" i="19"/>
  <c r="G88" i="19" s="1"/>
  <c r="G43" i="19"/>
  <c r="G93" i="18"/>
  <c r="G92" i="18"/>
  <c r="G91" i="18"/>
  <c r="G90" i="18"/>
  <c r="G88" i="18" s="1"/>
  <c r="G43" i="18"/>
  <c r="G45" i="18" s="1"/>
  <c r="G93" i="17"/>
  <c r="G91" i="17"/>
  <c r="G90" i="17"/>
  <c r="G89" i="17"/>
  <c r="G43" i="17"/>
  <c r="G93" i="16"/>
  <c r="G92" i="16"/>
  <c r="G91" i="16"/>
  <c r="G90" i="16"/>
  <c r="G89" i="16"/>
  <c r="G43" i="16"/>
  <c r="G93" i="15"/>
  <c r="G92" i="15"/>
  <c r="G91" i="15"/>
  <c r="G90" i="15"/>
  <c r="G89" i="15"/>
  <c r="G43" i="15"/>
  <c r="G45" i="15" s="1"/>
  <c r="G93" i="23"/>
  <c r="G91" i="23"/>
  <c r="G90" i="23"/>
  <c r="G89" i="23"/>
  <c r="G43" i="23"/>
  <c r="G45" i="23" s="1"/>
  <c r="G93" i="14"/>
  <c r="G91" i="14"/>
  <c r="G90" i="14"/>
  <c r="G89" i="14"/>
  <c r="G88" i="14" s="1"/>
  <c r="G43" i="14"/>
  <c r="G45" i="14" s="1"/>
  <c r="G93" i="13"/>
  <c r="G91" i="13"/>
  <c r="G90" i="13"/>
  <c r="G89" i="13"/>
  <c r="G43" i="13"/>
  <c r="G45" i="13" s="1"/>
  <c r="G93" i="22"/>
  <c r="G91" i="22"/>
  <c r="G90" i="22"/>
  <c r="G89" i="22"/>
  <c r="G88" i="22" s="1"/>
  <c r="G43" i="22"/>
  <c r="G45" i="22" s="1"/>
  <c r="G93" i="12"/>
  <c r="G91" i="12"/>
  <c r="G89" i="12"/>
  <c r="G90" i="12"/>
  <c r="G43" i="12"/>
  <c r="G45" i="12" s="1"/>
  <c r="G93" i="10"/>
  <c r="G91" i="10"/>
  <c r="G90" i="10"/>
  <c r="G89" i="10"/>
  <c r="G43" i="10"/>
  <c r="G45" i="10" s="1"/>
  <c r="G93" i="9"/>
  <c r="G91" i="9"/>
  <c r="G90" i="9"/>
  <c r="G88" i="9" s="1"/>
  <c r="G89" i="9"/>
  <c r="G43" i="9"/>
  <c r="G45" i="9" s="1"/>
  <c r="G93" i="8"/>
  <c r="G91" i="8"/>
  <c r="G90" i="8"/>
  <c r="G89" i="8"/>
  <c r="G43" i="8"/>
  <c r="G93" i="7"/>
  <c r="G91" i="7"/>
  <c r="G90" i="7"/>
  <c r="G89" i="7"/>
  <c r="G43" i="7"/>
  <c r="G45" i="7" s="1"/>
  <c r="G93" i="6"/>
  <c r="G92" i="6"/>
  <c r="G91" i="6"/>
  <c r="G90" i="6"/>
  <c r="G89" i="6"/>
  <c r="G43" i="6"/>
  <c r="H17" i="18"/>
  <c r="H22" i="18"/>
  <c r="H23" i="18"/>
  <c r="H26" i="18"/>
  <c r="H34" i="18"/>
  <c r="H35" i="18"/>
  <c r="H37" i="18"/>
  <c r="H38" i="18"/>
  <c r="H40" i="18"/>
  <c r="H41" i="18"/>
  <c r="H43" i="18"/>
  <c r="H44" i="18"/>
  <c r="H50" i="18"/>
  <c r="H59" i="18"/>
  <c r="H60" i="18"/>
  <c r="H62" i="18"/>
  <c r="H63" i="18"/>
  <c r="H75" i="18"/>
  <c r="H87" i="18"/>
  <c r="H16" i="19"/>
  <c r="H17" i="19"/>
  <c r="H22" i="19"/>
  <c r="H23" i="19"/>
  <c r="H26" i="19"/>
  <c r="H34" i="19"/>
  <c r="H35" i="19"/>
  <c r="H37" i="19"/>
  <c r="H38" i="19"/>
  <c r="H40" i="19"/>
  <c r="H41" i="19"/>
  <c r="H43" i="19"/>
  <c r="H44" i="19"/>
  <c r="H50" i="19"/>
  <c r="H59" i="19"/>
  <c r="H60" i="19"/>
  <c r="H62" i="19"/>
  <c r="H63" i="19"/>
  <c r="H82" i="19"/>
  <c r="H87" i="19"/>
  <c r="H16" i="20"/>
  <c r="H17" i="20"/>
  <c r="H22" i="20"/>
  <c r="H23" i="20"/>
  <c r="H34" i="20"/>
  <c r="H35" i="20"/>
  <c r="H37" i="20"/>
  <c r="H38" i="20"/>
  <c r="H40" i="20"/>
  <c r="H41" i="20"/>
  <c r="H43" i="20"/>
  <c r="H44" i="20"/>
  <c r="H50" i="20"/>
  <c r="H51" i="20"/>
  <c r="H59" i="20"/>
  <c r="H60" i="20"/>
  <c r="H62" i="20"/>
  <c r="H63" i="20"/>
  <c r="H65" i="20"/>
  <c r="H82" i="20"/>
  <c r="H87" i="20"/>
  <c r="H95" i="20"/>
  <c r="H97" i="20"/>
  <c r="H16" i="21"/>
  <c r="H17" i="21"/>
  <c r="H22" i="21"/>
  <c r="H23" i="21"/>
  <c r="H25" i="21"/>
  <c r="H26" i="21"/>
  <c r="H35" i="21"/>
  <c r="H37" i="21"/>
  <c r="H38" i="21"/>
  <c r="H40" i="21"/>
  <c r="H41" i="21"/>
  <c r="H43" i="21"/>
  <c r="H44" i="21"/>
  <c r="H59" i="21"/>
  <c r="H60" i="21"/>
  <c r="H62" i="21"/>
  <c r="H63" i="21"/>
  <c r="H65" i="21"/>
  <c r="H82" i="21"/>
  <c r="H87" i="21"/>
  <c r="H95" i="21"/>
  <c r="H98" i="21"/>
  <c r="H16" i="17"/>
  <c r="H17" i="17"/>
  <c r="H18" i="17"/>
  <c r="H22" i="17"/>
  <c r="H23" i="17"/>
  <c r="H25" i="17"/>
  <c r="H26" i="17"/>
  <c r="H34" i="17"/>
  <c r="H35" i="17"/>
  <c r="H38" i="17"/>
  <c r="H40" i="17"/>
  <c r="H41" i="17"/>
  <c r="H43" i="17"/>
  <c r="H44" i="17"/>
  <c r="H50" i="17"/>
  <c r="H51" i="17"/>
  <c r="H59" i="17"/>
  <c r="H60" i="17"/>
  <c r="H62" i="17"/>
  <c r="H63" i="17"/>
  <c r="H65" i="17"/>
  <c r="H87" i="17"/>
  <c r="H91" i="17"/>
  <c r="H95" i="17"/>
  <c r="H97" i="17"/>
  <c r="H16" i="16"/>
  <c r="H17" i="16"/>
  <c r="H22" i="16"/>
  <c r="H23" i="16"/>
  <c r="H34" i="16"/>
  <c r="H35" i="16"/>
  <c r="H37" i="16"/>
  <c r="H38" i="16"/>
  <c r="H40" i="16"/>
  <c r="H41" i="16"/>
  <c r="H43" i="16"/>
  <c r="H44" i="16"/>
  <c r="H50" i="16"/>
  <c r="H51" i="16"/>
  <c r="H59" i="16"/>
  <c r="H60" i="16"/>
  <c r="H62" i="16"/>
  <c r="H63" i="16"/>
  <c r="H65" i="16"/>
  <c r="H82" i="16"/>
  <c r="H87" i="16"/>
  <c r="H95" i="16"/>
  <c r="H17" i="15"/>
  <c r="H23" i="15"/>
  <c r="H34" i="15"/>
  <c r="H35" i="15"/>
  <c r="H37" i="15"/>
  <c r="H38" i="15"/>
  <c r="H40" i="15"/>
  <c r="H41" i="15"/>
  <c r="H43" i="15"/>
  <c r="H44" i="15"/>
  <c r="H50" i="15"/>
  <c r="H51" i="15"/>
  <c r="H59" i="15"/>
  <c r="H60" i="15"/>
  <c r="H62" i="15"/>
  <c r="H63" i="15"/>
  <c r="H70" i="15"/>
  <c r="H77" i="15"/>
  <c r="H82" i="15"/>
  <c r="H87" i="15"/>
  <c r="H95" i="15"/>
  <c r="H97" i="15"/>
  <c r="H98" i="15"/>
  <c r="H17" i="23"/>
  <c r="H23" i="23"/>
  <c r="H26" i="23"/>
  <c r="H34" i="23"/>
  <c r="H35" i="23"/>
  <c r="H37" i="23"/>
  <c r="H38" i="23"/>
  <c r="H40" i="23"/>
  <c r="H41" i="23"/>
  <c r="H43" i="23"/>
  <c r="H44" i="23"/>
  <c r="H50" i="23"/>
  <c r="H59" i="23"/>
  <c r="H60" i="23"/>
  <c r="H62" i="23"/>
  <c r="H63" i="23"/>
  <c r="H70" i="23"/>
  <c r="H82" i="23"/>
  <c r="H87" i="23"/>
  <c r="H16" i="14"/>
  <c r="H17" i="14"/>
  <c r="H22" i="14"/>
  <c r="H23" i="14"/>
  <c r="H34" i="14"/>
  <c r="H35" i="14"/>
  <c r="H37" i="14"/>
  <c r="H38" i="14"/>
  <c r="H40" i="14"/>
  <c r="H41" i="14"/>
  <c r="H43" i="14"/>
  <c r="H44" i="14"/>
  <c r="H50" i="14"/>
  <c r="H59" i="14"/>
  <c r="H60" i="14"/>
  <c r="H62" i="14"/>
  <c r="H63" i="14"/>
  <c r="H70" i="14"/>
  <c r="H77" i="14"/>
  <c r="H82" i="14"/>
  <c r="H87" i="14"/>
  <c r="H95" i="14"/>
  <c r="H16" i="13"/>
  <c r="H17" i="13"/>
  <c r="H22" i="13"/>
  <c r="H23" i="13"/>
  <c r="H34" i="13"/>
  <c r="H35" i="13"/>
  <c r="H37" i="13"/>
  <c r="H38" i="13"/>
  <c r="H40" i="13"/>
  <c r="H41" i="13"/>
  <c r="H43" i="13"/>
  <c r="H44" i="13"/>
  <c r="H50" i="13"/>
  <c r="H59" i="13"/>
  <c r="H60" i="13"/>
  <c r="H62" i="13"/>
  <c r="H63" i="13"/>
  <c r="H82" i="13"/>
  <c r="H87" i="13"/>
  <c r="H97" i="13"/>
  <c r="H16" i="22"/>
  <c r="H17" i="22"/>
  <c r="H22" i="22"/>
  <c r="H23" i="22"/>
  <c r="H26" i="22"/>
  <c r="H34" i="22"/>
  <c r="H35" i="22"/>
  <c r="H37" i="22"/>
  <c r="H38" i="22"/>
  <c r="H41" i="22"/>
  <c r="H43" i="22"/>
  <c r="H44" i="22"/>
  <c r="H50" i="22"/>
  <c r="H59" i="22"/>
  <c r="H60" i="22"/>
  <c r="H62" i="22"/>
  <c r="H63" i="22"/>
  <c r="H82" i="22"/>
  <c r="H87" i="22"/>
  <c r="H16" i="12"/>
  <c r="H17" i="12"/>
  <c r="H22" i="12"/>
  <c r="H23" i="12"/>
  <c r="H34" i="12"/>
  <c r="H35" i="12"/>
  <c r="H37" i="12"/>
  <c r="H38" i="12"/>
  <c r="H41" i="12"/>
  <c r="H43" i="12"/>
  <c r="H44" i="12"/>
  <c r="H50" i="12"/>
  <c r="H59" i="12"/>
  <c r="H60" i="12"/>
  <c r="H62" i="12"/>
  <c r="H63" i="12"/>
  <c r="H87" i="12"/>
  <c r="H98" i="12"/>
  <c r="H16" i="10"/>
  <c r="H17" i="10"/>
  <c r="H22" i="10"/>
  <c r="H23" i="10"/>
  <c r="H34" i="10"/>
  <c r="H35" i="10"/>
  <c r="H37" i="10"/>
  <c r="H38" i="10"/>
  <c r="H41" i="10"/>
  <c r="H43" i="10"/>
  <c r="H44" i="10"/>
  <c r="H50" i="10"/>
  <c r="H59" i="10"/>
  <c r="H60" i="10"/>
  <c r="H62" i="10"/>
  <c r="H63" i="10"/>
  <c r="H82" i="10"/>
  <c r="H87" i="10"/>
  <c r="H50" i="9"/>
  <c r="H59" i="9"/>
  <c r="H60" i="9"/>
  <c r="H62" i="9"/>
  <c r="H63" i="9"/>
  <c r="H87" i="9"/>
  <c r="H43" i="9"/>
  <c r="H44" i="9"/>
  <c r="H41" i="9"/>
  <c r="H35" i="9"/>
  <c r="H37" i="9"/>
  <c r="H38" i="9"/>
  <c r="H34" i="9"/>
  <c r="H22" i="9"/>
  <c r="H23" i="9"/>
  <c r="H25" i="9"/>
  <c r="H26" i="9"/>
  <c r="H16" i="9"/>
  <c r="H17" i="9"/>
  <c r="H97" i="8"/>
  <c r="H87" i="8"/>
  <c r="H82" i="8"/>
  <c r="H77" i="8"/>
  <c r="H70" i="8"/>
  <c r="H65" i="8"/>
  <c r="H62" i="8"/>
  <c r="H63" i="8"/>
  <c r="H59" i="8"/>
  <c r="H60" i="8"/>
  <c r="H53" i="8"/>
  <c r="H50" i="8"/>
  <c r="H43" i="8"/>
  <c r="H44" i="8"/>
  <c r="H38" i="8"/>
  <c r="H41" i="8"/>
  <c r="H35" i="8"/>
  <c r="H37" i="8"/>
  <c r="H34" i="8"/>
  <c r="H26" i="8"/>
  <c r="H23" i="8"/>
  <c r="H25" i="8"/>
  <c r="H22" i="8"/>
  <c r="H17" i="8"/>
  <c r="H16" i="8"/>
  <c r="H23" i="7"/>
  <c r="H34" i="7"/>
  <c r="H35" i="7"/>
  <c r="H37" i="7"/>
  <c r="H38" i="7"/>
  <c r="H41" i="7"/>
  <c r="H43" i="7"/>
  <c r="H44" i="7"/>
  <c r="H59" i="7"/>
  <c r="H60" i="7"/>
  <c r="H62" i="7"/>
  <c r="H63" i="7"/>
  <c r="H82" i="7"/>
  <c r="H87" i="7"/>
  <c r="H97" i="7"/>
  <c r="H17" i="7"/>
  <c r="H16" i="7"/>
  <c r="H23" i="6"/>
  <c r="H26" i="6"/>
  <c r="H34" i="6"/>
  <c r="H35" i="6"/>
  <c r="H37" i="6"/>
  <c r="H38" i="6"/>
  <c r="H40" i="6"/>
  <c r="H41" i="6"/>
  <c r="H43" i="6"/>
  <c r="H44" i="6"/>
  <c r="H50" i="6"/>
  <c r="H53" i="6"/>
  <c r="H56" i="6"/>
  <c r="H59" i="6"/>
  <c r="H60" i="6"/>
  <c r="H62" i="6"/>
  <c r="H63" i="6"/>
  <c r="H70" i="6"/>
  <c r="H75" i="6"/>
  <c r="H77" i="6"/>
  <c r="H82" i="6"/>
  <c r="H87" i="6"/>
  <c r="H22" i="6"/>
  <c r="H16" i="6"/>
  <c r="H76" i="2"/>
  <c r="E61" i="6"/>
  <c r="F28" i="6"/>
  <c r="F94" i="17"/>
  <c r="I90" i="2"/>
  <c r="F18" i="22"/>
  <c r="F56" i="7"/>
  <c r="F96" i="22"/>
  <c r="G96" i="22"/>
  <c r="F94" i="22"/>
  <c r="G94" i="22"/>
  <c r="F88" i="22"/>
  <c r="F83" i="22"/>
  <c r="F81" i="22" s="1"/>
  <c r="G83" i="22"/>
  <c r="G73" i="22" s="1"/>
  <c r="E83" i="22"/>
  <c r="H83" i="22" s="1"/>
  <c r="F76" i="22"/>
  <c r="F74" i="22" s="1"/>
  <c r="G76" i="22"/>
  <c r="G74" i="22" s="1"/>
  <c r="F72" i="22"/>
  <c r="G72" i="22"/>
  <c r="F68" i="22"/>
  <c r="G68" i="22"/>
  <c r="F64" i="22"/>
  <c r="G64" i="22"/>
  <c r="F61" i="22"/>
  <c r="G61" i="22"/>
  <c r="F58" i="22"/>
  <c r="G58" i="22"/>
  <c r="F52" i="22"/>
  <c r="G52" i="22"/>
  <c r="F49" i="22"/>
  <c r="G49" i="22"/>
  <c r="G47" i="22" s="1"/>
  <c r="F45" i="22"/>
  <c r="F42" i="22"/>
  <c r="G42" i="22"/>
  <c r="F39" i="22"/>
  <c r="G39" i="22"/>
  <c r="F36" i="22"/>
  <c r="G36" i="22"/>
  <c r="F29" i="22"/>
  <c r="G29" i="22"/>
  <c r="F28" i="22"/>
  <c r="F30" i="22" s="1"/>
  <c r="G28" i="22"/>
  <c r="G30" i="22" s="1"/>
  <c r="F24" i="22"/>
  <c r="G24" i="22"/>
  <c r="F20" i="22"/>
  <c r="G20" i="22"/>
  <c r="G14" i="22" s="1"/>
  <c r="F19" i="22"/>
  <c r="G19" i="22"/>
  <c r="G18" i="22"/>
  <c r="F96" i="13"/>
  <c r="G96" i="13"/>
  <c r="F94" i="13"/>
  <c r="G94" i="13"/>
  <c r="F88" i="13"/>
  <c r="G88" i="13"/>
  <c r="F83" i="13"/>
  <c r="G83" i="13"/>
  <c r="G81" i="13" s="1"/>
  <c r="E83" i="13"/>
  <c r="E76" i="13"/>
  <c r="F76" i="13"/>
  <c r="G76" i="13"/>
  <c r="G74" i="13" s="1"/>
  <c r="F74" i="13"/>
  <c r="F72" i="13"/>
  <c r="G72" i="13"/>
  <c r="F68" i="13"/>
  <c r="F64" i="13"/>
  <c r="F61" i="13"/>
  <c r="G61" i="13"/>
  <c r="F58" i="13"/>
  <c r="G58" i="13"/>
  <c r="G57" i="13"/>
  <c r="G55" i="13" s="1"/>
  <c r="G46" i="13" s="1"/>
  <c r="F52" i="13"/>
  <c r="G52" i="13"/>
  <c r="F49" i="13"/>
  <c r="G49" i="13"/>
  <c r="G47" i="13" s="1"/>
  <c r="F45" i="13"/>
  <c r="F42" i="13"/>
  <c r="G42" i="13"/>
  <c r="F39" i="13"/>
  <c r="G39" i="13"/>
  <c r="F36" i="13"/>
  <c r="G36" i="13"/>
  <c r="F29" i="13"/>
  <c r="G29" i="13"/>
  <c r="F28" i="13"/>
  <c r="G28" i="13"/>
  <c r="F20" i="13"/>
  <c r="F14" i="13" s="1"/>
  <c r="G20" i="13"/>
  <c r="G14" i="13" s="1"/>
  <c r="F19" i="13"/>
  <c r="G19" i="13"/>
  <c r="G13" i="13" s="1"/>
  <c r="F18" i="13"/>
  <c r="G18" i="13"/>
  <c r="F96" i="14"/>
  <c r="G96" i="14"/>
  <c r="F94" i="14"/>
  <c r="G94" i="14"/>
  <c r="F88" i="14"/>
  <c r="E83" i="14"/>
  <c r="F83" i="14"/>
  <c r="H83" i="14" s="1"/>
  <c r="G83" i="14"/>
  <c r="G81" i="14" s="1"/>
  <c r="F81" i="14"/>
  <c r="E76" i="14"/>
  <c r="E73" i="14" s="1"/>
  <c r="F76" i="14"/>
  <c r="G76" i="14"/>
  <c r="G74" i="14"/>
  <c r="F72" i="14"/>
  <c r="G72" i="14"/>
  <c r="E68" i="14"/>
  <c r="H68" i="14" s="1"/>
  <c r="F68" i="14"/>
  <c r="G68" i="14"/>
  <c r="F64" i="14"/>
  <c r="G64" i="14"/>
  <c r="F61" i="14"/>
  <c r="G61" i="14"/>
  <c r="F58" i="14"/>
  <c r="G58" i="14"/>
  <c r="G57" i="14"/>
  <c r="G55" i="14" s="1"/>
  <c r="F52" i="14"/>
  <c r="G52" i="14"/>
  <c r="F49" i="14"/>
  <c r="F47" i="14" s="1"/>
  <c r="G49" i="14"/>
  <c r="G47" i="14" s="1"/>
  <c r="F45" i="14"/>
  <c r="F42" i="14"/>
  <c r="G42" i="14"/>
  <c r="F39" i="14"/>
  <c r="G39" i="14"/>
  <c r="F36" i="14"/>
  <c r="G36" i="14"/>
  <c r="F29" i="14"/>
  <c r="G29" i="14"/>
  <c r="F28" i="14"/>
  <c r="F30" i="14" s="1"/>
  <c r="G28" i="14"/>
  <c r="G30" i="14" s="1"/>
  <c r="F24" i="14"/>
  <c r="G24" i="14"/>
  <c r="E24" i="14"/>
  <c r="F20" i="14"/>
  <c r="F14" i="14" s="1"/>
  <c r="G20" i="14"/>
  <c r="F19" i="14"/>
  <c r="G19" i="14"/>
  <c r="G21" i="14" s="1"/>
  <c r="F18" i="14"/>
  <c r="G18" i="14"/>
  <c r="G14" i="14"/>
  <c r="F96" i="23"/>
  <c r="G96" i="23"/>
  <c r="F94" i="23"/>
  <c r="G94" i="23"/>
  <c r="F88" i="23"/>
  <c r="E83" i="23"/>
  <c r="F83" i="23"/>
  <c r="G83" i="23"/>
  <c r="E76" i="23"/>
  <c r="F76" i="23"/>
  <c r="F74" i="23" s="1"/>
  <c r="G76" i="23"/>
  <c r="F72" i="23"/>
  <c r="E69" i="23"/>
  <c r="H69" i="23" s="1"/>
  <c r="F68" i="23"/>
  <c r="G68" i="23"/>
  <c r="E64" i="23"/>
  <c r="F64" i="23"/>
  <c r="G64" i="23"/>
  <c r="F61" i="23"/>
  <c r="G61" i="23"/>
  <c r="F58" i="23"/>
  <c r="G58" i="23"/>
  <c r="F52" i="23"/>
  <c r="G52" i="23"/>
  <c r="F49" i="23"/>
  <c r="F47" i="23" s="1"/>
  <c r="G49" i="23"/>
  <c r="G47" i="23" s="1"/>
  <c r="F45" i="23"/>
  <c r="F42" i="23"/>
  <c r="G42" i="23"/>
  <c r="F39" i="23"/>
  <c r="G39" i="23"/>
  <c r="F36" i="23"/>
  <c r="G36" i="23"/>
  <c r="F29" i="23"/>
  <c r="G29" i="23"/>
  <c r="F28" i="23"/>
  <c r="G28" i="23"/>
  <c r="F20" i="23"/>
  <c r="F14" i="23" s="1"/>
  <c r="G20" i="23"/>
  <c r="G14" i="23" s="1"/>
  <c r="F19" i="23"/>
  <c r="G19" i="23"/>
  <c r="F18" i="23"/>
  <c r="G18" i="23"/>
  <c r="F96" i="16"/>
  <c r="G96" i="16"/>
  <c r="F94" i="16"/>
  <c r="G94" i="16"/>
  <c r="F88" i="16"/>
  <c r="E83" i="16"/>
  <c r="E73" i="16" s="1"/>
  <c r="F83" i="16"/>
  <c r="G83" i="16"/>
  <c r="E76" i="16"/>
  <c r="F76" i="16"/>
  <c r="F74" i="16" s="1"/>
  <c r="G76" i="16"/>
  <c r="F72" i="16"/>
  <c r="F68" i="16"/>
  <c r="G68" i="16"/>
  <c r="F64" i="16"/>
  <c r="G64" i="16"/>
  <c r="F61" i="16"/>
  <c r="G61" i="16"/>
  <c r="E58" i="16"/>
  <c r="H58" i="16" s="1"/>
  <c r="F58" i="16"/>
  <c r="G58" i="16"/>
  <c r="F52" i="16"/>
  <c r="G52" i="16"/>
  <c r="F49" i="16"/>
  <c r="F47" i="16" s="1"/>
  <c r="G49" i="16"/>
  <c r="G47" i="16" s="1"/>
  <c r="F45" i="16"/>
  <c r="G45" i="16"/>
  <c r="F42" i="16"/>
  <c r="G42" i="16"/>
  <c r="F39" i="16"/>
  <c r="G39" i="16"/>
  <c r="F36" i="16"/>
  <c r="G36" i="16"/>
  <c r="F29" i="16"/>
  <c r="G29" i="16"/>
  <c r="F28" i="16"/>
  <c r="F30" i="16" s="1"/>
  <c r="G28" i="16"/>
  <c r="F27" i="16"/>
  <c r="G27" i="16"/>
  <c r="F24" i="16"/>
  <c r="G24" i="16"/>
  <c r="F20" i="16"/>
  <c r="F14" i="16" s="1"/>
  <c r="G20" i="16"/>
  <c r="F19" i="16"/>
  <c r="G19" i="16"/>
  <c r="F18" i="16"/>
  <c r="G18" i="16"/>
  <c r="G14" i="16"/>
  <c r="F96" i="17"/>
  <c r="G96" i="17"/>
  <c r="G94" i="17"/>
  <c r="F88" i="17"/>
  <c r="E83" i="17"/>
  <c r="F83" i="17"/>
  <c r="F81" i="17" s="1"/>
  <c r="G83" i="17"/>
  <c r="E76" i="17"/>
  <c r="F76" i="17"/>
  <c r="G76" i="17"/>
  <c r="F68" i="17"/>
  <c r="G68" i="17"/>
  <c r="F64" i="17"/>
  <c r="G64" i="17"/>
  <c r="E61" i="17"/>
  <c r="F61" i="17"/>
  <c r="G61" i="17"/>
  <c r="E58" i="17"/>
  <c r="H58" i="17" s="1"/>
  <c r="F58" i="17"/>
  <c r="G58" i="17"/>
  <c r="F52" i="17"/>
  <c r="G52" i="17"/>
  <c r="F49" i="17"/>
  <c r="F47" i="17" s="1"/>
  <c r="G49" i="17"/>
  <c r="G47" i="17" s="1"/>
  <c r="F45" i="17"/>
  <c r="G45" i="17"/>
  <c r="F42" i="17"/>
  <c r="G42" i="17"/>
  <c r="F39" i="17"/>
  <c r="G39" i="17"/>
  <c r="F36" i="17"/>
  <c r="G36" i="17"/>
  <c r="F29" i="17"/>
  <c r="G29" i="17"/>
  <c r="F28" i="17"/>
  <c r="G28" i="17"/>
  <c r="G30" i="17" s="1"/>
  <c r="F27" i="17"/>
  <c r="G27" i="17"/>
  <c r="F24" i="17"/>
  <c r="G24" i="17"/>
  <c r="F20" i="17"/>
  <c r="F14" i="17" s="1"/>
  <c r="G20" i="17"/>
  <c r="F19" i="17"/>
  <c r="G19" i="17"/>
  <c r="F18" i="17"/>
  <c r="G18" i="17"/>
  <c r="E18" i="17"/>
  <c r="E18" i="18"/>
  <c r="G14" i="17"/>
  <c r="F96" i="18"/>
  <c r="G96" i="18"/>
  <c r="E94" i="18"/>
  <c r="F94" i="18"/>
  <c r="G94" i="18"/>
  <c r="F88" i="18"/>
  <c r="F83" i="18"/>
  <c r="G83" i="18"/>
  <c r="E83" i="18"/>
  <c r="F81" i="18"/>
  <c r="E76" i="18"/>
  <c r="F76" i="18"/>
  <c r="F74" i="18" s="1"/>
  <c r="G76" i="18"/>
  <c r="G74" i="18" s="1"/>
  <c r="F72" i="18"/>
  <c r="G72" i="18"/>
  <c r="F68" i="18"/>
  <c r="G68" i="18"/>
  <c r="F64" i="18"/>
  <c r="G64" i="18"/>
  <c r="F61" i="18"/>
  <c r="G61" i="18"/>
  <c r="E58" i="18"/>
  <c r="F58" i="18"/>
  <c r="G58" i="18"/>
  <c r="F52" i="18"/>
  <c r="G52" i="18"/>
  <c r="F49" i="18"/>
  <c r="F47" i="18" s="1"/>
  <c r="G49" i="18"/>
  <c r="G47" i="18" s="1"/>
  <c r="F45" i="18"/>
  <c r="F42" i="18"/>
  <c r="G42" i="18"/>
  <c r="F39" i="18"/>
  <c r="G39" i="18"/>
  <c r="F36" i="18"/>
  <c r="G36" i="18"/>
  <c r="F29" i="18"/>
  <c r="G29" i="18"/>
  <c r="F28" i="18"/>
  <c r="G28" i="18"/>
  <c r="F24" i="18"/>
  <c r="G24" i="18"/>
  <c r="F20" i="18"/>
  <c r="F14" i="18" s="1"/>
  <c r="G20" i="18"/>
  <c r="G14" i="18" s="1"/>
  <c r="F19" i="18"/>
  <c r="G19" i="18"/>
  <c r="G21" i="18" s="1"/>
  <c r="F18" i="18"/>
  <c r="G18" i="18"/>
  <c r="F96" i="19"/>
  <c r="G96" i="19"/>
  <c r="F94" i="19"/>
  <c r="G94" i="19"/>
  <c r="F88" i="19"/>
  <c r="F83" i="19"/>
  <c r="F81" i="19" s="1"/>
  <c r="G83" i="19"/>
  <c r="G81" i="19"/>
  <c r="F76" i="19"/>
  <c r="G76" i="19"/>
  <c r="E76" i="19"/>
  <c r="F72" i="19"/>
  <c r="F68" i="19"/>
  <c r="G68" i="19"/>
  <c r="F64" i="19"/>
  <c r="G64" i="19"/>
  <c r="F61" i="19"/>
  <c r="G61" i="19"/>
  <c r="F58" i="19"/>
  <c r="G58" i="19"/>
  <c r="G57" i="19" s="1"/>
  <c r="G55" i="19" s="1"/>
  <c r="F52" i="19"/>
  <c r="G52" i="19"/>
  <c r="F49" i="19"/>
  <c r="G49" i="19"/>
  <c r="G47" i="19" s="1"/>
  <c r="F45" i="19"/>
  <c r="G45" i="19"/>
  <c r="F42" i="19"/>
  <c r="G42" i="19"/>
  <c r="F39" i="19"/>
  <c r="G39" i="19"/>
  <c r="F36" i="19"/>
  <c r="G36" i="19"/>
  <c r="F29" i="19"/>
  <c r="G29" i="19"/>
  <c r="F28" i="19"/>
  <c r="F30" i="19" s="1"/>
  <c r="G28" i="19"/>
  <c r="G30" i="19" s="1"/>
  <c r="F20" i="19"/>
  <c r="F14" i="19" s="1"/>
  <c r="G20" i="19"/>
  <c r="G14" i="19" s="1"/>
  <c r="F19" i="19"/>
  <c r="G19" i="19"/>
  <c r="G13" i="19" s="1"/>
  <c r="F18" i="19"/>
  <c r="G18" i="19"/>
  <c r="F96" i="20"/>
  <c r="G96" i="20"/>
  <c r="F94" i="20"/>
  <c r="G94" i="20"/>
  <c r="F88" i="20"/>
  <c r="F83" i="20"/>
  <c r="F73" i="20" s="1"/>
  <c r="F71" i="20" s="1"/>
  <c r="G83" i="20"/>
  <c r="E83" i="20"/>
  <c r="E76" i="20"/>
  <c r="F76" i="20"/>
  <c r="F74" i="20" s="1"/>
  <c r="G76" i="20"/>
  <c r="G74" i="20"/>
  <c r="F72" i="20"/>
  <c r="G72" i="20"/>
  <c r="F68" i="20"/>
  <c r="G68" i="20"/>
  <c r="F64" i="20"/>
  <c r="G64" i="20"/>
  <c r="F61" i="20"/>
  <c r="G61" i="20"/>
  <c r="F58" i="20"/>
  <c r="G58" i="20"/>
  <c r="F52" i="20"/>
  <c r="G52" i="20"/>
  <c r="F49" i="20"/>
  <c r="G49" i="20"/>
  <c r="G47" i="20" s="1"/>
  <c r="F45" i="20"/>
  <c r="F42" i="20"/>
  <c r="G42" i="20"/>
  <c r="F39" i="20"/>
  <c r="G39" i="20"/>
  <c r="F36" i="20"/>
  <c r="G36" i="20"/>
  <c r="F29" i="20"/>
  <c r="G29" i="20"/>
  <c r="F28" i="20"/>
  <c r="F30" i="20" s="1"/>
  <c r="G28" i="20"/>
  <c r="G30" i="20" s="1"/>
  <c r="F20" i="20"/>
  <c r="G20" i="20"/>
  <c r="G14" i="20" s="1"/>
  <c r="F19" i="20"/>
  <c r="G19" i="20"/>
  <c r="G13" i="20" s="1"/>
  <c r="F18" i="20"/>
  <c r="G18" i="20"/>
  <c r="G102" i="2"/>
  <c r="H102" i="2"/>
  <c r="G99" i="2"/>
  <c r="G98" i="2" s="1"/>
  <c r="H99" i="2"/>
  <c r="G96" i="2"/>
  <c r="H96" i="2"/>
  <c r="H95" i="2" s="1"/>
  <c r="G88" i="2"/>
  <c r="G86" i="2"/>
  <c r="H86" i="2"/>
  <c r="G85" i="2"/>
  <c r="H85" i="2"/>
  <c r="G84" i="2"/>
  <c r="H84" i="2"/>
  <c r="G83" i="2"/>
  <c r="H83" i="2"/>
  <c r="G81" i="2"/>
  <c r="G79" i="2"/>
  <c r="H79" i="2"/>
  <c r="G78" i="2"/>
  <c r="H78" i="2"/>
  <c r="G77" i="2"/>
  <c r="H77" i="2"/>
  <c r="G76" i="2"/>
  <c r="H69" i="2"/>
  <c r="G68" i="2"/>
  <c r="H68" i="2"/>
  <c r="G65" i="2"/>
  <c r="H65" i="2"/>
  <c r="G64" i="2"/>
  <c r="H64" i="2"/>
  <c r="G62" i="2"/>
  <c r="H62" i="2"/>
  <c r="G61" i="2"/>
  <c r="H61" i="2"/>
  <c r="G59" i="2"/>
  <c r="H59" i="2"/>
  <c r="G58" i="2"/>
  <c r="H58" i="2"/>
  <c r="G53" i="2"/>
  <c r="H53" i="2"/>
  <c r="G52" i="2"/>
  <c r="H52" i="2"/>
  <c r="H49" i="2" s="1"/>
  <c r="H51" i="2" s="1"/>
  <c r="G48" i="2"/>
  <c r="H48" i="2"/>
  <c r="H47" i="2"/>
  <c r="G45" i="2"/>
  <c r="G40" i="2"/>
  <c r="G42" i="2" s="1"/>
  <c r="G37" i="2"/>
  <c r="G39" i="2" s="1"/>
  <c r="H37" i="2"/>
  <c r="G34" i="2"/>
  <c r="H34" i="2"/>
  <c r="G31" i="2"/>
  <c r="H31" i="2"/>
  <c r="G28" i="2"/>
  <c r="H28" i="2"/>
  <c r="G22" i="2"/>
  <c r="G24" i="2" s="1"/>
  <c r="H22" i="2"/>
  <c r="H24" i="2" s="1"/>
  <c r="G19" i="2"/>
  <c r="G21" i="2" s="1"/>
  <c r="H19" i="2"/>
  <c r="G13" i="2"/>
  <c r="G15" i="2" s="1"/>
  <c r="H13" i="2"/>
  <c r="H15" i="2" s="1"/>
  <c r="F96" i="15"/>
  <c r="G96" i="15"/>
  <c r="F94" i="15"/>
  <c r="G94" i="15"/>
  <c r="F88" i="15"/>
  <c r="E83" i="15"/>
  <c r="F83" i="15"/>
  <c r="H83" i="15" s="1"/>
  <c r="G83" i="15"/>
  <c r="F81" i="15"/>
  <c r="G81" i="15"/>
  <c r="E76" i="15"/>
  <c r="F76" i="15"/>
  <c r="F74" i="15" s="1"/>
  <c r="G76" i="15"/>
  <c r="G74" i="15" s="1"/>
  <c r="F72" i="15"/>
  <c r="G72" i="15"/>
  <c r="F68" i="15"/>
  <c r="G68" i="15"/>
  <c r="F64" i="15"/>
  <c r="G64" i="15"/>
  <c r="F61" i="15"/>
  <c r="G61" i="15"/>
  <c r="F58" i="15"/>
  <c r="G58" i="15"/>
  <c r="F52" i="15"/>
  <c r="G52" i="15"/>
  <c r="F49" i="15"/>
  <c r="G49" i="15"/>
  <c r="G47" i="15" s="1"/>
  <c r="F45" i="15"/>
  <c r="F42" i="15"/>
  <c r="G42" i="15"/>
  <c r="F39" i="15"/>
  <c r="G39" i="15"/>
  <c r="F36" i="15"/>
  <c r="G36" i="15"/>
  <c r="F29" i="15"/>
  <c r="G29" i="15"/>
  <c r="F28" i="15"/>
  <c r="G28" i="15"/>
  <c r="G30" i="15" s="1"/>
  <c r="F27" i="15"/>
  <c r="G27" i="15"/>
  <c r="F24" i="15"/>
  <c r="G24" i="15"/>
  <c r="F20" i="15"/>
  <c r="G20" i="15"/>
  <c r="G14" i="15" s="1"/>
  <c r="F19" i="15"/>
  <c r="G19" i="15"/>
  <c r="G13" i="15" s="1"/>
  <c r="F96" i="21"/>
  <c r="G96" i="21"/>
  <c r="F94" i="21"/>
  <c r="G94" i="21"/>
  <c r="F88" i="21"/>
  <c r="F83" i="21"/>
  <c r="G83" i="21"/>
  <c r="G81" i="21" s="1"/>
  <c r="E83" i="21"/>
  <c r="E76" i="21"/>
  <c r="F76" i="21"/>
  <c r="F74" i="21" s="1"/>
  <c r="G76" i="21"/>
  <c r="G74" i="21" s="1"/>
  <c r="F72" i="21"/>
  <c r="G72" i="21"/>
  <c r="F68" i="21"/>
  <c r="G68" i="21"/>
  <c r="F64" i="21"/>
  <c r="G64" i="21"/>
  <c r="F61" i="21"/>
  <c r="G61" i="21"/>
  <c r="E58" i="21"/>
  <c r="F58" i="21"/>
  <c r="G58" i="21"/>
  <c r="F52" i="21"/>
  <c r="G52" i="21"/>
  <c r="F49" i="21"/>
  <c r="G49" i="21"/>
  <c r="G47" i="21" s="1"/>
  <c r="F45" i="21"/>
  <c r="F42" i="21"/>
  <c r="G42" i="21"/>
  <c r="F39" i="21"/>
  <c r="G39" i="21"/>
  <c r="F36" i="21"/>
  <c r="G36" i="21"/>
  <c r="F29" i="21"/>
  <c r="G29" i="21"/>
  <c r="F28" i="21"/>
  <c r="G28" i="21"/>
  <c r="F27" i="21"/>
  <c r="G27" i="21"/>
  <c r="F20" i="21"/>
  <c r="G20" i="21"/>
  <c r="F19" i="21"/>
  <c r="G19" i="21"/>
  <c r="G13" i="21" s="1"/>
  <c r="F18" i="21"/>
  <c r="G18" i="21"/>
  <c r="G14" i="21"/>
  <c r="F96" i="12"/>
  <c r="G96" i="12"/>
  <c r="F94" i="12"/>
  <c r="G94" i="12"/>
  <c r="F88" i="12"/>
  <c r="F83" i="12"/>
  <c r="F81" i="12" s="1"/>
  <c r="G83" i="12"/>
  <c r="G81" i="12" s="1"/>
  <c r="E83" i="12"/>
  <c r="H83" i="12" s="1"/>
  <c r="E76" i="12"/>
  <c r="F76" i="12"/>
  <c r="F72" i="12"/>
  <c r="G68" i="12"/>
  <c r="F68" i="12"/>
  <c r="F64" i="12"/>
  <c r="G64" i="12"/>
  <c r="F61" i="12"/>
  <c r="G61" i="12"/>
  <c r="F58" i="12"/>
  <c r="G58" i="12"/>
  <c r="F52" i="12"/>
  <c r="G52" i="12"/>
  <c r="F49" i="12"/>
  <c r="F47" i="12" s="1"/>
  <c r="G49" i="12"/>
  <c r="F45" i="12"/>
  <c r="F42" i="12"/>
  <c r="G42" i="12"/>
  <c r="F39" i="12"/>
  <c r="G39" i="12"/>
  <c r="F36" i="12"/>
  <c r="F30" i="12" s="1"/>
  <c r="G36" i="12"/>
  <c r="G30" i="12" s="1"/>
  <c r="F28" i="12"/>
  <c r="G28" i="12"/>
  <c r="F24" i="12"/>
  <c r="G24" i="12"/>
  <c r="G21" i="12"/>
  <c r="F19" i="12"/>
  <c r="F13" i="12" s="1"/>
  <c r="G19" i="12"/>
  <c r="G13" i="12" s="1"/>
  <c r="F18" i="12"/>
  <c r="G18" i="12"/>
  <c r="F96" i="10"/>
  <c r="G96" i="10"/>
  <c r="F94" i="10"/>
  <c r="G94" i="10"/>
  <c r="F88" i="10"/>
  <c r="G88" i="10"/>
  <c r="E83" i="10"/>
  <c r="F83" i="10"/>
  <c r="G83" i="10"/>
  <c r="E76" i="10"/>
  <c r="F76" i="10"/>
  <c r="G76" i="10"/>
  <c r="F74" i="10"/>
  <c r="F72" i="10"/>
  <c r="F68" i="10"/>
  <c r="G68" i="10"/>
  <c r="F64" i="10"/>
  <c r="G64" i="10"/>
  <c r="F61" i="10"/>
  <c r="G61" i="10"/>
  <c r="F58" i="10"/>
  <c r="G58" i="10"/>
  <c r="F52" i="10"/>
  <c r="G52" i="10"/>
  <c r="F49" i="10"/>
  <c r="F47" i="10" s="1"/>
  <c r="G49" i="10"/>
  <c r="G47" i="10" s="1"/>
  <c r="F45" i="10"/>
  <c r="F42" i="10"/>
  <c r="G42" i="10"/>
  <c r="F39" i="10"/>
  <c r="G39" i="10"/>
  <c r="F36" i="10"/>
  <c r="G36" i="10"/>
  <c r="G30" i="10" s="1"/>
  <c r="F28" i="10"/>
  <c r="G28" i="10"/>
  <c r="F27" i="10"/>
  <c r="G27" i="10"/>
  <c r="F24" i="10"/>
  <c r="G24" i="10"/>
  <c r="G21" i="10" s="1"/>
  <c r="F19" i="10"/>
  <c r="F13" i="10" s="1"/>
  <c r="G19" i="10"/>
  <c r="G13" i="10" s="1"/>
  <c r="F18" i="10"/>
  <c r="G18" i="10"/>
  <c r="F96" i="9"/>
  <c r="G96" i="9"/>
  <c r="F94" i="9"/>
  <c r="G94" i="9"/>
  <c r="F88" i="9"/>
  <c r="F83" i="9"/>
  <c r="G83" i="9"/>
  <c r="G81" i="9" s="1"/>
  <c r="E83" i="9"/>
  <c r="F76" i="9"/>
  <c r="G76" i="9"/>
  <c r="F74" i="9"/>
  <c r="F72" i="9"/>
  <c r="F68" i="9"/>
  <c r="G68" i="9"/>
  <c r="F64" i="9"/>
  <c r="G64" i="9"/>
  <c r="F61" i="9"/>
  <c r="G61" i="9"/>
  <c r="F58" i="9"/>
  <c r="G58" i="9"/>
  <c r="F52" i="9"/>
  <c r="G52" i="9"/>
  <c r="F49" i="9"/>
  <c r="F47" i="9" s="1"/>
  <c r="G49" i="9"/>
  <c r="G47" i="9" s="1"/>
  <c r="F45" i="9"/>
  <c r="F42" i="9"/>
  <c r="G42" i="9"/>
  <c r="F39" i="9"/>
  <c r="G39" i="9"/>
  <c r="F36" i="9"/>
  <c r="G36" i="9"/>
  <c r="G30" i="9" s="1"/>
  <c r="F30" i="9"/>
  <c r="F28" i="9"/>
  <c r="G28" i="9"/>
  <c r="F27" i="9"/>
  <c r="G27" i="9"/>
  <c r="F24" i="9"/>
  <c r="G24" i="9"/>
  <c r="F19" i="9"/>
  <c r="F13" i="9" s="1"/>
  <c r="G19" i="9"/>
  <c r="G13" i="9" s="1"/>
  <c r="F18" i="9"/>
  <c r="G18" i="9"/>
  <c r="F96" i="8"/>
  <c r="G96" i="8"/>
  <c r="F94" i="8"/>
  <c r="G94" i="8"/>
  <c r="F88" i="8"/>
  <c r="F83" i="8"/>
  <c r="F81" i="8" s="1"/>
  <c r="G83" i="8"/>
  <c r="G81" i="8" s="1"/>
  <c r="F76" i="8"/>
  <c r="G76" i="8"/>
  <c r="E76" i="8"/>
  <c r="F68" i="8"/>
  <c r="G68" i="8"/>
  <c r="F64" i="8"/>
  <c r="G64" i="8"/>
  <c r="F61" i="8"/>
  <c r="G61" i="8"/>
  <c r="F58" i="8"/>
  <c r="G58" i="8"/>
  <c r="F52" i="8"/>
  <c r="G52" i="8"/>
  <c r="F49" i="8"/>
  <c r="G49" i="8"/>
  <c r="G47" i="8" s="1"/>
  <c r="F47" i="8"/>
  <c r="F45" i="8"/>
  <c r="G45" i="8"/>
  <c r="F42" i="8"/>
  <c r="G42" i="8"/>
  <c r="F39" i="8"/>
  <c r="G39" i="8"/>
  <c r="F36" i="8"/>
  <c r="G36" i="8"/>
  <c r="G30" i="8" s="1"/>
  <c r="F28" i="8"/>
  <c r="G28" i="8"/>
  <c r="F27" i="8"/>
  <c r="G27" i="8"/>
  <c r="F24" i="8"/>
  <c r="G24" i="8"/>
  <c r="F19" i="8"/>
  <c r="F13" i="8" s="1"/>
  <c r="G19" i="8"/>
  <c r="G13" i="8" s="1"/>
  <c r="F18" i="8"/>
  <c r="G18" i="8"/>
  <c r="F96" i="7"/>
  <c r="G96" i="7"/>
  <c r="F94" i="7"/>
  <c r="G94" i="7"/>
  <c r="F88" i="7"/>
  <c r="F83" i="7"/>
  <c r="F81" i="7" s="1"/>
  <c r="G83" i="7"/>
  <c r="F76" i="7"/>
  <c r="G76" i="7"/>
  <c r="F74" i="7"/>
  <c r="G74" i="7"/>
  <c r="F72" i="7"/>
  <c r="G72" i="7"/>
  <c r="F68" i="7"/>
  <c r="G68" i="7"/>
  <c r="F64" i="7"/>
  <c r="G64" i="7"/>
  <c r="F61" i="7"/>
  <c r="G61" i="7"/>
  <c r="F58" i="7"/>
  <c r="G58" i="7"/>
  <c r="F52" i="7"/>
  <c r="G52" i="7"/>
  <c r="F49" i="7"/>
  <c r="G49" i="7"/>
  <c r="G47" i="7" s="1"/>
  <c r="F45" i="7"/>
  <c r="F42" i="7"/>
  <c r="G42" i="7"/>
  <c r="F39" i="7"/>
  <c r="G39" i="7"/>
  <c r="F36" i="7"/>
  <c r="G36" i="7"/>
  <c r="G30" i="7" s="1"/>
  <c r="F28" i="7"/>
  <c r="G28" i="7"/>
  <c r="F24" i="7"/>
  <c r="F21" i="7" s="1"/>
  <c r="G24" i="7"/>
  <c r="G21" i="7" s="1"/>
  <c r="F19" i="7"/>
  <c r="F13" i="7" s="1"/>
  <c r="G19" i="7"/>
  <c r="F18" i="7"/>
  <c r="G18" i="7"/>
  <c r="G13" i="7"/>
  <c r="F96" i="6"/>
  <c r="G96" i="6"/>
  <c r="F94" i="6"/>
  <c r="G94" i="6"/>
  <c r="F88" i="6"/>
  <c r="F83" i="6"/>
  <c r="G83" i="6"/>
  <c r="G81" i="6" s="1"/>
  <c r="F81" i="6"/>
  <c r="F76" i="6"/>
  <c r="F74" i="6" s="1"/>
  <c r="G76" i="6"/>
  <c r="G74" i="6" s="1"/>
  <c r="F72" i="6"/>
  <c r="G72" i="6"/>
  <c r="F68" i="6"/>
  <c r="G68" i="6"/>
  <c r="F64" i="6"/>
  <c r="G64" i="6"/>
  <c r="E64" i="6"/>
  <c r="F61" i="6"/>
  <c r="H61" i="6" s="1"/>
  <c r="G61" i="6"/>
  <c r="G55" i="6" s="1"/>
  <c r="F58" i="6"/>
  <c r="F57" i="6" s="1"/>
  <c r="G58" i="6"/>
  <c r="F52" i="6"/>
  <c r="G52" i="6"/>
  <c r="E52" i="6"/>
  <c r="F49" i="6"/>
  <c r="F47" i="6" s="1"/>
  <c r="G49" i="6"/>
  <c r="G47" i="6" s="1"/>
  <c r="F45" i="6"/>
  <c r="G45" i="6"/>
  <c r="F42" i="6"/>
  <c r="G42" i="6"/>
  <c r="F39" i="6"/>
  <c r="G39" i="6"/>
  <c r="F36" i="6"/>
  <c r="G36" i="6"/>
  <c r="G30" i="6" s="1"/>
  <c r="G28" i="6"/>
  <c r="F27" i="6"/>
  <c r="G27" i="6"/>
  <c r="F24" i="6"/>
  <c r="G24" i="6"/>
  <c r="F19" i="6"/>
  <c r="F13" i="6" s="1"/>
  <c r="G19" i="6"/>
  <c r="G13" i="6" s="1"/>
  <c r="F18" i="6"/>
  <c r="G18" i="6"/>
  <c r="G103" i="2"/>
  <c r="H103" i="2"/>
  <c r="G21" i="15" l="1"/>
  <c r="G33" i="2"/>
  <c r="G27" i="2" s="1"/>
  <c r="G73" i="19"/>
  <c r="F73" i="18"/>
  <c r="F71" i="18" s="1"/>
  <c r="F67" i="18" s="1"/>
  <c r="G21" i="17"/>
  <c r="E56" i="16"/>
  <c r="H56" i="16" s="1"/>
  <c r="F73" i="22"/>
  <c r="G88" i="7"/>
  <c r="G29" i="12"/>
  <c r="G88" i="8"/>
  <c r="G88" i="16"/>
  <c r="H76" i="8"/>
  <c r="G21" i="9"/>
  <c r="G15" i="9" s="1"/>
  <c r="G12" i="9" s="1"/>
  <c r="G10" i="12"/>
  <c r="F30" i="21"/>
  <c r="F21" i="17"/>
  <c r="F57" i="17"/>
  <c r="F55" i="17" s="1"/>
  <c r="F21" i="16"/>
  <c r="G88" i="15"/>
  <c r="G88" i="17"/>
  <c r="H61" i="17"/>
  <c r="G82" i="2"/>
  <c r="G72" i="2" s="1"/>
  <c r="G88" i="20"/>
  <c r="G73" i="23"/>
  <c r="H83" i="20"/>
  <c r="G88" i="21"/>
  <c r="F81" i="20"/>
  <c r="G30" i="18"/>
  <c r="G30" i="13"/>
  <c r="G36" i="2"/>
  <c r="H45" i="17"/>
  <c r="F13" i="22"/>
  <c r="F15" i="22" s="1"/>
  <c r="F21" i="22"/>
  <c r="F47" i="15"/>
  <c r="F14" i="20"/>
  <c r="F57" i="23"/>
  <c r="F30" i="8"/>
  <c r="F47" i="21"/>
  <c r="F30" i="15"/>
  <c r="G95" i="2"/>
  <c r="F21" i="14"/>
  <c r="F13" i="14"/>
  <c r="F15" i="14" s="1"/>
  <c r="F30" i="10"/>
  <c r="F73" i="10"/>
  <c r="F71" i="10" s="1"/>
  <c r="H83" i="10"/>
  <c r="F30" i="7"/>
  <c r="F57" i="22"/>
  <c r="F21" i="12"/>
  <c r="F57" i="19"/>
  <c r="F81" i="23"/>
  <c r="H83" i="23"/>
  <c r="F14" i="22"/>
  <c r="H52" i="6"/>
  <c r="G10" i="7"/>
  <c r="E56" i="21"/>
  <c r="H56" i="21" s="1"/>
  <c r="H58" i="21"/>
  <c r="F14" i="15"/>
  <c r="H83" i="13"/>
  <c r="F81" i="13"/>
  <c r="F73" i="13"/>
  <c r="F30" i="6"/>
  <c r="F55" i="6"/>
  <c r="F57" i="20"/>
  <c r="G13" i="23"/>
  <c r="G15" i="23" s="1"/>
  <c r="G12" i="23" s="1"/>
  <c r="G21" i="23"/>
  <c r="H45" i="22"/>
  <c r="F73" i="9"/>
  <c r="F71" i="9" s="1"/>
  <c r="H83" i="9"/>
  <c r="F81" i="9"/>
  <c r="F13" i="23"/>
  <c r="F15" i="23" s="1"/>
  <c r="F12" i="23" s="1"/>
  <c r="F21" i="23"/>
  <c r="H89" i="2"/>
  <c r="G88" i="6"/>
  <c r="H39" i="6"/>
  <c r="F57" i="9"/>
  <c r="F13" i="19"/>
  <c r="F10" i="19" s="1"/>
  <c r="F81" i="16"/>
  <c r="H83" i="16"/>
  <c r="H45" i="13"/>
  <c r="H91" i="2"/>
  <c r="H88" i="2"/>
  <c r="G81" i="20"/>
  <c r="G73" i="20"/>
  <c r="G71" i="20" s="1"/>
  <c r="G67" i="20" s="1"/>
  <c r="G88" i="12"/>
  <c r="F47" i="7"/>
  <c r="F47" i="13"/>
  <c r="G73" i="13"/>
  <c r="G71" i="13" s="1"/>
  <c r="G67" i="13" s="1"/>
  <c r="G9" i="13" s="1"/>
  <c r="H94" i="2"/>
  <c r="H45" i="18"/>
  <c r="F74" i="14"/>
  <c r="F73" i="14"/>
  <c r="H73" i="14" s="1"/>
  <c r="H76" i="14"/>
  <c r="F21" i="8"/>
  <c r="F13" i="21"/>
  <c r="F30" i="17"/>
  <c r="F47" i="22"/>
  <c r="F81" i="21"/>
  <c r="H83" i="21"/>
  <c r="F47" i="20"/>
  <c r="F30" i="18"/>
  <c r="H24" i="14"/>
  <c r="F14" i="21"/>
  <c r="G75" i="2"/>
  <c r="G21" i="6"/>
  <c r="G15" i="6" s="1"/>
  <c r="G12" i="6" s="1"/>
  <c r="F21" i="21"/>
  <c r="F47" i="19"/>
  <c r="F21" i="6"/>
  <c r="F57" i="10"/>
  <c r="H76" i="15"/>
  <c r="H83" i="17"/>
  <c r="H39" i="8"/>
  <c r="F21" i="9"/>
  <c r="F13" i="15"/>
  <c r="F10" i="15" s="1"/>
  <c r="F21" i="15"/>
  <c r="F13" i="20"/>
  <c r="F21" i="20"/>
  <c r="F57" i="18"/>
  <c r="I40" i="2"/>
  <c r="G73" i="18"/>
  <c r="G71" i="18" s="1"/>
  <c r="G67" i="18" s="1"/>
  <c r="G30" i="16"/>
  <c r="F57" i="14"/>
  <c r="H83" i="18"/>
  <c r="G88" i="23"/>
  <c r="G49" i="2"/>
  <c r="G51" i="2" s="1"/>
  <c r="G21" i="16"/>
  <c r="H40" i="2"/>
  <c r="H42" i="2" s="1"/>
  <c r="G73" i="7"/>
  <c r="G73" i="17"/>
  <c r="F10" i="23"/>
  <c r="F30" i="23"/>
  <c r="F30" i="13"/>
  <c r="H58" i="18"/>
  <c r="G73" i="16"/>
  <c r="G21" i="22"/>
  <c r="G30" i="21"/>
  <c r="H98" i="2"/>
  <c r="F21" i="18"/>
  <c r="F21" i="13"/>
  <c r="G21" i="21"/>
  <c r="G21" i="20"/>
  <c r="G57" i="18"/>
  <c r="G55" i="18" s="1"/>
  <c r="H46" i="2"/>
  <c r="G57" i="16"/>
  <c r="G55" i="16" s="1"/>
  <c r="G30" i="23"/>
  <c r="G11" i="23" s="1"/>
  <c r="G13" i="14"/>
  <c r="G15" i="14" s="1"/>
  <c r="G12" i="14" s="1"/>
  <c r="G11" i="14" s="1"/>
  <c r="G81" i="22"/>
  <c r="G57" i="22"/>
  <c r="G55" i="22" s="1"/>
  <c r="G57" i="9"/>
  <c r="G55" i="9" s="1"/>
  <c r="G57" i="8"/>
  <c r="G21" i="8"/>
  <c r="G15" i="8" s="1"/>
  <c r="G12" i="8" s="1"/>
  <c r="G11" i="8" s="1"/>
  <c r="G81" i="7"/>
  <c r="H67" i="2"/>
  <c r="H82" i="2"/>
  <c r="G73" i="10"/>
  <c r="F73" i="19"/>
  <c r="F71" i="19" s="1"/>
  <c r="G81" i="18"/>
  <c r="F73" i="17"/>
  <c r="F73" i="16"/>
  <c r="H73" i="16" s="1"/>
  <c r="F73" i="15"/>
  <c r="G73" i="15"/>
  <c r="G71" i="15" s="1"/>
  <c r="G67" i="15" s="1"/>
  <c r="F73" i="23"/>
  <c r="G81" i="23"/>
  <c r="G73" i="14"/>
  <c r="G71" i="14" s="1"/>
  <c r="G67" i="14" s="1"/>
  <c r="F81" i="10"/>
  <c r="G73" i="9"/>
  <c r="F73" i="8"/>
  <c r="G73" i="8"/>
  <c r="G71" i="7"/>
  <c r="G67" i="7" s="1"/>
  <c r="G57" i="17"/>
  <c r="G55" i="17" s="1"/>
  <c r="G46" i="17" s="1"/>
  <c r="F57" i="16"/>
  <c r="G57" i="23"/>
  <c r="G55" i="23" s="1"/>
  <c r="G46" i="23" s="1"/>
  <c r="F57" i="12"/>
  <c r="G57" i="10"/>
  <c r="G55" i="10" s="1"/>
  <c r="G60" i="2"/>
  <c r="H57" i="2"/>
  <c r="G57" i="2"/>
  <c r="G57" i="7"/>
  <c r="G55" i="7" s="1"/>
  <c r="G46" i="7" s="1"/>
  <c r="H60" i="2"/>
  <c r="F46" i="17"/>
  <c r="G46" i="16"/>
  <c r="G46" i="14"/>
  <c r="G46" i="2"/>
  <c r="H39" i="2"/>
  <c r="H36" i="2"/>
  <c r="G10" i="20"/>
  <c r="F10" i="20"/>
  <c r="G10" i="19"/>
  <c r="F11" i="23"/>
  <c r="G25" i="2"/>
  <c r="G10" i="13"/>
  <c r="F10" i="12"/>
  <c r="G10" i="10"/>
  <c r="F10" i="8"/>
  <c r="H25" i="2"/>
  <c r="G10" i="8"/>
  <c r="G29" i="7"/>
  <c r="H33" i="2"/>
  <c r="H27" i="2" s="1"/>
  <c r="G10" i="6"/>
  <c r="G15" i="19"/>
  <c r="G12" i="19" s="1"/>
  <c r="G11" i="19" s="1"/>
  <c r="G21" i="19"/>
  <c r="F15" i="19"/>
  <c r="F21" i="19"/>
  <c r="G13" i="18"/>
  <c r="F13" i="18"/>
  <c r="G13" i="17"/>
  <c r="G10" i="17" s="1"/>
  <c r="F13" i="17"/>
  <c r="G13" i="16"/>
  <c r="F13" i="16"/>
  <c r="G21" i="13"/>
  <c r="F13" i="13"/>
  <c r="G13" i="22"/>
  <c r="G10" i="22" s="1"/>
  <c r="F21" i="10"/>
  <c r="H16" i="2"/>
  <c r="H10" i="2" s="1"/>
  <c r="G16" i="2"/>
  <c r="H21" i="2"/>
  <c r="H18" i="2" s="1"/>
  <c r="H12" i="2" s="1"/>
  <c r="H9" i="2" s="1"/>
  <c r="G87" i="2"/>
  <c r="G15" i="12"/>
  <c r="G12" i="12" s="1"/>
  <c r="G11" i="12" s="1"/>
  <c r="G15" i="20"/>
  <c r="G12" i="20" s="1"/>
  <c r="G11" i="20" s="1"/>
  <c r="F15" i="20"/>
  <c r="G15" i="17"/>
  <c r="G12" i="17" s="1"/>
  <c r="G11" i="17" s="1"/>
  <c r="F15" i="17"/>
  <c r="F15" i="16"/>
  <c r="G15" i="13"/>
  <c r="G12" i="13" s="1"/>
  <c r="G11" i="13" s="1"/>
  <c r="G15" i="7"/>
  <c r="G12" i="7" s="1"/>
  <c r="G71" i="22"/>
  <c r="G67" i="22" s="1"/>
  <c r="F71" i="22"/>
  <c r="F55" i="22"/>
  <c r="G46" i="22"/>
  <c r="F71" i="13"/>
  <c r="F57" i="13"/>
  <c r="F71" i="23"/>
  <c r="G72" i="23"/>
  <c r="G71" i="23" s="1"/>
  <c r="G67" i="23" s="1"/>
  <c r="G74" i="23"/>
  <c r="G81" i="16"/>
  <c r="G72" i="16"/>
  <c r="G74" i="16"/>
  <c r="G81" i="17"/>
  <c r="H81" i="2"/>
  <c r="G74" i="17"/>
  <c r="G72" i="17"/>
  <c r="G74" i="2"/>
  <c r="F74" i="17"/>
  <c r="F72" i="17"/>
  <c r="G46" i="18"/>
  <c r="G72" i="19"/>
  <c r="G71" i="19" s="1"/>
  <c r="G67" i="19" s="1"/>
  <c r="G74" i="19"/>
  <c r="H74" i="2"/>
  <c r="F74" i="19"/>
  <c r="G46" i="19"/>
  <c r="F67" i="20"/>
  <c r="H63" i="2"/>
  <c r="G57" i="20"/>
  <c r="G55" i="20" s="1"/>
  <c r="G46" i="20" s="1"/>
  <c r="H75" i="2"/>
  <c r="G67" i="2"/>
  <c r="G63" i="2"/>
  <c r="G18" i="2"/>
  <c r="F71" i="15"/>
  <c r="G57" i="15"/>
  <c r="G55" i="15" s="1"/>
  <c r="G46" i="15" s="1"/>
  <c r="F57" i="15"/>
  <c r="F55" i="15"/>
  <c r="G10" i="15"/>
  <c r="G15" i="15"/>
  <c r="G12" i="15" s="1"/>
  <c r="G11" i="15" s="1"/>
  <c r="G73" i="21"/>
  <c r="G71" i="21" s="1"/>
  <c r="G67" i="21" s="1"/>
  <c r="F73" i="21"/>
  <c r="G57" i="21"/>
  <c r="G55" i="21" s="1"/>
  <c r="G46" i="21" s="1"/>
  <c r="F57" i="21"/>
  <c r="G15" i="21"/>
  <c r="G12" i="21" s="1"/>
  <c r="G11" i="21" s="1"/>
  <c r="G10" i="21"/>
  <c r="G73" i="12"/>
  <c r="F73" i="12"/>
  <c r="G72" i="12"/>
  <c r="G74" i="12"/>
  <c r="F74" i="12"/>
  <c r="G57" i="12"/>
  <c r="G55" i="12" s="1"/>
  <c r="G81" i="10"/>
  <c r="G74" i="10"/>
  <c r="G72" i="10"/>
  <c r="F55" i="10"/>
  <c r="G46" i="10"/>
  <c r="G15" i="10"/>
  <c r="G12" i="10" s="1"/>
  <c r="G11" i="10" s="1"/>
  <c r="F10" i="10"/>
  <c r="G74" i="9"/>
  <c r="G72" i="9"/>
  <c r="G46" i="9"/>
  <c r="G11" i="9"/>
  <c r="F10" i="9"/>
  <c r="G14" i="9"/>
  <c r="G10" i="9"/>
  <c r="G72" i="8"/>
  <c r="F72" i="8"/>
  <c r="F74" i="8"/>
  <c r="F57" i="8"/>
  <c r="F15" i="8"/>
  <c r="F73" i="7"/>
  <c r="F57" i="7"/>
  <c r="F15" i="7"/>
  <c r="F10" i="7"/>
  <c r="G73" i="6"/>
  <c r="G71" i="6" s="1"/>
  <c r="G67" i="6" s="1"/>
  <c r="F73" i="6"/>
  <c r="F71" i="6"/>
  <c r="G46" i="6"/>
  <c r="F10" i="6"/>
  <c r="E93" i="15"/>
  <c r="H93" i="15" s="1"/>
  <c r="E93" i="21"/>
  <c r="H93" i="21" s="1"/>
  <c r="E93" i="20"/>
  <c r="H93" i="20" s="1"/>
  <c r="E93" i="19"/>
  <c r="H93" i="19" s="1"/>
  <c r="E93" i="18"/>
  <c r="H93" i="18" s="1"/>
  <c r="E93" i="17"/>
  <c r="H93" i="17" s="1"/>
  <c r="E93" i="16"/>
  <c r="H93" i="16" s="1"/>
  <c r="E93" i="23"/>
  <c r="H93" i="23" s="1"/>
  <c r="E93" i="14"/>
  <c r="H93" i="14" s="1"/>
  <c r="E93" i="13"/>
  <c r="H93" i="13" s="1"/>
  <c r="E93" i="22"/>
  <c r="H93" i="22" s="1"/>
  <c r="E93" i="12"/>
  <c r="H93" i="12" s="1"/>
  <c r="E93" i="10"/>
  <c r="H93" i="10" s="1"/>
  <c r="E93" i="9"/>
  <c r="H93" i="9" s="1"/>
  <c r="E93" i="8"/>
  <c r="H93" i="8" s="1"/>
  <c r="E93" i="7"/>
  <c r="H93" i="7" s="1"/>
  <c r="E93" i="6"/>
  <c r="H93" i="6" s="1"/>
  <c r="E92" i="21"/>
  <c r="H92" i="21" s="1"/>
  <c r="E92" i="20"/>
  <c r="H92" i="20" s="1"/>
  <c r="E92" i="18"/>
  <c r="H92" i="18" s="1"/>
  <c r="E92" i="16"/>
  <c r="H92" i="16" s="1"/>
  <c r="E92" i="15"/>
  <c r="H92" i="15" s="1"/>
  <c r="E92" i="6"/>
  <c r="H92" i="6" s="1"/>
  <c r="E91" i="21"/>
  <c r="H91" i="21" s="1"/>
  <c r="E91" i="20"/>
  <c r="H91" i="20" s="1"/>
  <c r="E91" i="19"/>
  <c r="H91" i="19" s="1"/>
  <c r="E91" i="18"/>
  <c r="H91" i="18" s="1"/>
  <c r="E91" i="16"/>
  <c r="H91" i="16" s="1"/>
  <c r="E91" i="15"/>
  <c r="H91" i="15" s="1"/>
  <c r="E91" i="23"/>
  <c r="H91" i="23" s="1"/>
  <c r="E91" i="14"/>
  <c r="H91" i="14" s="1"/>
  <c r="E91" i="13"/>
  <c r="H91" i="13" s="1"/>
  <c r="E91" i="22"/>
  <c r="H91" i="22" s="1"/>
  <c r="E91" i="12"/>
  <c r="H91" i="12" s="1"/>
  <c r="E91" i="10"/>
  <c r="H91" i="10" s="1"/>
  <c r="E91" i="9"/>
  <c r="H91" i="9" s="1"/>
  <c r="E91" i="8"/>
  <c r="H91" i="8" s="1"/>
  <c r="E91" i="7"/>
  <c r="H91" i="7" s="1"/>
  <c r="E91" i="6"/>
  <c r="H91" i="6" s="1"/>
  <c r="E90" i="6"/>
  <c r="H90" i="6" s="1"/>
  <c r="E90" i="21"/>
  <c r="H90" i="21" s="1"/>
  <c r="E89" i="6"/>
  <c r="H89" i="6" s="1"/>
  <c r="E89" i="21"/>
  <c r="H89" i="21" s="1"/>
  <c r="E90" i="20"/>
  <c r="H90" i="20" s="1"/>
  <c r="E90" i="19"/>
  <c r="H90" i="19" s="1"/>
  <c r="E90" i="18"/>
  <c r="H90" i="18" s="1"/>
  <c r="E90" i="17"/>
  <c r="H90" i="17" s="1"/>
  <c r="E90" i="16"/>
  <c r="H90" i="16" s="1"/>
  <c r="E90" i="15"/>
  <c r="H90" i="15" s="1"/>
  <c r="E90" i="23"/>
  <c r="H90" i="23" s="1"/>
  <c r="E90" i="14"/>
  <c r="H90" i="14" s="1"/>
  <c r="E90" i="13"/>
  <c r="H90" i="13" s="1"/>
  <c r="E90" i="22"/>
  <c r="H90" i="22" s="1"/>
  <c r="E90" i="12"/>
  <c r="H90" i="12" s="1"/>
  <c r="E90" i="10"/>
  <c r="H90" i="10" s="1"/>
  <c r="E90" i="9"/>
  <c r="H90" i="9" s="1"/>
  <c r="E90" i="8"/>
  <c r="H90" i="8" s="1"/>
  <c r="E90" i="7"/>
  <c r="H90" i="7" s="1"/>
  <c r="E89" i="20"/>
  <c r="H89" i="20" s="1"/>
  <c r="E89" i="19"/>
  <c r="H89" i="19" s="1"/>
  <c r="E89" i="17"/>
  <c r="H89" i="17" s="1"/>
  <c r="E89" i="16"/>
  <c r="H89" i="16" s="1"/>
  <c r="E89" i="15"/>
  <c r="H89" i="15" s="1"/>
  <c r="E89" i="23"/>
  <c r="H89" i="23" s="1"/>
  <c r="E89" i="14"/>
  <c r="H89" i="14" s="1"/>
  <c r="E89" i="13"/>
  <c r="H89" i="13" s="1"/>
  <c r="E89" i="22"/>
  <c r="H89" i="22" s="1"/>
  <c r="E89" i="12"/>
  <c r="H89" i="12" s="1"/>
  <c r="E89" i="10"/>
  <c r="H89" i="10" s="1"/>
  <c r="E89" i="9"/>
  <c r="H89" i="9" s="1"/>
  <c r="E89" i="8"/>
  <c r="E89" i="7"/>
  <c r="H89" i="7" s="1"/>
  <c r="E70" i="9"/>
  <c r="H70" i="9" s="1"/>
  <c r="E50" i="21"/>
  <c r="H50" i="21" s="1"/>
  <c r="E53" i="15"/>
  <c r="H53" i="15" s="1"/>
  <c r="E39" i="6"/>
  <c r="E22" i="7"/>
  <c r="H22" i="7" s="1"/>
  <c r="E92" i="14"/>
  <c r="E51" i="21"/>
  <c r="H51" i="21" s="1"/>
  <c r="E50" i="7"/>
  <c r="H50" i="7" s="1"/>
  <c r="E29" i="13"/>
  <c r="H29" i="13" s="1"/>
  <c r="E29" i="22"/>
  <c r="H29" i="22" s="1"/>
  <c r="M5" i="2"/>
  <c r="M4" i="2"/>
  <c r="A5" i="6"/>
  <c r="A5" i="7" s="1"/>
  <c r="A5" i="8" s="1"/>
  <c r="A5" i="9" s="1"/>
  <c r="A5" i="10" s="1"/>
  <c r="A5" i="12" s="1"/>
  <c r="A5" i="22" s="1"/>
  <c r="A5" i="13" s="1"/>
  <c r="A5" i="14" s="1"/>
  <c r="A5" i="23" s="1"/>
  <c r="A5" i="15" s="1"/>
  <c r="A5" i="16" s="1"/>
  <c r="A5" i="17" s="1"/>
  <c r="A5" i="18" s="1"/>
  <c r="A5" i="19" s="1"/>
  <c r="A5" i="20" s="1"/>
  <c r="A5" i="21" s="1"/>
  <c r="E87" i="2"/>
  <c r="E67" i="2"/>
  <c r="E45" i="6"/>
  <c r="H45" i="6" s="1"/>
  <c r="D45" i="6"/>
  <c r="E45" i="7"/>
  <c r="H45" i="7" s="1"/>
  <c r="D45" i="7"/>
  <c r="E45" i="8"/>
  <c r="H45" i="8" s="1"/>
  <c r="D45" i="8"/>
  <c r="E45" i="9"/>
  <c r="H45" i="9" s="1"/>
  <c r="D45" i="9"/>
  <c r="E45" i="10"/>
  <c r="H45" i="10" s="1"/>
  <c r="D45" i="10"/>
  <c r="E45" i="12"/>
  <c r="H45" i="12" s="1"/>
  <c r="D45" i="12"/>
  <c r="F40" i="2"/>
  <c r="F42" i="2" s="1"/>
  <c r="E42" i="2"/>
  <c r="E45" i="22"/>
  <c r="D45" i="22"/>
  <c r="E45" i="13"/>
  <c r="D45" i="13"/>
  <c r="E45" i="14"/>
  <c r="H45" i="14" s="1"/>
  <c r="D45" i="14"/>
  <c r="E45" i="23"/>
  <c r="H45" i="23" s="1"/>
  <c r="D45" i="23"/>
  <c r="E45" i="15"/>
  <c r="H45" i="15" s="1"/>
  <c r="D45" i="15"/>
  <c r="E45" i="16"/>
  <c r="H45" i="16" s="1"/>
  <c r="D45" i="16"/>
  <c r="E45" i="17"/>
  <c r="D45" i="17"/>
  <c r="E45" i="18"/>
  <c r="D45" i="18"/>
  <c r="E45" i="19"/>
  <c r="H45" i="19" s="1"/>
  <c r="D45" i="19"/>
  <c r="E45" i="20"/>
  <c r="H45" i="20" s="1"/>
  <c r="D45" i="20"/>
  <c r="D45" i="21"/>
  <c r="D42" i="23"/>
  <c r="D42" i="15"/>
  <c r="D42" i="16"/>
  <c r="D42" i="17"/>
  <c r="D42" i="18"/>
  <c r="D42" i="19"/>
  <c r="D42" i="20"/>
  <c r="D42" i="21"/>
  <c r="F37" i="2"/>
  <c r="F39" i="2" s="1"/>
  <c r="D37" i="2"/>
  <c r="D39" i="2" s="1"/>
  <c r="E42" i="21"/>
  <c r="H42" i="21" s="1"/>
  <c r="E42" i="20"/>
  <c r="H42" i="20" s="1"/>
  <c r="E42" i="19"/>
  <c r="H42" i="19" s="1"/>
  <c r="E42" i="18"/>
  <c r="H42" i="18" s="1"/>
  <c r="E42" i="17"/>
  <c r="H42" i="17" s="1"/>
  <c r="E42" i="16"/>
  <c r="H42" i="16" s="1"/>
  <c r="E42" i="15"/>
  <c r="H42" i="15" s="1"/>
  <c r="E42" i="23"/>
  <c r="H42" i="23" s="1"/>
  <c r="E42" i="14"/>
  <c r="H42" i="14" s="1"/>
  <c r="E42" i="13"/>
  <c r="H42" i="13" s="1"/>
  <c r="E42" i="22"/>
  <c r="E42" i="12"/>
  <c r="E42" i="10"/>
  <c r="E42" i="9"/>
  <c r="E42" i="8"/>
  <c r="E42" i="7"/>
  <c r="E42" i="6"/>
  <c r="H42" i="6" s="1"/>
  <c r="E39" i="10"/>
  <c r="H39" i="10" s="1"/>
  <c r="E39" i="9"/>
  <c r="H39" i="9" s="1"/>
  <c r="E39" i="8"/>
  <c r="E39" i="7"/>
  <c r="H39" i="7" s="1"/>
  <c r="D39" i="6"/>
  <c r="D39" i="12"/>
  <c r="E39" i="12"/>
  <c r="H39" i="12" s="1"/>
  <c r="D39" i="22"/>
  <c r="E39" i="22"/>
  <c r="H39" i="22" s="1"/>
  <c r="E8" i="2"/>
  <c r="E99" i="2"/>
  <c r="E98" i="2" s="1"/>
  <c r="E103" i="2"/>
  <c r="F103" i="2"/>
  <c r="D103" i="2"/>
  <c r="G10" i="14" l="1"/>
  <c r="G14" i="7"/>
  <c r="G71" i="17"/>
  <c r="G67" i="17" s="1"/>
  <c r="G10" i="23"/>
  <c r="H87" i="2"/>
  <c r="G10" i="2"/>
  <c r="G7" i="2" s="1"/>
  <c r="G9" i="18"/>
  <c r="G80" i="2"/>
  <c r="F71" i="21"/>
  <c r="F55" i="13"/>
  <c r="F12" i="16"/>
  <c r="F12" i="19"/>
  <c r="F71" i="8"/>
  <c r="F71" i="16"/>
  <c r="F67" i="13"/>
  <c r="F12" i="17"/>
  <c r="F12" i="22"/>
  <c r="F55" i="18"/>
  <c r="F55" i="20"/>
  <c r="F15" i="10"/>
  <c r="F12" i="10" s="1"/>
  <c r="F67" i="19"/>
  <c r="G71" i="16"/>
  <c r="G67" i="16" s="1"/>
  <c r="G9" i="16" s="1"/>
  <c r="F12" i="20"/>
  <c r="F15" i="13"/>
  <c r="F12" i="14"/>
  <c r="F55" i="9"/>
  <c r="H89" i="8"/>
  <c r="E88" i="8"/>
  <c r="H88" i="8" s="1"/>
  <c r="F71" i="12"/>
  <c r="F46" i="22"/>
  <c r="F55" i="14"/>
  <c r="F55" i="7"/>
  <c r="F46" i="10"/>
  <c r="F15" i="15"/>
  <c r="F12" i="15" s="1"/>
  <c r="F11" i="15" s="1"/>
  <c r="F55" i="23"/>
  <c r="F67" i="22"/>
  <c r="F10" i="16"/>
  <c r="F67" i="9"/>
  <c r="F15" i="6"/>
  <c r="F15" i="9"/>
  <c r="F67" i="10"/>
  <c r="F10" i="21"/>
  <c r="F46" i="15"/>
  <c r="F71" i="17"/>
  <c r="F71" i="7"/>
  <c r="F10" i="17"/>
  <c r="F46" i="6"/>
  <c r="F12" i="8"/>
  <c r="F15" i="21"/>
  <c r="F67" i="23"/>
  <c r="F10" i="22"/>
  <c r="F67" i="15"/>
  <c r="G15" i="22"/>
  <c r="G12" i="22" s="1"/>
  <c r="G11" i="22" s="1"/>
  <c r="F15" i="18"/>
  <c r="F10" i="14"/>
  <c r="F67" i="6"/>
  <c r="F15" i="12"/>
  <c r="F55" i="21"/>
  <c r="F71" i="14"/>
  <c r="F10" i="13"/>
  <c r="F55" i="19"/>
  <c r="F46" i="19" s="1"/>
  <c r="G71" i="9"/>
  <c r="G67" i="9" s="1"/>
  <c r="G9" i="9" s="1"/>
  <c r="F55" i="12"/>
  <c r="F55" i="16"/>
  <c r="G9" i="17"/>
  <c r="G9" i="14"/>
  <c r="H80" i="2"/>
  <c r="G71" i="10"/>
  <c r="G67" i="10" s="1"/>
  <c r="G9" i="10" s="1"/>
  <c r="G71" i="8"/>
  <c r="G67" i="8" s="1"/>
  <c r="G14" i="8"/>
  <c r="G11" i="7"/>
  <c r="F11" i="7"/>
  <c r="G9" i="19"/>
  <c r="H56" i="2"/>
  <c r="G56" i="2"/>
  <c r="G44" i="2"/>
  <c r="H8" i="2"/>
  <c r="F10" i="18"/>
  <c r="G15" i="18"/>
  <c r="G12" i="18" s="1"/>
  <c r="G11" i="18" s="1"/>
  <c r="G10" i="18"/>
  <c r="G15" i="16"/>
  <c r="G12" i="16" s="1"/>
  <c r="G11" i="16" s="1"/>
  <c r="G10" i="16"/>
  <c r="G14" i="12"/>
  <c r="G12" i="2"/>
  <c r="G9" i="2" s="1"/>
  <c r="G8" i="2" s="1"/>
  <c r="F12" i="7"/>
  <c r="G74" i="8"/>
  <c r="G71" i="2"/>
  <c r="G47" i="12"/>
  <c r="G46" i="12" s="1"/>
  <c r="H45" i="2"/>
  <c r="H44" i="2" s="1"/>
  <c r="G9" i="22"/>
  <c r="F9" i="22"/>
  <c r="G9" i="23"/>
  <c r="H71" i="2"/>
  <c r="G73" i="2"/>
  <c r="H73" i="2"/>
  <c r="G9" i="20"/>
  <c r="G9" i="21"/>
  <c r="H72" i="2"/>
  <c r="H11" i="2"/>
  <c r="H7" i="2"/>
  <c r="G9" i="15"/>
  <c r="G71" i="12"/>
  <c r="G67" i="12" s="1"/>
  <c r="G14" i="10"/>
  <c r="F14" i="8"/>
  <c r="G9" i="7"/>
  <c r="F14" i="7"/>
  <c r="G9" i="6"/>
  <c r="G14" i="6"/>
  <c r="G11" i="6"/>
  <c r="E39" i="2"/>
  <c r="D76" i="7"/>
  <c r="D76" i="6"/>
  <c r="D83" i="7"/>
  <c r="F14" i="10" l="1"/>
  <c r="F12" i="13"/>
  <c r="F11" i="8"/>
  <c r="F11" i="17"/>
  <c r="F11" i="19"/>
  <c r="F67" i="14"/>
  <c r="F11" i="20"/>
  <c r="F67" i="7"/>
  <c r="F12" i="9"/>
  <c r="F14" i="9"/>
  <c r="F46" i="9"/>
  <c r="F67" i="16"/>
  <c r="F11" i="16"/>
  <c r="F46" i="21"/>
  <c r="F12" i="6"/>
  <c r="F14" i="6"/>
  <c r="F46" i="14"/>
  <c r="F11" i="10"/>
  <c r="F9" i="19"/>
  <c r="F11" i="6"/>
  <c r="F12" i="12"/>
  <c r="F46" i="23"/>
  <c r="F46" i="13"/>
  <c r="G70" i="2"/>
  <c r="G66" i="2" s="1"/>
  <c r="F9" i="6"/>
  <c r="F46" i="16"/>
  <c r="F12" i="18"/>
  <c r="F11" i="14"/>
  <c r="F46" i="20"/>
  <c r="F46" i="18"/>
  <c r="F67" i="8"/>
  <c r="F14" i="12"/>
  <c r="F9" i="10"/>
  <c r="F67" i="21"/>
  <c r="F67" i="17"/>
  <c r="F67" i="12"/>
  <c r="F9" i="15"/>
  <c r="F46" i="12"/>
  <c r="F12" i="21"/>
  <c r="F46" i="7"/>
  <c r="F11" i="22"/>
  <c r="G11" i="2"/>
  <c r="H70" i="2"/>
  <c r="H66" i="2" s="1"/>
  <c r="G9" i="12"/>
  <c r="E75" i="20"/>
  <c r="E75" i="21"/>
  <c r="H75" i="21" s="1"/>
  <c r="E75" i="7"/>
  <c r="D82" i="20"/>
  <c r="D75" i="20"/>
  <c r="D75" i="21"/>
  <c r="D75" i="16"/>
  <c r="D75" i="15"/>
  <c r="D75" i="23"/>
  <c r="D75" i="14"/>
  <c r="D75" i="13"/>
  <c r="D75" i="22"/>
  <c r="D75" i="12"/>
  <c r="D75" i="10"/>
  <c r="D75" i="9"/>
  <c r="D75" i="8"/>
  <c r="D69" i="8"/>
  <c r="D69" i="6"/>
  <c r="E69" i="6" s="1"/>
  <c r="D62" i="18"/>
  <c r="D61" i="10"/>
  <c r="D53" i="6"/>
  <c r="D53" i="8"/>
  <c r="D53" i="9"/>
  <c r="D53" i="10"/>
  <c r="D53" i="12"/>
  <c r="D50" i="22"/>
  <c r="D53" i="14"/>
  <c r="D53" i="23"/>
  <c r="D53" i="15"/>
  <c r="D53" i="16"/>
  <c r="D53" i="17"/>
  <c r="D54" i="19"/>
  <c r="D51" i="20"/>
  <c r="D51" i="21"/>
  <c r="F11" i="21" l="1"/>
  <c r="F9" i="21"/>
  <c r="D74" i="2"/>
  <c r="F9" i="12"/>
  <c r="F9" i="16"/>
  <c r="F9" i="13"/>
  <c r="F9" i="14"/>
  <c r="H69" i="6"/>
  <c r="E68" i="6"/>
  <c r="H68" i="6" s="1"/>
  <c r="F9" i="9"/>
  <c r="F9" i="23"/>
  <c r="E72" i="7"/>
  <c r="H72" i="7" s="1"/>
  <c r="H75" i="7"/>
  <c r="F11" i="12"/>
  <c r="F11" i="13"/>
  <c r="F9" i="17"/>
  <c r="F11" i="9"/>
  <c r="H75" i="20"/>
  <c r="E72" i="20"/>
  <c r="H72" i="20" s="1"/>
  <c r="F9" i="18"/>
  <c r="F11" i="18"/>
  <c r="F9" i="7"/>
  <c r="F9" i="20"/>
  <c r="D15" i="2"/>
  <c r="D93" i="6"/>
  <c r="D92" i="6"/>
  <c r="D91" i="13"/>
  <c r="D91" i="12"/>
  <c r="D91" i="10"/>
  <c r="D91" i="8"/>
  <c r="D91" i="7"/>
  <c r="D91" i="6"/>
  <c r="D90" i="10"/>
  <c r="D90" i="8"/>
  <c r="D90" i="6"/>
  <c r="D89" i="6"/>
  <c r="D80" i="9"/>
  <c r="D76" i="9" s="1"/>
  <c r="E83" i="6"/>
  <c r="D83" i="6"/>
  <c r="D86" i="2"/>
  <c r="D82" i="2" s="1"/>
  <c r="D90" i="17"/>
  <c r="D93" i="23"/>
  <c r="D91" i="23"/>
  <c r="D90" i="23"/>
  <c r="D93" i="13"/>
  <c r="D90" i="13"/>
  <c r="D89" i="13"/>
  <c r="D93" i="12"/>
  <c r="D90" i="12"/>
  <c r="D89" i="12"/>
  <c r="D93" i="7"/>
  <c r="D89" i="7"/>
  <c r="E81" i="6" l="1"/>
  <c r="H81" i="6" s="1"/>
  <c r="H83" i="6"/>
  <c r="E98" i="20"/>
  <c r="H98" i="20" s="1"/>
  <c r="E98" i="13"/>
  <c r="H98" i="13" s="1"/>
  <c r="E98" i="22"/>
  <c r="H98" i="22" s="1"/>
  <c r="E98" i="9"/>
  <c r="E98" i="6"/>
  <c r="H98" i="6" s="1"/>
  <c r="E18" i="19"/>
  <c r="H18" i="19" s="1"/>
  <c r="D18" i="19"/>
  <c r="E20" i="19"/>
  <c r="D20" i="19"/>
  <c r="D14" i="19" s="1"/>
  <c r="E29" i="19"/>
  <c r="H29" i="19" s="1"/>
  <c r="D29" i="19"/>
  <c r="E18" i="20"/>
  <c r="H18" i="20" s="1"/>
  <c r="D18" i="20"/>
  <c r="E20" i="20"/>
  <c r="D20" i="20"/>
  <c r="D14" i="20" s="1"/>
  <c r="E29" i="20"/>
  <c r="H29" i="20" s="1"/>
  <c r="D29" i="20"/>
  <c r="E20" i="21"/>
  <c r="D20" i="21"/>
  <c r="D14" i="21" s="1"/>
  <c r="E29" i="21"/>
  <c r="H29" i="21" s="1"/>
  <c r="D29" i="21"/>
  <c r="E36" i="21"/>
  <c r="H36" i="21" s="1"/>
  <c r="D36" i="21"/>
  <c r="E36" i="20"/>
  <c r="H36" i="20" s="1"/>
  <c r="D36" i="20"/>
  <c r="E39" i="20"/>
  <c r="H39" i="20" s="1"/>
  <c r="D39" i="20"/>
  <c r="D34" i="2"/>
  <c r="E36" i="19"/>
  <c r="H36" i="19" s="1"/>
  <c r="D36" i="19"/>
  <c r="E39" i="19"/>
  <c r="H39" i="19" s="1"/>
  <c r="D39" i="19"/>
  <c r="E39" i="18"/>
  <c r="H39" i="18" s="1"/>
  <c r="D39" i="18"/>
  <c r="E36" i="18"/>
  <c r="H36" i="18" s="1"/>
  <c r="D36" i="18"/>
  <c r="D29" i="18"/>
  <c r="E29" i="18"/>
  <c r="H29" i="18" s="1"/>
  <c r="E24" i="18"/>
  <c r="H24" i="18" s="1"/>
  <c r="D24" i="18"/>
  <c r="E20" i="18"/>
  <c r="D20" i="18"/>
  <c r="D14" i="18" s="1"/>
  <c r="D18" i="18"/>
  <c r="E18" i="21"/>
  <c r="H18" i="21" s="1"/>
  <c r="D18" i="21"/>
  <c r="E20" i="17"/>
  <c r="D20" i="17"/>
  <c r="D14" i="17" s="1"/>
  <c r="E24" i="17"/>
  <c r="H24" i="17" s="1"/>
  <c r="D24" i="17"/>
  <c r="E27" i="17"/>
  <c r="H27" i="17" s="1"/>
  <c r="D27" i="17"/>
  <c r="E27" i="21"/>
  <c r="H27" i="21" s="1"/>
  <c r="D27" i="21"/>
  <c r="E29" i="17"/>
  <c r="H29" i="17" s="1"/>
  <c r="D29" i="17"/>
  <c r="E36" i="17"/>
  <c r="H36" i="17" s="1"/>
  <c r="D36" i="17"/>
  <c r="E39" i="21"/>
  <c r="H39" i="21" s="1"/>
  <c r="D39" i="21"/>
  <c r="E39" i="17"/>
  <c r="D39" i="17"/>
  <c r="E18" i="16"/>
  <c r="H18" i="16" s="1"/>
  <c r="D18" i="16"/>
  <c r="E20" i="16"/>
  <c r="D20" i="16"/>
  <c r="D14" i="16" s="1"/>
  <c r="E24" i="16"/>
  <c r="H24" i="16" s="1"/>
  <c r="D24" i="16"/>
  <c r="E27" i="16"/>
  <c r="D27" i="16"/>
  <c r="E29" i="16"/>
  <c r="H29" i="16" s="1"/>
  <c r="D29" i="16"/>
  <c r="E36" i="16"/>
  <c r="H36" i="16" s="1"/>
  <c r="D36" i="16"/>
  <c r="E39" i="16"/>
  <c r="H39" i="16" s="1"/>
  <c r="D39" i="16"/>
  <c r="E20" i="15"/>
  <c r="H20" i="15" s="1"/>
  <c r="D20" i="15"/>
  <c r="D14" i="15" s="1"/>
  <c r="E24" i="15"/>
  <c r="D24" i="15"/>
  <c r="E27" i="15"/>
  <c r="D27" i="15"/>
  <c r="E29" i="15"/>
  <c r="H29" i="15" s="1"/>
  <c r="D29" i="15"/>
  <c r="E36" i="15"/>
  <c r="H36" i="15" s="1"/>
  <c r="D36" i="15"/>
  <c r="E39" i="15"/>
  <c r="H39" i="15" s="1"/>
  <c r="D39" i="15"/>
  <c r="E14" i="15" l="1"/>
  <c r="H14" i="15" s="1"/>
  <c r="E14" i="18"/>
  <c r="H14" i="18" s="1"/>
  <c r="H20" i="18"/>
  <c r="E14" i="21"/>
  <c r="H14" i="21" s="1"/>
  <c r="H20" i="21"/>
  <c r="E14" i="16"/>
  <c r="H14" i="16" s="1"/>
  <c r="H20" i="16"/>
  <c r="H98" i="9"/>
  <c r="E96" i="9"/>
  <c r="H96" i="9" s="1"/>
  <c r="E14" i="20"/>
  <c r="H14" i="20" s="1"/>
  <c r="H20" i="20"/>
  <c r="E14" i="17"/>
  <c r="H14" i="17" s="1"/>
  <c r="H20" i="17"/>
  <c r="E14" i="19"/>
  <c r="H14" i="19" s="1"/>
  <c r="H20" i="19"/>
  <c r="E18" i="23"/>
  <c r="D18" i="23"/>
  <c r="E20" i="23"/>
  <c r="D20" i="23"/>
  <c r="D14" i="23" s="1"/>
  <c r="E29" i="23"/>
  <c r="H29" i="23" s="1"/>
  <c r="D29" i="23"/>
  <c r="E36" i="23"/>
  <c r="H36" i="23" s="1"/>
  <c r="D36" i="23"/>
  <c r="E39" i="23"/>
  <c r="H39" i="23" s="1"/>
  <c r="D39" i="23"/>
  <c r="E18" i="14"/>
  <c r="H18" i="14" s="1"/>
  <c r="D18" i="14"/>
  <c r="E20" i="14"/>
  <c r="D20" i="14"/>
  <c r="D14" i="14" s="1"/>
  <c r="E29" i="14"/>
  <c r="H29" i="14" s="1"/>
  <c r="D29" i="14"/>
  <c r="E36" i="14"/>
  <c r="H36" i="14" s="1"/>
  <c r="D36" i="14"/>
  <c r="E39" i="14"/>
  <c r="H39" i="14" s="1"/>
  <c r="D39" i="14"/>
  <c r="E18" i="13"/>
  <c r="H18" i="13" s="1"/>
  <c r="D18" i="13"/>
  <c r="E20" i="13"/>
  <c r="D20" i="13"/>
  <c r="D14" i="13" s="1"/>
  <c r="D29" i="13"/>
  <c r="E36" i="13"/>
  <c r="H36" i="13" s="1"/>
  <c r="D36" i="13"/>
  <c r="E39" i="13"/>
  <c r="H39" i="13" s="1"/>
  <c r="D39" i="13"/>
  <c r="E18" i="22"/>
  <c r="H18" i="22" s="1"/>
  <c r="D18" i="22"/>
  <c r="E20" i="22"/>
  <c r="D20" i="22"/>
  <c r="D14" i="22" s="1"/>
  <c r="E24" i="22"/>
  <c r="H24" i="22" s="1"/>
  <c r="D24" i="22"/>
  <c r="E36" i="22"/>
  <c r="H36" i="22" s="1"/>
  <c r="D36" i="22"/>
  <c r="D19" i="22"/>
  <c r="E14" i="22" l="1"/>
  <c r="H14" i="22" s="1"/>
  <c r="H20" i="22"/>
  <c r="E14" i="23"/>
  <c r="H14" i="23" s="1"/>
  <c r="H20" i="23"/>
  <c r="E14" i="14"/>
  <c r="H14" i="14" s="1"/>
  <c r="H20" i="14"/>
  <c r="E14" i="13"/>
  <c r="H14" i="13" s="1"/>
  <c r="H20" i="13"/>
  <c r="D21" i="22"/>
  <c r="D36" i="2"/>
  <c r="D21" i="2"/>
  <c r="D24" i="2"/>
  <c r="E36" i="12"/>
  <c r="D36" i="12"/>
  <c r="D30" i="12" s="1"/>
  <c r="E18" i="12"/>
  <c r="H18" i="12" s="1"/>
  <c r="D18" i="12"/>
  <c r="E24" i="12"/>
  <c r="H24" i="12" s="1"/>
  <c r="D24" i="12"/>
  <c r="E27" i="12"/>
  <c r="D27" i="12"/>
  <c r="E18" i="10"/>
  <c r="H18" i="10" s="1"/>
  <c r="D18" i="10"/>
  <c r="E24" i="10"/>
  <c r="D24" i="10"/>
  <c r="E27" i="10"/>
  <c r="D27" i="10"/>
  <c r="E36" i="10"/>
  <c r="D36" i="10"/>
  <c r="D30" i="10" s="1"/>
  <c r="E36" i="9"/>
  <c r="D36" i="9"/>
  <c r="D30" i="9" s="1"/>
  <c r="E18" i="9"/>
  <c r="H18" i="9" s="1"/>
  <c r="D18" i="9"/>
  <c r="E24" i="9"/>
  <c r="H24" i="9" s="1"/>
  <c r="D24" i="9"/>
  <c r="E27" i="9"/>
  <c r="H27" i="9" s="1"/>
  <c r="D27" i="9"/>
  <c r="E36" i="8"/>
  <c r="D36" i="8"/>
  <c r="D30" i="8" s="1"/>
  <c r="D36" i="7"/>
  <c r="D30" i="7" s="1"/>
  <c r="E18" i="8"/>
  <c r="H18" i="8" s="1"/>
  <c r="D18" i="8"/>
  <c r="E24" i="8"/>
  <c r="H24" i="8" s="1"/>
  <c r="E27" i="8"/>
  <c r="H27" i="8" s="1"/>
  <c r="D24" i="8"/>
  <c r="D27" i="8"/>
  <c r="D27" i="7"/>
  <c r="D24" i="7"/>
  <c r="D24" i="6"/>
  <c r="E24" i="7"/>
  <c r="H24" i="7" s="1"/>
  <c r="E27" i="7"/>
  <c r="E18" i="7"/>
  <c r="H18" i="7" s="1"/>
  <c r="D18" i="7"/>
  <c r="D18" i="6"/>
  <c r="E36" i="7"/>
  <c r="E36" i="6"/>
  <c r="D36" i="6"/>
  <c r="D30" i="6" s="1"/>
  <c r="D28" i="6"/>
  <c r="E18" i="6"/>
  <c r="D19" i="6"/>
  <c r="E19" i="6"/>
  <c r="H19" i="6" s="1"/>
  <c r="E24" i="6"/>
  <c r="H24" i="6" s="1"/>
  <c r="D27" i="6"/>
  <c r="E27" i="6"/>
  <c r="E21" i="10" l="1"/>
  <c r="H21" i="10" s="1"/>
  <c r="H24" i="10"/>
  <c r="E30" i="6"/>
  <c r="H30" i="6" s="1"/>
  <c r="H36" i="6"/>
  <c r="E30" i="7"/>
  <c r="H30" i="7" s="1"/>
  <c r="H36" i="7"/>
  <c r="E30" i="9"/>
  <c r="H30" i="9" s="1"/>
  <c r="H36" i="9"/>
  <c r="E30" i="10"/>
  <c r="H30" i="10" s="1"/>
  <c r="H36" i="10"/>
  <c r="E30" i="8"/>
  <c r="H30" i="8" s="1"/>
  <c r="H36" i="8"/>
  <c r="E30" i="12"/>
  <c r="H30" i="12" s="1"/>
  <c r="H36" i="12"/>
  <c r="E21" i="12"/>
  <c r="E21" i="7"/>
  <c r="D21" i="9"/>
  <c r="D15" i="9" s="1"/>
  <c r="D12" i="9" s="1"/>
  <c r="D11" i="9" s="1"/>
  <c r="D21" i="7"/>
  <c r="D15" i="7" s="1"/>
  <c r="D11" i="7" s="1"/>
  <c r="D29" i="6"/>
  <c r="D21" i="10"/>
  <c r="D15" i="10"/>
  <c r="D12" i="10" s="1"/>
  <c r="D11" i="10" s="1"/>
  <c r="E21" i="8"/>
  <c r="D18" i="2"/>
  <c r="D12" i="2" s="1"/>
  <c r="D21" i="12"/>
  <c r="D15" i="12" s="1"/>
  <c r="D12" i="12" s="1"/>
  <c r="D11" i="12" s="1"/>
  <c r="E21" i="9"/>
  <c r="D21" i="8"/>
  <c r="D15" i="8" s="1"/>
  <c r="D12" i="8" s="1"/>
  <c r="D11" i="8" s="1"/>
  <c r="E21" i="6"/>
  <c r="D21" i="6"/>
  <c r="D15" i="6" s="1"/>
  <c r="E15" i="10" l="1"/>
  <c r="E15" i="8"/>
  <c r="H21" i="8"/>
  <c r="E12" i="10"/>
  <c r="H15" i="10"/>
  <c r="E20" i="6"/>
  <c r="H20" i="6" s="1"/>
  <c r="H21" i="6"/>
  <c r="E15" i="7"/>
  <c r="H15" i="7" s="1"/>
  <c r="H21" i="7"/>
  <c r="E15" i="12"/>
  <c r="H15" i="12" s="1"/>
  <c r="H21" i="12"/>
  <c r="E15" i="9"/>
  <c r="H21" i="9"/>
  <c r="D12" i="7"/>
  <c r="E15" i="6"/>
  <c r="D12" i="6"/>
  <c r="D11" i="6"/>
  <c r="D9" i="2"/>
  <c r="E12" i="9" l="1"/>
  <c r="H15" i="9"/>
  <c r="E12" i="12"/>
  <c r="E11" i="7"/>
  <c r="H11" i="7" s="1"/>
  <c r="E12" i="7"/>
  <c r="H12" i="7" s="1"/>
  <c r="E11" i="10"/>
  <c r="H11" i="10" s="1"/>
  <c r="H12" i="10"/>
  <c r="E12" i="8"/>
  <c r="H15" i="8"/>
  <c r="E12" i="6"/>
  <c r="E11" i="6"/>
  <c r="D49" i="6"/>
  <c r="E48" i="6" s="1"/>
  <c r="H48" i="6" s="1"/>
  <c r="E53" i="21"/>
  <c r="H53" i="21" s="1"/>
  <c r="E53" i="20"/>
  <c r="H53" i="20" s="1"/>
  <c r="E53" i="19"/>
  <c r="H53" i="19" s="1"/>
  <c r="E53" i="18"/>
  <c r="H53" i="18" s="1"/>
  <c r="E53" i="17"/>
  <c r="H53" i="17" s="1"/>
  <c r="E53" i="16"/>
  <c r="H53" i="16" s="1"/>
  <c r="E53" i="23"/>
  <c r="H53" i="23" s="1"/>
  <c r="E53" i="14"/>
  <c r="H53" i="14" s="1"/>
  <c r="E53" i="13"/>
  <c r="H53" i="13" s="1"/>
  <c r="E53" i="22"/>
  <c r="H53" i="22" s="1"/>
  <c r="E53" i="12"/>
  <c r="H53" i="12" s="1"/>
  <c r="E53" i="10"/>
  <c r="H53" i="10" s="1"/>
  <c r="E53" i="9"/>
  <c r="E53" i="7"/>
  <c r="H53" i="7" s="1"/>
  <c r="D53" i="2"/>
  <c r="D52" i="2"/>
  <c r="E49" i="6"/>
  <c r="H49" i="6" s="1"/>
  <c r="D45" i="2"/>
  <c r="D48" i="2"/>
  <c r="D47" i="2"/>
  <c r="D102" i="2"/>
  <c r="E11" i="8" l="1"/>
  <c r="H11" i="8" s="1"/>
  <c r="H12" i="8"/>
  <c r="E11" i="12"/>
  <c r="H11" i="12" s="1"/>
  <c r="H12" i="12"/>
  <c r="E52" i="9"/>
  <c r="H52" i="9" s="1"/>
  <c r="H53" i="9"/>
  <c r="E11" i="9"/>
  <c r="H11" i="9" s="1"/>
  <c r="H12" i="9"/>
  <c r="D49" i="2"/>
  <c r="D51" i="2" s="1"/>
  <c r="D31" i="2" l="1"/>
  <c r="D33" i="2" s="1"/>
  <c r="D27" i="2" s="1"/>
  <c r="D8" i="2" s="1"/>
  <c r="F31" i="2"/>
  <c r="D28" i="2"/>
  <c r="F28" i="2"/>
  <c r="D99" i="2"/>
  <c r="D96" i="2"/>
  <c r="F88" i="2"/>
  <c r="I88" i="2" s="1"/>
  <c r="E76" i="6"/>
  <c r="D78" i="2"/>
  <c r="D77" i="2"/>
  <c r="D76" i="2"/>
  <c r="D81" i="2"/>
  <c r="D79" i="2"/>
  <c r="F33" i="2" l="1"/>
  <c r="F27" i="2" s="1"/>
  <c r="I31" i="2"/>
  <c r="E73" i="6"/>
  <c r="H73" i="6" s="1"/>
  <c r="H76" i="6"/>
  <c r="D71" i="2"/>
  <c r="D75" i="2"/>
  <c r="D72" i="2" s="1"/>
  <c r="D98" i="2"/>
  <c r="D70" i="2" l="1"/>
  <c r="D72" i="9"/>
  <c r="E69" i="12"/>
  <c r="H69" i="12" s="1"/>
  <c r="E69" i="8"/>
  <c r="H69" i="8" s="1"/>
  <c r="D69" i="2"/>
  <c r="D68" i="2"/>
  <c r="D67" i="2" l="1"/>
  <c r="D94" i="2"/>
  <c r="D93" i="2"/>
  <c r="D91" i="2"/>
  <c r="D89" i="2"/>
  <c r="D88" i="2" l="1"/>
  <c r="D87" i="2" s="1"/>
  <c r="D65" i="2" l="1"/>
  <c r="D64" i="2"/>
  <c r="D62" i="2"/>
  <c r="D61" i="2"/>
  <c r="D59" i="2"/>
  <c r="D58" i="2"/>
  <c r="D55" i="2"/>
  <c r="D57" i="2" l="1"/>
  <c r="D60" i="2"/>
  <c r="D56" i="2" l="1"/>
  <c r="E47" i="6" l="1"/>
  <c r="H47" i="6" s="1"/>
  <c r="F13" i="2" l="1"/>
  <c r="F99" i="2"/>
  <c r="F102" i="2"/>
  <c r="F96" i="2"/>
  <c r="F89" i="2"/>
  <c r="I89" i="2" s="1"/>
  <c r="F91" i="2"/>
  <c r="I91" i="2" s="1"/>
  <c r="F93" i="2"/>
  <c r="I93" i="2" s="1"/>
  <c r="F94" i="2"/>
  <c r="I94" i="2" s="1"/>
  <c r="F83" i="2"/>
  <c r="F84" i="2"/>
  <c r="F85" i="2"/>
  <c r="F86" i="2"/>
  <c r="F76" i="2"/>
  <c r="F77" i="2"/>
  <c r="F78" i="2"/>
  <c r="F79" i="2"/>
  <c r="F68" i="2"/>
  <c r="I68" i="2" s="1"/>
  <c r="F69" i="2"/>
  <c r="I69" i="2" s="1"/>
  <c r="F64" i="2"/>
  <c r="I64" i="2" s="1"/>
  <c r="F65" i="2"/>
  <c r="F61" i="2"/>
  <c r="F62" i="2"/>
  <c r="F59" i="2"/>
  <c r="F58" i="2"/>
  <c r="F57" i="2" s="1"/>
  <c r="F52" i="2"/>
  <c r="I52" i="2" s="1"/>
  <c r="F53" i="2"/>
  <c r="F48" i="2"/>
  <c r="I48" i="2" s="1"/>
  <c r="F47" i="2"/>
  <c r="I47" i="2" s="1"/>
  <c r="F25" i="2"/>
  <c r="I25" i="2" s="1"/>
  <c r="F34" i="2"/>
  <c r="I34" i="2" s="1"/>
  <c r="F22" i="2"/>
  <c r="F95" i="2" l="1"/>
  <c r="I95" i="2" s="1"/>
  <c r="I96" i="2"/>
  <c r="F98" i="2"/>
  <c r="F24" i="2"/>
  <c r="F15" i="2"/>
  <c r="I15" i="2" s="1"/>
  <c r="I13" i="2"/>
  <c r="F75" i="2"/>
  <c r="F87" i="2"/>
  <c r="I87" i="2" s="1"/>
  <c r="F67" i="2"/>
  <c r="I67" i="2" s="1"/>
  <c r="F36" i="2"/>
  <c r="F26" i="2"/>
  <c r="F82" i="2"/>
  <c r="F49" i="2"/>
  <c r="F63" i="2"/>
  <c r="I63" i="2" s="1"/>
  <c r="F60" i="2"/>
  <c r="F56" i="2" s="1"/>
  <c r="F46" i="2"/>
  <c r="I46" i="2" s="1"/>
  <c r="F72" i="2" l="1"/>
  <c r="F51" i="2"/>
  <c r="I49" i="2"/>
  <c r="F19" i="2"/>
  <c r="F16" i="2" s="1"/>
  <c r="I16" i="2" s="1"/>
  <c r="E96" i="23"/>
  <c r="D96" i="23"/>
  <c r="E94" i="23"/>
  <c r="D94" i="23"/>
  <c r="E88" i="23"/>
  <c r="H88" i="23" s="1"/>
  <c r="D88" i="23"/>
  <c r="E81" i="23"/>
  <c r="H81" i="23" s="1"/>
  <c r="D83" i="23"/>
  <c r="D76" i="23"/>
  <c r="E75" i="23" s="1"/>
  <c r="D72" i="23"/>
  <c r="E68" i="23"/>
  <c r="H68" i="23" s="1"/>
  <c r="D68" i="23"/>
  <c r="D64" i="23"/>
  <c r="E61" i="23"/>
  <c r="H61" i="23" s="1"/>
  <c r="D61" i="23"/>
  <c r="E58" i="23"/>
  <c r="D58" i="23"/>
  <c r="E52" i="23"/>
  <c r="H52" i="23" s="1"/>
  <c r="D52" i="23"/>
  <c r="E49" i="23"/>
  <c r="H49" i="23" s="1"/>
  <c r="D49" i="23"/>
  <c r="E48" i="23" s="1"/>
  <c r="H48" i="23" s="1"/>
  <c r="E28" i="23"/>
  <c r="D28" i="23"/>
  <c r="D30" i="23" s="1"/>
  <c r="E19" i="23"/>
  <c r="D19" i="23"/>
  <c r="E96" i="22"/>
  <c r="H96" i="22" s="1"/>
  <c r="D96" i="22"/>
  <c r="E94" i="22"/>
  <c r="D94" i="22"/>
  <c r="E88" i="22"/>
  <c r="H88" i="22" s="1"/>
  <c r="D88" i="22"/>
  <c r="E81" i="22"/>
  <c r="H81" i="22" s="1"/>
  <c r="D83" i="22"/>
  <c r="E76" i="22"/>
  <c r="D76" i="22"/>
  <c r="E75" i="22" s="1"/>
  <c r="H75" i="22" s="1"/>
  <c r="D72" i="22"/>
  <c r="E68" i="22"/>
  <c r="D68" i="22"/>
  <c r="E64" i="22"/>
  <c r="D64" i="22"/>
  <c r="E61" i="22"/>
  <c r="H61" i="22" s="1"/>
  <c r="D61" i="22"/>
  <c r="E58" i="22"/>
  <c r="D58" i="22"/>
  <c r="E52" i="22"/>
  <c r="H52" i="22" s="1"/>
  <c r="D52" i="22"/>
  <c r="E49" i="22"/>
  <c r="H49" i="22" s="1"/>
  <c r="D49" i="22"/>
  <c r="E28" i="22"/>
  <c r="D28" i="22"/>
  <c r="D30" i="22" s="1"/>
  <c r="E19" i="22"/>
  <c r="H19" i="22" s="1"/>
  <c r="D13" i="22"/>
  <c r="D15" i="22" s="1"/>
  <c r="D12" i="22" s="1"/>
  <c r="E96" i="21"/>
  <c r="H96" i="21" s="1"/>
  <c r="D96" i="21"/>
  <c r="E94" i="21"/>
  <c r="H94" i="21" s="1"/>
  <c r="D94" i="21"/>
  <c r="E88" i="21"/>
  <c r="H88" i="21" s="1"/>
  <c r="D88" i="21"/>
  <c r="D83" i="21"/>
  <c r="D76" i="21"/>
  <c r="D72" i="21"/>
  <c r="E68" i="21"/>
  <c r="D68" i="21"/>
  <c r="E64" i="21"/>
  <c r="H64" i="21" s="1"/>
  <c r="D64" i="21"/>
  <c r="E61" i="21"/>
  <c r="H61" i="21" s="1"/>
  <c r="D61" i="21"/>
  <c r="D58" i="21"/>
  <c r="E52" i="21"/>
  <c r="H52" i="21" s="1"/>
  <c r="D52" i="21"/>
  <c r="E49" i="21"/>
  <c r="H49" i="21" s="1"/>
  <c r="D49" i="21"/>
  <c r="E48" i="21" s="1"/>
  <c r="H48" i="21" s="1"/>
  <c r="E28" i="21"/>
  <c r="D28" i="21"/>
  <c r="D30" i="21" s="1"/>
  <c r="E19" i="21"/>
  <c r="H19" i="21" s="1"/>
  <c r="D19" i="21"/>
  <c r="E96" i="20"/>
  <c r="H96" i="20" s="1"/>
  <c r="D96" i="20"/>
  <c r="E94" i="20"/>
  <c r="H94" i="20" s="1"/>
  <c r="D94" i="20"/>
  <c r="E88" i="20"/>
  <c r="H88" i="20" s="1"/>
  <c r="D88" i="20"/>
  <c r="D83" i="20"/>
  <c r="D76" i="20"/>
  <c r="D72" i="20"/>
  <c r="E68" i="20"/>
  <c r="D68" i="20"/>
  <c r="E64" i="20"/>
  <c r="H64" i="20" s="1"/>
  <c r="D64" i="20"/>
  <c r="E61" i="20"/>
  <c r="H61" i="20" s="1"/>
  <c r="D61" i="20"/>
  <c r="E58" i="20"/>
  <c r="D58" i="20"/>
  <c r="E52" i="20"/>
  <c r="H52" i="20" s="1"/>
  <c r="D52" i="20"/>
  <c r="E49" i="20"/>
  <c r="H49" i="20" s="1"/>
  <c r="D49" i="20"/>
  <c r="E48" i="20" s="1"/>
  <c r="H48" i="20" s="1"/>
  <c r="E28" i="20"/>
  <c r="D28" i="20"/>
  <c r="D30" i="20" s="1"/>
  <c r="E19" i="20"/>
  <c r="H19" i="20" s="1"/>
  <c r="D19" i="20"/>
  <c r="E96" i="19"/>
  <c r="D96" i="19"/>
  <c r="E94" i="19"/>
  <c r="D94" i="19"/>
  <c r="E88" i="19"/>
  <c r="H88" i="19" s="1"/>
  <c r="D88" i="19"/>
  <c r="E83" i="19"/>
  <c r="H83" i="19" s="1"/>
  <c r="D83" i="19"/>
  <c r="D76" i="19"/>
  <c r="D72" i="19"/>
  <c r="E68" i="19"/>
  <c r="D68" i="19"/>
  <c r="E64" i="19"/>
  <c r="D64" i="19"/>
  <c r="E61" i="19"/>
  <c r="H61" i="19" s="1"/>
  <c r="D61" i="19"/>
  <c r="E58" i="19"/>
  <c r="D58" i="19"/>
  <c r="E52" i="19"/>
  <c r="H52" i="19" s="1"/>
  <c r="D52" i="19"/>
  <c r="E49" i="19"/>
  <c r="H49" i="19" s="1"/>
  <c r="D49" i="19"/>
  <c r="E48" i="19" s="1"/>
  <c r="H48" i="19" s="1"/>
  <c r="D47" i="19"/>
  <c r="E28" i="19"/>
  <c r="D28" i="19"/>
  <c r="D30" i="19" s="1"/>
  <c r="E19" i="19"/>
  <c r="H19" i="19" s="1"/>
  <c r="D19" i="19"/>
  <c r="E96" i="18"/>
  <c r="D96" i="18"/>
  <c r="D94" i="18"/>
  <c r="E88" i="18"/>
  <c r="H88" i="18" s="1"/>
  <c r="D88" i="18"/>
  <c r="D83" i="18"/>
  <c r="E82" i="18" s="1"/>
  <c r="H82" i="18" s="1"/>
  <c r="D76" i="18"/>
  <c r="D72" i="18"/>
  <c r="E68" i="18"/>
  <c r="D68" i="18"/>
  <c r="E64" i="18"/>
  <c r="D64" i="18"/>
  <c r="E61" i="18"/>
  <c r="H61" i="18" s="1"/>
  <c r="D61" i="18"/>
  <c r="E56" i="18"/>
  <c r="H56" i="18" s="1"/>
  <c r="D58" i="18"/>
  <c r="E52" i="18"/>
  <c r="H52" i="18" s="1"/>
  <c r="D52" i="18"/>
  <c r="E49" i="18"/>
  <c r="H49" i="18" s="1"/>
  <c r="D49" i="18"/>
  <c r="E48" i="18" s="1"/>
  <c r="H48" i="18" s="1"/>
  <c r="E28" i="18"/>
  <c r="D28" i="18"/>
  <c r="D30" i="18" s="1"/>
  <c r="E19" i="18"/>
  <c r="H19" i="18" s="1"/>
  <c r="D19" i="18"/>
  <c r="E96" i="17"/>
  <c r="H96" i="17" s="1"/>
  <c r="D96" i="17"/>
  <c r="E94" i="17"/>
  <c r="H94" i="17" s="1"/>
  <c r="D94" i="17"/>
  <c r="E88" i="17"/>
  <c r="H88" i="17" s="1"/>
  <c r="D88" i="17"/>
  <c r="D83" i="17"/>
  <c r="D76" i="17"/>
  <c r="D72" i="17"/>
  <c r="E68" i="17"/>
  <c r="D68" i="17"/>
  <c r="E64" i="17"/>
  <c r="H64" i="17" s="1"/>
  <c r="D64" i="17"/>
  <c r="D61" i="17"/>
  <c r="E56" i="17"/>
  <c r="H56" i="17" s="1"/>
  <c r="D58" i="17"/>
  <c r="E52" i="17"/>
  <c r="H52" i="17" s="1"/>
  <c r="D52" i="17"/>
  <c r="E49" i="17"/>
  <c r="H49" i="17" s="1"/>
  <c r="D49" i="17"/>
  <c r="E48" i="17" s="1"/>
  <c r="H48" i="17" s="1"/>
  <c r="E28" i="17"/>
  <c r="D28" i="17"/>
  <c r="D30" i="17" s="1"/>
  <c r="E19" i="17"/>
  <c r="H19" i="17" s="1"/>
  <c r="D19" i="17"/>
  <c r="E96" i="16"/>
  <c r="D96" i="16"/>
  <c r="E94" i="16"/>
  <c r="H94" i="16" s="1"/>
  <c r="D94" i="16"/>
  <c r="E88" i="16"/>
  <c r="H88" i="16" s="1"/>
  <c r="D88" i="16"/>
  <c r="D83" i="16"/>
  <c r="D76" i="16"/>
  <c r="D72" i="16"/>
  <c r="E68" i="16"/>
  <c r="D68" i="16"/>
  <c r="E64" i="16"/>
  <c r="H64" i="16" s="1"/>
  <c r="D64" i="16"/>
  <c r="E61" i="16"/>
  <c r="H61" i="16" s="1"/>
  <c r="D61" i="16"/>
  <c r="D58" i="16"/>
  <c r="E52" i="16"/>
  <c r="H52" i="16" s="1"/>
  <c r="D52" i="16"/>
  <c r="E49" i="16"/>
  <c r="H49" i="16" s="1"/>
  <c r="D49" i="16"/>
  <c r="E28" i="16"/>
  <c r="D28" i="16"/>
  <c r="D30" i="16" s="1"/>
  <c r="E19" i="16"/>
  <c r="H19" i="16" s="1"/>
  <c r="D19" i="16"/>
  <c r="E96" i="15"/>
  <c r="H96" i="15" s="1"/>
  <c r="D96" i="15"/>
  <c r="E94" i="15"/>
  <c r="H94" i="15" s="1"/>
  <c r="D94" i="15"/>
  <c r="E88" i="15"/>
  <c r="H88" i="15" s="1"/>
  <c r="D88" i="15"/>
  <c r="E81" i="15"/>
  <c r="H81" i="15" s="1"/>
  <c r="D83" i="15"/>
  <c r="D76" i="15"/>
  <c r="D72" i="15"/>
  <c r="E68" i="15"/>
  <c r="H68" i="15" s="1"/>
  <c r="D68" i="15"/>
  <c r="E64" i="15"/>
  <c r="D64" i="15"/>
  <c r="E61" i="15"/>
  <c r="H61" i="15" s="1"/>
  <c r="D61" i="15"/>
  <c r="E58" i="15"/>
  <c r="D58" i="15"/>
  <c r="E52" i="15"/>
  <c r="H52" i="15" s="1"/>
  <c r="D52" i="15"/>
  <c r="E49" i="15"/>
  <c r="H49" i="15" s="1"/>
  <c r="D49" i="15"/>
  <c r="E28" i="15"/>
  <c r="D28" i="15"/>
  <c r="D30" i="15" s="1"/>
  <c r="E19" i="15"/>
  <c r="D19" i="15"/>
  <c r="E96" i="14"/>
  <c r="D96" i="14"/>
  <c r="E94" i="14"/>
  <c r="H94" i="14" s="1"/>
  <c r="D94" i="14"/>
  <c r="E88" i="14"/>
  <c r="H88" i="14" s="1"/>
  <c r="D88" i="14"/>
  <c r="E81" i="14"/>
  <c r="H81" i="14" s="1"/>
  <c r="D83" i="14"/>
  <c r="D76" i="14"/>
  <c r="E75" i="14" s="1"/>
  <c r="H75" i="14" s="1"/>
  <c r="D72" i="14"/>
  <c r="D68" i="14"/>
  <c r="E64" i="14"/>
  <c r="D64" i="14"/>
  <c r="E61" i="14"/>
  <c r="H61" i="14" s="1"/>
  <c r="D61" i="14"/>
  <c r="E58" i="14"/>
  <c r="D58" i="14"/>
  <c r="E52" i="14"/>
  <c r="H52" i="14" s="1"/>
  <c r="D52" i="14"/>
  <c r="E49" i="14"/>
  <c r="H49" i="14" s="1"/>
  <c r="D49" i="14"/>
  <c r="E28" i="14"/>
  <c r="D28" i="14"/>
  <c r="D30" i="14" s="1"/>
  <c r="E19" i="14"/>
  <c r="H19" i="14" s="1"/>
  <c r="D19" i="14"/>
  <c r="E96" i="13"/>
  <c r="H96" i="13" s="1"/>
  <c r="D96" i="13"/>
  <c r="E94" i="13"/>
  <c r="D94" i="13"/>
  <c r="E88" i="13"/>
  <c r="H88" i="13" s="1"/>
  <c r="D88" i="13"/>
  <c r="E81" i="13"/>
  <c r="H81" i="13" s="1"/>
  <c r="D83" i="13"/>
  <c r="D76" i="13"/>
  <c r="E75" i="13" s="1"/>
  <c r="H75" i="13" s="1"/>
  <c r="D72" i="13"/>
  <c r="E68" i="13"/>
  <c r="D68" i="13"/>
  <c r="E64" i="13"/>
  <c r="D64" i="13"/>
  <c r="E61" i="13"/>
  <c r="H61" i="13" s="1"/>
  <c r="D61" i="13"/>
  <c r="E58" i="13"/>
  <c r="H58" i="13" s="1"/>
  <c r="D58" i="13"/>
  <c r="E52" i="13"/>
  <c r="H52" i="13" s="1"/>
  <c r="D52" i="13"/>
  <c r="E49" i="13"/>
  <c r="H49" i="13" s="1"/>
  <c r="D49" i="13"/>
  <c r="E48" i="13" s="1"/>
  <c r="H48" i="13" s="1"/>
  <c r="E28" i="13"/>
  <c r="D28" i="13"/>
  <c r="D30" i="13" s="1"/>
  <c r="E19" i="13"/>
  <c r="H19" i="13" s="1"/>
  <c r="D19" i="13"/>
  <c r="E96" i="12"/>
  <c r="H96" i="12" s="1"/>
  <c r="D96" i="12"/>
  <c r="E94" i="12"/>
  <c r="D94" i="12"/>
  <c r="E88" i="12"/>
  <c r="H88" i="12" s="1"/>
  <c r="D88" i="12"/>
  <c r="D83" i="12"/>
  <c r="D76" i="12"/>
  <c r="D72" i="12"/>
  <c r="E68" i="12"/>
  <c r="H68" i="12" s="1"/>
  <c r="D68" i="12"/>
  <c r="E64" i="12"/>
  <c r="D64" i="12"/>
  <c r="E61" i="12"/>
  <c r="H61" i="12" s="1"/>
  <c r="D61" i="12"/>
  <c r="E58" i="12"/>
  <c r="D58" i="12"/>
  <c r="E52" i="12"/>
  <c r="H52" i="12" s="1"/>
  <c r="D52" i="12"/>
  <c r="E49" i="12"/>
  <c r="H49" i="12" s="1"/>
  <c r="D49" i="12"/>
  <c r="E48" i="12" s="1"/>
  <c r="H48" i="12" s="1"/>
  <c r="E28" i="12"/>
  <c r="D28" i="12"/>
  <c r="D29" i="12" s="1"/>
  <c r="E19" i="12"/>
  <c r="H19" i="12" s="1"/>
  <c r="D19" i="12"/>
  <c r="D13" i="12" s="1"/>
  <c r="E96" i="10"/>
  <c r="D96" i="10"/>
  <c r="E94" i="10"/>
  <c r="D94" i="10"/>
  <c r="E88" i="10"/>
  <c r="H88" i="10" s="1"/>
  <c r="D88" i="10"/>
  <c r="D83" i="10"/>
  <c r="D76" i="10"/>
  <c r="E75" i="10" s="1"/>
  <c r="H75" i="10" s="1"/>
  <c r="D72" i="10"/>
  <c r="E68" i="10"/>
  <c r="D68" i="10"/>
  <c r="E64" i="10"/>
  <c r="D64" i="10"/>
  <c r="E61" i="10"/>
  <c r="H61" i="10" s="1"/>
  <c r="E58" i="10"/>
  <c r="D58" i="10"/>
  <c r="E52" i="10"/>
  <c r="H52" i="10" s="1"/>
  <c r="D52" i="10"/>
  <c r="E49" i="10"/>
  <c r="H49" i="10" s="1"/>
  <c r="D49" i="10"/>
  <c r="E48" i="10" s="1"/>
  <c r="H48" i="10" s="1"/>
  <c r="E28" i="10"/>
  <c r="D28" i="10"/>
  <c r="D29" i="10" s="1"/>
  <c r="E19" i="10"/>
  <c r="H19" i="10" s="1"/>
  <c r="D19" i="10"/>
  <c r="D13" i="10" s="1"/>
  <c r="D96" i="9"/>
  <c r="E94" i="9"/>
  <c r="D94" i="9"/>
  <c r="E88" i="9"/>
  <c r="H88" i="9" s="1"/>
  <c r="D88" i="9"/>
  <c r="D83" i="9"/>
  <c r="E76" i="9"/>
  <c r="E68" i="9"/>
  <c r="H68" i="9" s="1"/>
  <c r="D68" i="9"/>
  <c r="E64" i="9"/>
  <c r="D64" i="9"/>
  <c r="E61" i="9"/>
  <c r="H61" i="9" s="1"/>
  <c r="D61" i="9"/>
  <c r="E58" i="9"/>
  <c r="D58" i="9"/>
  <c r="D52" i="9"/>
  <c r="E49" i="9"/>
  <c r="H49" i="9" s="1"/>
  <c r="D49" i="9"/>
  <c r="E48" i="9" s="1"/>
  <c r="H48" i="9" s="1"/>
  <c r="E28" i="9"/>
  <c r="D28" i="9"/>
  <c r="D29" i="9" s="1"/>
  <c r="E19" i="9"/>
  <c r="H19" i="9" s="1"/>
  <c r="D19" i="9"/>
  <c r="D13" i="9" s="1"/>
  <c r="E96" i="8"/>
  <c r="H96" i="8" s="1"/>
  <c r="D96" i="8"/>
  <c r="E94" i="8"/>
  <c r="D94" i="8"/>
  <c r="D88" i="8"/>
  <c r="E83" i="8"/>
  <c r="H83" i="8" s="1"/>
  <c r="D83" i="8"/>
  <c r="D76" i="8"/>
  <c r="E75" i="8" s="1"/>
  <c r="H75" i="8" s="1"/>
  <c r="D72" i="8"/>
  <c r="E68" i="8"/>
  <c r="H68" i="8" s="1"/>
  <c r="D68" i="8"/>
  <c r="E64" i="8"/>
  <c r="H64" i="8" s="1"/>
  <c r="D64" i="8"/>
  <c r="E61" i="8"/>
  <c r="H61" i="8" s="1"/>
  <c r="D61" i="8"/>
  <c r="E58" i="8"/>
  <c r="D58" i="8"/>
  <c r="E52" i="8"/>
  <c r="H52" i="8" s="1"/>
  <c r="D52" i="8"/>
  <c r="E49" i="8"/>
  <c r="H49" i="8" s="1"/>
  <c r="D49" i="8"/>
  <c r="E48" i="8" s="1"/>
  <c r="H48" i="8" s="1"/>
  <c r="E28" i="8"/>
  <c r="D28" i="8"/>
  <c r="D29" i="8" s="1"/>
  <c r="E19" i="8"/>
  <c r="H19" i="8" s="1"/>
  <c r="D19" i="8"/>
  <c r="D13" i="8" s="1"/>
  <c r="E30" i="14" l="1"/>
  <c r="H30" i="14" s="1"/>
  <c r="H28" i="14"/>
  <c r="E56" i="20"/>
  <c r="H56" i="20" s="1"/>
  <c r="H58" i="20"/>
  <c r="E30" i="15"/>
  <c r="H30" i="15" s="1"/>
  <c r="H28" i="15"/>
  <c r="E56" i="22"/>
  <c r="H56" i="22" s="1"/>
  <c r="H58" i="22"/>
  <c r="E56" i="10"/>
  <c r="H56" i="10" s="1"/>
  <c r="H58" i="10"/>
  <c r="E56" i="12"/>
  <c r="H56" i="12" s="1"/>
  <c r="H58" i="12"/>
  <c r="E30" i="16"/>
  <c r="H30" i="16" s="1"/>
  <c r="H28" i="16"/>
  <c r="E30" i="17"/>
  <c r="H30" i="17" s="1"/>
  <c r="H28" i="17"/>
  <c r="E30" i="18"/>
  <c r="H30" i="18" s="1"/>
  <c r="H28" i="18"/>
  <c r="E30" i="19"/>
  <c r="H30" i="19" s="1"/>
  <c r="H28" i="19"/>
  <c r="E56" i="8"/>
  <c r="F56" i="8" s="1"/>
  <c r="H58" i="8"/>
  <c r="E57" i="9"/>
  <c r="H57" i="9" s="1"/>
  <c r="H58" i="9"/>
  <c r="E56" i="23"/>
  <c r="H56" i="23" s="1"/>
  <c r="H58" i="23"/>
  <c r="E56" i="14"/>
  <c r="H56" i="14" s="1"/>
  <c r="H58" i="14"/>
  <c r="E30" i="20"/>
  <c r="H30" i="20" s="1"/>
  <c r="H28" i="20"/>
  <c r="E56" i="15"/>
  <c r="H56" i="15" s="1"/>
  <c r="E57" i="15"/>
  <c r="H57" i="15" s="1"/>
  <c r="H58" i="15"/>
  <c r="E30" i="21"/>
  <c r="H30" i="21" s="1"/>
  <c r="H28" i="21"/>
  <c r="E30" i="22"/>
  <c r="H30" i="22" s="1"/>
  <c r="H28" i="22"/>
  <c r="E29" i="10"/>
  <c r="H28" i="10"/>
  <c r="E29" i="12"/>
  <c r="H29" i="12" s="1"/>
  <c r="H28" i="12"/>
  <c r="E29" i="8"/>
  <c r="H29" i="8" s="1"/>
  <c r="H28" i="8"/>
  <c r="E30" i="13"/>
  <c r="H30" i="13" s="1"/>
  <c r="H28" i="13"/>
  <c r="E56" i="19"/>
  <c r="H56" i="19" s="1"/>
  <c r="H58" i="19"/>
  <c r="E30" i="23"/>
  <c r="H30" i="23" s="1"/>
  <c r="H28" i="23"/>
  <c r="E29" i="9"/>
  <c r="H29" i="9" s="1"/>
  <c r="H28" i="9"/>
  <c r="H75" i="23"/>
  <c r="E72" i="23"/>
  <c r="H72" i="23" s="1"/>
  <c r="F21" i="2"/>
  <c r="F18" i="2" s="1"/>
  <c r="F12" i="2" s="1"/>
  <c r="D57" i="20"/>
  <c r="D55" i="20" s="1"/>
  <c r="E47" i="19"/>
  <c r="H47" i="19" s="1"/>
  <c r="D47" i="17"/>
  <c r="D11" i="22"/>
  <c r="E13" i="22"/>
  <c r="H13" i="22" s="1"/>
  <c r="E21" i="22"/>
  <c r="H21" i="22" s="1"/>
  <c r="E13" i="23"/>
  <c r="E15" i="23" s="1"/>
  <c r="E12" i="23" s="1"/>
  <c r="E21" i="23"/>
  <c r="D13" i="23"/>
  <c r="D15" i="23" s="1"/>
  <c r="D12" i="23" s="1"/>
  <c r="D11" i="23" s="1"/>
  <c r="D21" i="23"/>
  <c r="D47" i="23"/>
  <c r="D73" i="23"/>
  <c r="D71" i="23" s="1"/>
  <c r="D67" i="23" s="1"/>
  <c r="D13" i="16"/>
  <c r="D15" i="16" s="1"/>
  <c r="D12" i="16" s="1"/>
  <c r="D11" i="16" s="1"/>
  <c r="D21" i="16"/>
  <c r="E13" i="16"/>
  <c r="H13" i="16" s="1"/>
  <c r="E21" i="16"/>
  <c r="H21" i="16" s="1"/>
  <c r="D13" i="17"/>
  <c r="D15" i="17" s="1"/>
  <c r="D12" i="17" s="1"/>
  <c r="D11" i="17" s="1"/>
  <c r="D21" i="17"/>
  <c r="E13" i="17"/>
  <c r="E21" i="17"/>
  <c r="H21" i="17" s="1"/>
  <c r="D57" i="17"/>
  <c r="D55" i="17" s="1"/>
  <c r="D13" i="18"/>
  <c r="D15" i="18" s="1"/>
  <c r="D12" i="18" s="1"/>
  <c r="D11" i="18" s="1"/>
  <c r="D21" i="18"/>
  <c r="E13" i="18"/>
  <c r="E21" i="18"/>
  <c r="H21" i="18" s="1"/>
  <c r="D73" i="18"/>
  <c r="D71" i="18" s="1"/>
  <c r="D67" i="18" s="1"/>
  <c r="D13" i="19"/>
  <c r="D15" i="19" s="1"/>
  <c r="D12" i="19" s="1"/>
  <c r="D11" i="19" s="1"/>
  <c r="D21" i="19"/>
  <c r="E13" i="19"/>
  <c r="E21" i="19"/>
  <c r="H21" i="19" s="1"/>
  <c r="E47" i="20"/>
  <c r="H47" i="20" s="1"/>
  <c r="D13" i="20"/>
  <c r="D15" i="20" s="1"/>
  <c r="D12" i="20" s="1"/>
  <c r="D11" i="20" s="1"/>
  <c r="D21" i="20"/>
  <c r="E13" i="20"/>
  <c r="H13" i="20" s="1"/>
  <c r="E21" i="20"/>
  <c r="H21" i="20" s="1"/>
  <c r="D13" i="21"/>
  <c r="D15" i="21" s="1"/>
  <c r="D12" i="21" s="1"/>
  <c r="D11" i="21" s="1"/>
  <c r="D21" i="21"/>
  <c r="E13" i="21"/>
  <c r="E21" i="21"/>
  <c r="H21" i="21" s="1"/>
  <c r="D47" i="21"/>
  <c r="D73" i="19"/>
  <c r="D71" i="19" s="1"/>
  <c r="D67" i="19" s="1"/>
  <c r="E47" i="21"/>
  <c r="H47" i="21" s="1"/>
  <c r="D73" i="21"/>
  <c r="D71" i="21" s="1"/>
  <c r="D67" i="21" s="1"/>
  <c r="D57" i="21"/>
  <c r="D55" i="21" s="1"/>
  <c r="D47" i="20"/>
  <c r="D57" i="19"/>
  <c r="D55" i="19" s="1"/>
  <c r="D46" i="19" s="1"/>
  <c r="D47" i="18"/>
  <c r="E47" i="18"/>
  <c r="H47" i="18" s="1"/>
  <c r="E47" i="17"/>
  <c r="H47" i="17" s="1"/>
  <c r="D57" i="16"/>
  <c r="D55" i="16" s="1"/>
  <c r="E13" i="15"/>
  <c r="E15" i="15" s="1"/>
  <c r="E12" i="15" s="1"/>
  <c r="E11" i="15" s="1"/>
  <c r="H11" i="15" s="1"/>
  <c r="E21" i="15"/>
  <c r="D13" i="15"/>
  <c r="D21" i="15"/>
  <c r="D73" i="15"/>
  <c r="D71" i="15" s="1"/>
  <c r="D67" i="15" s="1"/>
  <c r="D57" i="15"/>
  <c r="D55" i="15" s="1"/>
  <c r="D74" i="23"/>
  <c r="E57" i="23"/>
  <c r="D57" i="23"/>
  <c r="D55" i="23" s="1"/>
  <c r="E13" i="14"/>
  <c r="E21" i="14"/>
  <c r="H21" i="14" s="1"/>
  <c r="D13" i="14"/>
  <c r="D15" i="14" s="1"/>
  <c r="D12" i="14" s="1"/>
  <c r="D11" i="14" s="1"/>
  <c r="D21" i="14"/>
  <c r="D57" i="14"/>
  <c r="D55" i="14" s="1"/>
  <c r="E13" i="13"/>
  <c r="H13" i="13" s="1"/>
  <c r="E21" i="13"/>
  <c r="H21" i="13" s="1"/>
  <c r="D13" i="13"/>
  <c r="D21" i="13"/>
  <c r="E47" i="13"/>
  <c r="H47" i="13" s="1"/>
  <c r="D73" i="13"/>
  <c r="D71" i="13" s="1"/>
  <c r="D67" i="13" s="1"/>
  <c r="E74" i="13"/>
  <c r="H74" i="13" s="1"/>
  <c r="D57" i="13"/>
  <c r="D55" i="13" s="1"/>
  <c r="D57" i="22"/>
  <c r="D55" i="22" s="1"/>
  <c r="D81" i="15"/>
  <c r="D47" i="22"/>
  <c r="E48" i="22"/>
  <c r="D47" i="13"/>
  <c r="E57" i="13"/>
  <c r="H57" i="13" s="1"/>
  <c r="E56" i="13"/>
  <c r="H56" i="13" s="1"/>
  <c r="D81" i="13"/>
  <c r="D81" i="14"/>
  <c r="D74" i="15"/>
  <c r="E75" i="15"/>
  <c r="D74" i="14"/>
  <c r="D47" i="16"/>
  <c r="E48" i="16"/>
  <c r="D57" i="18"/>
  <c r="D55" i="18" s="1"/>
  <c r="D73" i="22"/>
  <c r="D71" i="22" s="1"/>
  <c r="D67" i="22" s="1"/>
  <c r="D81" i="18"/>
  <c r="D74" i="20"/>
  <c r="D74" i="22"/>
  <c r="D81" i="22"/>
  <c r="E13" i="10"/>
  <c r="H13" i="10" s="1"/>
  <c r="E20" i="10"/>
  <c r="H20" i="10" s="1"/>
  <c r="D47" i="15"/>
  <c r="E48" i="15"/>
  <c r="H48" i="15" s="1"/>
  <c r="D81" i="17"/>
  <c r="E82" i="17"/>
  <c r="H82" i="17" s="1"/>
  <c r="E57" i="19"/>
  <c r="E57" i="20"/>
  <c r="D81" i="20"/>
  <c r="E81" i="20"/>
  <c r="H81" i="20" s="1"/>
  <c r="D81" i="21"/>
  <c r="E74" i="22"/>
  <c r="H74" i="22" s="1"/>
  <c r="D47" i="14"/>
  <c r="E48" i="14"/>
  <c r="H48" i="14" s="1"/>
  <c r="D81" i="16"/>
  <c r="D74" i="17"/>
  <c r="E75" i="17"/>
  <c r="D74" i="18"/>
  <c r="D81" i="19"/>
  <c r="D81" i="23"/>
  <c r="D74" i="16"/>
  <c r="E75" i="16"/>
  <c r="D74" i="21"/>
  <c r="E74" i="21"/>
  <c r="H74" i="21" s="1"/>
  <c r="D74" i="13"/>
  <c r="D74" i="19"/>
  <c r="E75" i="19"/>
  <c r="E74" i="20"/>
  <c r="H74" i="20" s="1"/>
  <c r="E47" i="23"/>
  <c r="H47" i="23" s="1"/>
  <c r="E74" i="23"/>
  <c r="H74" i="23" s="1"/>
  <c r="E13" i="12"/>
  <c r="H13" i="12" s="1"/>
  <c r="E20" i="12"/>
  <c r="D73" i="12"/>
  <c r="D71" i="12" s="1"/>
  <c r="D67" i="12" s="1"/>
  <c r="D57" i="12"/>
  <c r="D55" i="12" s="1"/>
  <c r="E57" i="12"/>
  <c r="D47" i="12"/>
  <c r="D74" i="12"/>
  <c r="E75" i="12"/>
  <c r="H75" i="12" s="1"/>
  <c r="D81" i="12"/>
  <c r="E82" i="12"/>
  <c r="H82" i="12" s="1"/>
  <c r="D57" i="10"/>
  <c r="D55" i="10" s="1"/>
  <c r="D73" i="10"/>
  <c r="D71" i="10" s="1"/>
  <c r="D67" i="10" s="1"/>
  <c r="E57" i="10"/>
  <c r="D81" i="10"/>
  <c r="D47" i="10"/>
  <c r="E47" i="10"/>
  <c r="H47" i="10" s="1"/>
  <c r="D74" i="10"/>
  <c r="E13" i="9"/>
  <c r="E20" i="9"/>
  <c r="H20" i="9" s="1"/>
  <c r="D73" i="9"/>
  <c r="D71" i="9" s="1"/>
  <c r="D67" i="9" s="1"/>
  <c r="D57" i="9"/>
  <c r="D55" i="9" s="1"/>
  <c r="D47" i="9"/>
  <c r="D81" i="9"/>
  <c r="E56" i="9"/>
  <c r="H56" i="9" s="1"/>
  <c r="D74" i="9"/>
  <c r="E75" i="9"/>
  <c r="H75" i="9" s="1"/>
  <c r="E13" i="8"/>
  <c r="E20" i="8"/>
  <c r="H20" i="8" s="1"/>
  <c r="D57" i="8"/>
  <c r="D55" i="8" s="1"/>
  <c r="D47" i="8"/>
  <c r="D74" i="8"/>
  <c r="E74" i="8"/>
  <c r="H74" i="8" s="1"/>
  <c r="E47" i="8"/>
  <c r="H47" i="8" s="1"/>
  <c r="D81" i="8"/>
  <c r="D73" i="8"/>
  <c r="D71" i="8" s="1"/>
  <c r="D67" i="8" s="1"/>
  <c r="E73" i="22"/>
  <c r="H73" i="22" s="1"/>
  <c r="E73" i="12"/>
  <c r="H73" i="12" s="1"/>
  <c r="E73" i="10"/>
  <c r="H73" i="10" s="1"/>
  <c r="E73" i="19"/>
  <c r="H73" i="19" s="1"/>
  <c r="E73" i="15"/>
  <c r="H73" i="15" s="1"/>
  <c r="E73" i="23"/>
  <c r="H73" i="23" s="1"/>
  <c r="E73" i="13"/>
  <c r="H73" i="13" s="1"/>
  <c r="E73" i="9"/>
  <c r="H73" i="9" s="1"/>
  <c r="E57" i="14"/>
  <c r="E57" i="18"/>
  <c r="E57" i="21"/>
  <c r="E57" i="22"/>
  <c r="E57" i="8"/>
  <c r="E55" i="15"/>
  <c r="H55" i="15" s="1"/>
  <c r="E57" i="17"/>
  <c r="E57" i="16"/>
  <c r="F10" i="2"/>
  <c r="I10" i="2" s="1"/>
  <c r="E73" i="8"/>
  <c r="H73" i="8" s="1"/>
  <c r="D10" i="22"/>
  <c r="E73" i="21"/>
  <c r="H73" i="21" s="1"/>
  <c r="D73" i="20"/>
  <c r="D71" i="20" s="1"/>
  <c r="D67" i="20" s="1"/>
  <c r="E73" i="20"/>
  <c r="H73" i="20" s="1"/>
  <c r="E73" i="18"/>
  <c r="H73" i="18" s="1"/>
  <c r="D73" i="17"/>
  <c r="D71" i="17" s="1"/>
  <c r="D67" i="17" s="1"/>
  <c r="E73" i="17"/>
  <c r="H73" i="17" s="1"/>
  <c r="D10" i="16"/>
  <c r="D73" i="16"/>
  <c r="D73" i="14"/>
  <c r="D71" i="14" s="1"/>
  <c r="D67" i="14" s="1"/>
  <c r="D10" i="12"/>
  <c r="D10" i="10"/>
  <c r="D10" i="9"/>
  <c r="D10" i="8"/>
  <c r="E74" i="16" l="1"/>
  <c r="H74" i="16" s="1"/>
  <c r="H75" i="16"/>
  <c r="E55" i="16"/>
  <c r="H55" i="16" s="1"/>
  <c r="H57" i="16"/>
  <c r="E14" i="8"/>
  <c r="H14" i="8" s="1"/>
  <c r="H13" i="8"/>
  <c r="E15" i="19"/>
  <c r="H13" i="19"/>
  <c r="E55" i="17"/>
  <c r="H55" i="17" s="1"/>
  <c r="H57" i="17"/>
  <c r="E55" i="20"/>
  <c r="H55" i="20" s="1"/>
  <c r="H57" i="20"/>
  <c r="E47" i="22"/>
  <c r="H47" i="22" s="1"/>
  <c r="H48" i="22"/>
  <c r="E55" i="10"/>
  <c r="H55" i="10" s="1"/>
  <c r="H57" i="10"/>
  <c r="E55" i="19"/>
  <c r="H57" i="19"/>
  <c r="G55" i="2"/>
  <c r="H56" i="8"/>
  <c r="F55" i="8"/>
  <c r="G56" i="8"/>
  <c r="E55" i="8"/>
  <c r="E46" i="8" s="1"/>
  <c r="H57" i="8"/>
  <c r="E47" i="16"/>
  <c r="H47" i="16" s="1"/>
  <c r="H48" i="16"/>
  <c r="E15" i="21"/>
  <c r="H13" i="21"/>
  <c r="D10" i="19"/>
  <c r="E55" i="22"/>
  <c r="H55" i="22" s="1"/>
  <c r="H57" i="22"/>
  <c r="E74" i="17"/>
  <c r="H74" i="17" s="1"/>
  <c r="H75" i="17"/>
  <c r="E55" i="21"/>
  <c r="H55" i="21" s="1"/>
  <c r="H57" i="21"/>
  <c r="E15" i="14"/>
  <c r="H13" i="14"/>
  <c r="E10" i="18"/>
  <c r="H10" i="18" s="1"/>
  <c r="H13" i="18"/>
  <c r="F11" i="2"/>
  <c r="F9" i="2"/>
  <c r="I9" i="2" s="1"/>
  <c r="E55" i="18"/>
  <c r="H55" i="18" s="1"/>
  <c r="H57" i="18"/>
  <c r="E74" i="19"/>
  <c r="H74" i="19" s="1"/>
  <c r="H75" i="19"/>
  <c r="E74" i="15"/>
  <c r="H74" i="15" s="1"/>
  <c r="H75" i="15"/>
  <c r="E55" i="14"/>
  <c r="H55" i="14" s="1"/>
  <c r="H57" i="14"/>
  <c r="E55" i="23"/>
  <c r="H55" i="23" s="1"/>
  <c r="H57" i="23"/>
  <c r="D46" i="20"/>
  <c r="D46" i="17"/>
  <c r="D9" i="17" s="1"/>
  <c r="D10" i="23"/>
  <c r="E14" i="9"/>
  <c r="H14" i="9" s="1"/>
  <c r="H13" i="9"/>
  <c r="D10" i="14"/>
  <c r="E55" i="12"/>
  <c r="H55" i="12" s="1"/>
  <c r="H57" i="12"/>
  <c r="E15" i="17"/>
  <c r="H13" i="17"/>
  <c r="E11" i="23"/>
  <c r="H11" i="23" s="1"/>
  <c r="F7" i="2"/>
  <c r="I7" i="2" s="1"/>
  <c r="E10" i="19"/>
  <c r="H10" i="19" s="1"/>
  <c r="E14" i="10"/>
  <c r="H14" i="10" s="1"/>
  <c r="E15" i="20"/>
  <c r="E15" i="18"/>
  <c r="E15" i="16"/>
  <c r="E15" i="22"/>
  <c r="E14" i="12"/>
  <c r="H14" i="12" s="1"/>
  <c r="F17" i="2"/>
  <c r="E10" i="21"/>
  <c r="H10" i="21" s="1"/>
  <c r="D46" i="21"/>
  <c r="D9" i="21" s="1"/>
  <c r="D10" i="21"/>
  <c r="D10" i="18"/>
  <c r="E10" i="15"/>
  <c r="H10" i="15" s="1"/>
  <c r="D46" i="15"/>
  <c r="D9" i="15" s="1"/>
  <c r="D46" i="23"/>
  <c r="D9" i="23" s="1"/>
  <c r="E10" i="14"/>
  <c r="H10" i="14" s="1"/>
  <c r="E10" i="22"/>
  <c r="H10" i="22" s="1"/>
  <c r="F81" i="2"/>
  <c r="F80" i="2" s="1"/>
  <c r="E74" i="9"/>
  <c r="H74" i="9" s="1"/>
  <c r="F74" i="2"/>
  <c r="F71" i="2" s="1"/>
  <c r="E46" i="21"/>
  <c r="H46" i="21" s="1"/>
  <c r="D46" i="10"/>
  <c r="D9" i="10" s="1"/>
  <c r="E10" i="23"/>
  <c r="H10" i="23" s="1"/>
  <c r="D10" i="15"/>
  <c r="D15" i="15"/>
  <c r="D12" i="15" s="1"/>
  <c r="D11" i="15" s="1"/>
  <c r="E10" i="16"/>
  <c r="H10" i="16" s="1"/>
  <c r="E10" i="17"/>
  <c r="H10" i="17" s="1"/>
  <c r="D10" i="17"/>
  <c r="E10" i="20"/>
  <c r="H10" i="20" s="1"/>
  <c r="D10" i="20"/>
  <c r="D9" i="19"/>
  <c r="E81" i="21"/>
  <c r="H81" i="21" s="1"/>
  <c r="E81" i="19"/>
  <c r="H81" i="19" s="1"/>
  <c r="D46" i="18"/>
  <c r="D9" i="18" s="1"/>
  <c r="E81" i="18"/>
  <c r="H81" i="18" s="1"/>
  <c r="E81" i="17"/>
  <c r="H81" i="17" s="1"/>
  <c r="E81" i="16"/>
  <c r="H81" i="16" s="1"/>
  <c r="D46" i="16"/>
  <c r="E46" i="16"/>
  <c r="H46" i="16" s="1"/>
  <c r="E46" i="23"/>
  <c r="H46" i="23" s="1"/>
  <c r="D46" i="14"/>
  <c r="D9" i="14" s="1"/>
  <c r="E10" i="13"/>
  <c r="H10" i="13" s="1"/>
  <c r="E15" i="13"/>
  <c r="D10" i="13"/>
  <c r="D15" i="13"/>
  <c r="D12" i="13" s="1"/>
  <c r="D11" i="13" s="1"/>
  <c r="D46" i="13"/>
  <c r="D9" i="13" s="1"/>
  <c r="E55" i="13"/>
  <c r="D46" i="22"/>
  <c r="D9" i="22" s="1"/>
  <c r="E72" i="17"/>
  <c r="E47" i="14"/>
  <c r="E47" i="15"/>
  <c r="E10" i="10"/>
  <c r="H10" i="10" s="1"/>
  <c r="E72" i="14"/>
  <c r="E74" i="14"/>
  <c r="H74" i="14" s="1"/>
  <c r="E72" i="21"/>
  <c r="E72" i="22"/>
  <c r="E72" i="19"/>
  <c r="D46" i="8"/>
  <c r="D9" i="8" s="1"/>
  <c r="E72" i="16"/>
  <c r="E72" i="18"/>
  <c r="E74" i="18"/>
  <c r="H74" i="18" s="1"/>
  <c r="E72" i="15"/>
  <c r="E72" i="13"/>
  <c r="E71" i="23"/>
  <c r="D71" i="16"/>
  <c r="D67" i="16" s="1"/>
  <c r="E71" i="20"/>
  <c r="E10" i="12"/>
  <c r="H10" i="12" s="1"/>
  <c r="D46" i="12"/>
  <c r="E81" i="12"/>
  <c r="H81" i="12" s="1"/>
  <c r="E47" i="12"/>
  <c r="E72" i="12"/>
  <c r="E74" i="12"/>
  <c r="H74" i="12" s="1"/>
  <c r="E46" i="10"/>
  <c r="H46" i="10" s="1"/>
  <c r="E81" i="10"/>
  <c r="H81" i="10" s="1"/>
  <c r="E72" i="10"/>
  <c r="E74" i="10"/>
  <c r="H74" i="10" s="1"/>
  <c r="E10" i="9"/>
  <c r="H10" i="9" s="1"/>
  <c r="D46" i="9"/>
  <c r="D9" i="9" s="1"/>
  <c r="E47" i="9"/>
  <c r="H47" i="9" s="1"/>
  <c r="E55" i="9"/>
  <c r="H55" i="9" s="1"/>
  <c r="E72" i="9"/>
  <c r="E81" i="9"/>
  <c r="H81" i="9" s="1"/>
  <c r="E10" i="8"/>
  <c r="H10" i="8" s="1"/>
  <c r="E81" i="8"/>
  <c r="H81" i="8" s="1"/>
  <c r="E72" i="8"/>
  <c r="D9" i="12"/>
  <c r="E46" i="22" l="1"/>
  <c r="H46" i="22" s="1"/>
  <c r="E46" i="17"/>
  <c r="H46" i="17" s="1"/>
  <c r="E71" i="10"/>
  <c r="H72" i="10"/>
  <c r="E67" i="23"/>
  <c r="H67" i="23" s="1"/>
  <c r="H71" i="23"/>
  <c r="E12" i="17"/>
  <c r="H15" i="17"/>
  <c r="E12" i="14"/>
  <c r="H15" i="14"/>
  <c r="E71" i="8"/>
  <c r="H72" i="8"/>
  <c r="E71" i="13"/>
  <c r="H72" i="13"/>
  <c r="E46" i="15"/>
  <c r="H46" i="15" s="1"/>
  <c r="H47" i="15"/>
  <c r="F70" i="2"/>
  <c r="I70" i="2" s="1"/>
  <c r="I71" i="2"/>
  <c r="E71" i="15"/>
  <c r="H72" i="15"/>
  <c r="E46" i="14"/>
  <c r="H46" i="14" s="1"/>
  <c r="H47" i="14"/>
  <c r="G55" i="8"/>
  <c r="G46" i="8" s="1"/>
  <c r="G9" i="8" s="1"/>
  <c r="H55" i="2"/>
  <c r="H54" i="2" s="1"/>
  <c r="H43" i="2" s="1"/>
  <c r="H6" i="2" s="1"/>
  <c r="E71" i="17"/>
  <c r="H72" i="17"/>
  <c r="E12" i="22"/>
  <c r="H15" i="22"/>
  <c r="F46" i="8"/>
  <c r="H55" i="8"/>
  <c r="E71" i="12"/>
  <c r="H72" i="12"/>
  <c r="E71" i="18"/>
  <c r="H72" i="18"/>
  <c r="E12" i="16"/>
  <c r="H15" i="16"/>
  <c r="E46" i="12"/>
  <c r="H46" i="12" s="1"/>
  <c r="H47" i="12"/>
  <c r="E71" i="16"/>
  <c r="H72" i="16"/>
  <c r="E12" i="18"/>
  <c r="H15" i="18"/>
  <c r="G54" i="2"/>
  <c r="E12" i="19"/>
  <c r="H15" i="19"/>
  <c r="E71" i="9"/>
  <c r="H72" i="9"/>
  <c r="E46" i="13"/>
  <c r="H46" i="13" s="1"/>
  <c r="H55" i="13"/>
  <c r="E12" i="20"/>
  <c r="H15" i="20"/>
  <c r="E71" i="19"/>
  <c r="H72" i="19"/>
  <c r="E46" i="18"/>
  <c r="H46" i="18" s="1"/>
  <c r="E46" i="19"/>
  <c r="H46" i="19" s="1"/>
  <c r="H55" i="19"/>
  <c r="E71" i="22"/>
  <c r="H72" i="22"/>
  <c r="E71" i="21"/>
  <c r="H72" i="21"/>
  <c r="E12" i="21"/>
  <c r="H15" i="21"/>
  <c r="E67" i="20"/>
  <c r="H67" i="20" s="1"/>
  <c r="H71" i="20"/>
  <c r="E12" i="13"/>
  <c r="H15" i="13"/>
  <c r="D9" i="16"/>
  <c r="E71" i="14"/>
  <c r="H72" i="14"/>
  <c r="E46" i="20"/>
  <c r="H46" i="20" s="1"/>
  <c r="F8" i="2"/>
  <c r="I8" i="2" s="1"/>
  <c r="F73" i="2"/>
  <c r="E46" i="9"/>
  <c r="E96" i="7"/>
  <c r="H96" i="7" s="1"/>
  <c r="D96" i="7"/>
  <c r="E94" i="7"/>
  <c r="D94" i="7"/>
  <c r="E88" i="7"/>
  <c r="H88" i="7" s="1"/>
  <c r="D88" i="7"/>
  <c r="E83" i="7"/>
  <c r="H83" i="7" s="1"/>
  <c r="E76" i="7"/>
  <c r="E74" i="7"/>
  <c r="H74" i="7" s="1"/>
  <c r="D72" i="7"/>
  <c r="E68" i="7"/>
  <c r="D68" i="7"/>
  <c r="E64" i="7"/>
  <c r="D64" i="7"/>
  <c r="E61" i="7"/>
  <c r="H61" i="7" s="1"/>
  <c r="D61" i="7"/>
  <c r="E58" i="7"/>
  <c r="D58" i="7"/>
  <c r="E52" i="7"/>
  <c r="H52" i="7" s="1"/>
  <c r="D52" i="7"/>
  <c r="E49" i="7"/>
  <c r="H49" i="7" s="1"/>
  <c r="D49" i="7"/>
  <c r="E48" i="7" s="1"/>
  <c r="H48" i="7" s="1"/>
  <c r="E28" i="7"/>
  <c r="D28" i="7"/>
  <c r="D29" i="7" s="1"/>
  <c r="E19" i="7"/>
  <c r="H19" i="7" s="1"/>
  <c r="D19" i="7"/>
  <c r="D13" i="7" s="1"/>
  <c r="E96" i="6"/>
  <c r="H96" i="6" s="1"/>
  <c r="D96" i="6"/>
  <c r="E94" i="6"/>
  <c r="D94" i="6"/>
  <c r="E88" i="6"/>
  <c r="H88" i="6" s="1"/>
  <c r="D88" i="6"/>
  <c r="E74" i="6"/>
  <c r="H74" i="6" s="1"/>
  <c r="D74" i="6"/>
  <c r="D72" i="6"/>
  <c r="D68" i="6"/>
  <c r="D64" i="6"/>
  <c r="D61" i="6"/>
  <c r="E58" i="6"/>
  <c r="D58" i="6"/>
  <c r="D52" i="6"/>
  <c r="D47" i="6"/>
  <c r="E28" i="6"/>
  <c r="E13" i="6"/>
  <c r="D13" i="6"/>
  <c r="D63" i="2"/>
  <c r="D95" i="2"/>
  <c r="D46" i="2"/>
  <c r="D25" i="2"/>
  <c r="D26" i="2" s="1"/>
  <c r="D16" i="2"/>
  <c r="E9" i="23" l="1"/>
  <c r="H9" i="23" s="1"/>
  <c r="E67" i="21"/>
  <c r="H67" i="21" s="1"/>
  <c r="H71" i="21"/>
  <c r="E11" i="16"/>
  <c r="H11" i="16" s="1"/>
  <c r="H12" i="16"/>
  <c r="E11" i="19"/>
  <c r="H11" i="19" s="1"/>
  <c r="H12" i="19"/>
  <c r="E11" i="21"/>
  <c r="H11" i="21" s="1"/>
  <c r="H12" i="21"/>
  <c r="E67" i="17"/>
  <c r="H71" i="17"/>
  <c r="E67" i="13"/>
  <c r="H67" i="13" s="1"/>
  <c r="H71" i="13"/>
  <c r="E29" i="7"/>
  <c r="H29" i="7" s="1"/>
  <c r="H28" i="7"/>
  <c r="H46" i="9"/>
  <c r="E67" i="9"/>
  <c r="H67" i="9" s="1"/>
  <c r="H71" i="9"/>
  <c r="E67" i="8"/>
  <c r="H71" i="8"/>
  <c r="E9" i="12"/>
  <c r="H9" i="12" s="1"/>
  <c r="E67" i="22"/>
  <c r="H71" i="22"/>
  <c r="E14" i="6"/>
  <c r="H13" i="6"/>
  <c r="E67" i="14"/>
  <c r="H67" i="14" s="1"/>
  <c r="H71" i="14"/>
  <c r="E67" i="18"/>
  <c r="H67" i="18" s="1"/>
  <c r="H71" i="18"/>
  <c r="E11" i="14"/>
  <c r="H11" i="14" s="1"/>
  <c r="H12" i="14"/>
  <c r="E29" i="6"/>
  <c r="H29" i="6" s="1"/>
  <c r="H28" i="6"/>
  <c r="G43" i="2"/>
  <c r="G6" i="2" s="1"/>
  <c r="E67" i="12"/>
  <c r="H67" i="12" s="1"/>
  <c r="H71" i="12"/>
  <c r="E67" i="15"/>
  <c r="H71" i="15"/>
  <c r="E11" i="17"/>
  <c r="H11" i="17" s="1"/>
  <c r="H12" i="17"/>
  <c r="H58" i="7"/>
  <c r="E56" i="7"/>
  <c r="E11" i="13"/>
  <c r="H11" i="13" s="1"/>
  <c r="H12" i="13"/>
  <c r="E67" i="19"/>
  <c r="H71" i="19"/>
  <c r="E11" i="18"/>
  <c r="H11" i="18" s="1"/>
  <c r="H12" i="18"/>
  <c r="F9" i="8"/>
  <c r="H46" i="8"/>
  <c r="E57" i="6"/>
  <c r="H58" i="6"/>
  <c r="E9" i="18"/>
  <c r="H9" i="18" s="1"/>
  <c r="E11" i="20"/>
  <c r="H11" i="20" s="1"/>
  <c r="H12" i="20"/>
  <c r="E67" i="16"/>
  <c r="H71" i="16"/>
  <c r="E11" i="22"/>
  <c r="H11" i="22" s="1"/>
  <c r="H12" i="22"/>
  <c r="E67" i="10"/>
  <c r="H71" i="10"/>
  <c r="F66" i="2"/>
  <c r="I66" i="2" s="1"/>
  <c r="E13" i="7"/>
  <c r="H13" i="7" s="1"/>
  <c r="E20" i="7"/>
  <c r="H20" i="7" s="1"/>
  <c r="D10" i="2"/>
  <c r="D11" i="2" s="1"/>
  <c r="D17" i="2"/>
  <c r="D57" i="7"/>
  <c r="D55" i="7" s="1"/>
  <c r="D74" i="7"/>
  <c r="E57" i="7"/>
  <c r="D81" i="7"/>
  <c r="D47" i="7"/>
  <c r="D73" i="7"/>
  <c r="D71" i="7" s="1"/>
  <c r="D67" i="7" s="1"/>
  <c r="D57" i="6"/>
  <c r="D55" i="6" s="1"/>
  <c r="D46" i="6" s="1"/>
  <c r="D81" i="6"/>
  <c r="E72" i="6"/>
  <c r="H72" i="6" s="1"/>
  <c r="D73" i="6"/>
  <c r="D71" i="6" s="1"/>
  <c r="D67" i="6" s="1"/>
  <c r="D10" i="6"/>
  <c r="E73" i="7"/>
  <c r="H73" i="7" s="1"/>
  <c r="D10" i="7"/>
  <c r="E10" i="7"/>
  <c r="H10" i="7" s="1"/>
  <c r="E10" i="6"/>
  <c r="H10" i="6" s="1"/>
  <c r="D54" i="2"/>
  <c r="E55" i="7" l="1"/>
  <c r="H55" i="7" s="1"/>
  <c r="H57" i="7"/>
  <c r="E9" i="19"/>
  <c r="H9" i="19" s="1"/>
  <c r="H67" i="19"/>
  <c r="H67" i="22"/>
  <c r="E9" i="22"/>
  <c r="H9" i="22" s="1"/>
  <c r="H67" i="16"/>
  <c r="E9" i="16"/>
  <c r="H9" i="16" s="1"/>
  <c r="E9" i="13"/>
  <c r="H9" i="13" s="1"/>
  <c r="H56" i="7"/>
  <c r="F55" i="2"/>
  <c r="H67" i="17"/>
  <c r="E9" i="17"/>
  <c r="H9" i="17" s="1"/>
  <c r="H67" i="8"/>
  <c r="E9" i="8"/>
  <c r="E55" i="6"/>
  <c r="H57" i="6"/>
  <c r="H9" i="8"/>
  <c r="H67" i="15"/>
  <c r="E9" i="15"/>
  <c r="H9" i="15" s="1"/>
  <c r="H67" i="10"/>
  <c r="E9" i="10"/>
  <c r="H9" i="10" s="1"/>
  <c r="E9" i="9"/>
  <c r="H9" i="9" s="1"/>
  <c r="E9" i="14"/>
  <c r="H9" i="14" s="1"/>
  <c r="E14" i="7"/>
  <c r="H14" i="7" s="1"/>
  <c r="D46" i="7"/>
  <c r="E81" i="7"/>
  <c r="H81" i="7" s="1"/>
  <c r="D7" i="2"/>
  <c r="E71" i="7"/>
  <c r="F45" i="2"/>
  <c r="I45" i="2" s="1"/>
  <c r="E47" i="7"/>
  <c r="D9" i="7"/>
  <c r="E71" i="6"/>
  <c r="D9" i="6"/>
  <c r="D73" i="2"/>
  <c r="F54" i="2" l="1"/>
  <c r="I54" i="2" s="1"/>
  <c r="I55" i="2"/>
  <c r="E67" i="6"/>
  <c r="H71" i="6"/>
  <c r="E46" i="7"/>
  <c r="H46" i="7" s="1"/>
  <c r="H47" i="7"/>
  <c r="E67" i="7"/>
  <c r="H67" i="7" s="1"/>
  <c r="H71" i="7"/>
  <c r="H55" i="6"/>
  <c r="E46" i="6"/>
  <c r="H46" i="6" s="1"/>
  <c r="F44" i="2"/>
  <c r="I44" i="2" s="1"/>
  <c r="D80" i="2"/>
  <c r="D44" i="2"/>
  <c r="D43" i="2" s="1"/>
  <c r="E9" i="6" l="1"/>
  <c r="H9" i="6" s="1"/>
  <c r="H67" i="6"/>
  <c r="E9" i="7"/>
  <c r="H9" i="7" s="1"/>
  <c r="F43" i="2"/>
  <c r="I43" i="2" s="1"/>
  <c r="F6" i="2"/>
  <c r="M6" i="2" l="1"/>
  <c r="I6" i="2"/>
  <c r="D66" i="2"/>
  <c r="E45" i="21" l="1"/>
  <c r="H45" i="21" s="1"/>
  <c r="E9" i="21"/>
  <c r="H9" i="21" s="1"/>
  <c r="D40" i="2"/>
  <c r="D6" i="2" s="1"/>
  <c r="D42" i="2"/>
  <c r="D9" i="20"/>
  <c r="E9" i="20"/>
  <c r="H9" i="20" s="1"/>
</calcChain>
</file>

<file path=xl/sharedStrings.xml><?xml version="1.0" encoding="utf-8"?>
<sst xmlns="http://schemas.openxmlformats.org/spreadsheetml/2006/main" count="4800" uniqueCount="283">
  <si>
    <t>TT</t>
  </si>
  <si>
    <t>Chỉ tiêu</t>
  </si>
  <si>
    <t>Đơn vị tính</t>
  </si>
  <si>
    <t>1.1</t>
  </si>
  <si>
    <t>Ha</t>
  </si>
  <si>
    <t>1.2</t>
  </si>
  <si>
    <t>Con</t>
  </si>
  <si>
    <t>%</t>
  </si>
  <si>
    <t>STT</t>
  </si>
  <si>
    <t>ĐVT</t>
  </si>
  <si>
    <t>A</t>
  </si>
  <si>
    <t>TRỒNG TRỌT</t>
  </si>
  <si>
    <t>Cây lương thực</t>
  </si>
  <si>
    <t>+</t>
  </si>
  <si>
    <t>Tổng sản lượng lương thực có hạt</t>
  </si>
  <si>
    <t>Tấn</t>
  </si>
  <si>
    <t>-</t>
  </si>
  <si>
    <t>Lúa cả năm</t>
  </si>
  <si>
    <t>a</t>
  </si>
  <si>
    <t>Lúa Đông Xuân</t>
  </si>
  <si>
    <t>b</t>
  </si>
  <si>
    <t>Lúa mùa</t>
  </si>
  <si>
    <t>*</t>
  </si>
  <si>
    <t>Lúa ruộng</t>
  </si>
  <si>
    <t>Lúa rẫy</t>
  </si>
  <si>
    <t>Ngô cả năm</t>
  </si>
  <si>
    <t>Ngô vụ Đông xuân</t>
  </si>
  <si>
    <t>Ngô vụ mùa</t>
  </si>
  <si>
    <t>Sắn</t>
  </si>
  <si>
    <t>Trồng mới</t>
  </si>
  <si>
    <t>Cây lâu năm</t>
  </si>
  <si>
    <t>5.1</t>
  </si>
  <si>
    <t>Cà phê</t>
  </si>
  <si>
    <t>Trồng mới cà phê Vối</t>
  </si>
  <si>
    <t>Cây ăn quả</t>
  </si>
  <si>
    <t>Cây Mắc ca</t>
  </si>
  <si>
    <t>Dược liệu</t>
  </si>
  <si>
    <t>Sâm Ngọc Linh</t>
  </si>
  <si>
    <t>5.2</t>
  </si>
  <si>
    <t>Tổng diện tích dược liệu khác</t>
  </si>
  <si>
    <t>Cây Dược liệu khác trồng mới</t>
  </si>
  <si>
    <t>Cây Dược liệu hàng năm khác</t>
  </si>
  <si>
    <t>B</t>
  </si>
  <si>
    <t>CHĂN NUÔI 
(Trâu, bò, lợn)</t>
  </si>
  <si>
    <t>Trâu</t>
  </si>
  <si>
    <t>Bò</t>
  </si>
  <si>
    <t>Lợn</t>
  </si>
  <si>
    <t>Dê</t>
  </si>
  <si>
    <t>Gia cầm</t>
  </si>
  <si>
    <t>C</t>
  </si>
  <si>
    <t>THỦY SẢN</t>
  </si>
  <si>
    <t>Diện tích nuôi ao hồ nhỏ</t>
  </si>
  <si>
    <t>D</t>
  </si>
  <si>
    <t>LÂM NGHIỆP</t>
  </si>
  <si>
    <t>Trồng rừng phân tán</t>
  </si>
  <si>
    <t>Dân số, Lương thực bình quân</t>
  </si>
  <si>
    <t>Dân số có mặt đầu năm</t>
  </si>
  <si>
    <t>Người</t>
  </si>
  <si>
    <t>Dân số có mặt cuối năm</t>
  </si>
  <si>
    <t>"</t>
  </si>
  <si>
    <t xml:space="preserve">Dân số trung bình trong năm </t>
  </si>
  <si>
    <t>Tỷ lệ tăng dân số tự nhiên</t>
  </si>
  <si>
    <t>Lương thực bình quân đầu người</t>
  </si>
  <si>
    <t>Kg</t>
  </si>
  <si>
    <t>Lao động và việc làm</t>
  </si>
  <si>
    <t>Số người được giải quyết việc làm (tăng thêm trong năm)</t>
  </si>
  <si>
    <t xml:space="preserve">Tỷ lệ lao động qua đào tạo </t>
  </si>
  <si>
    <t xml:space="preserve">Trong đó, tỷ lệ lao động được đào tạo nghề </t>
  </si>
  <si>
    <t>Tỷ lệ lao động từ 15 tuổi trở lên đang làm việc so với tổng dân số</t>
  </si>
  <si>
    <t>Giáo dục và Đào tạo</t>
  </si>
  <si>
    <t>Học sinh</t>
  </si>
  <si>
    <t>Nhà trẻ</t>
  </si>
  <si>
    <t>Mẫu giáo</t>
  </si>
  <si>
    <t>Tiểu học</t>
  </si>
  <si>
    <t>Trung học cơ sở</t>
  </si>
  <si>
    <t>Trung học phổ thông</t>
  </si>
  <si>
    <t>Tỷ lệ học sinh đi học đúng độ tuổi</t>
  </si>
  <si>
    <t>Y tế</t>
  </si>
  <si>
    <t>Tổng số giường bệnh</t>
  </si>
  <si>
    <t>Giường</t>
  </si>
  <si>
    <t>Trung tâm y tế</t>
  </si>
  <si>
    <t>Trạm y tế</t>
  </si>
  <si>
    <t>Số bác sỹ/10.000 dân</t>
  </si>
  <si>
    <t>Số giường bệnh công lập/10.000 dân (không tính giường trạm y tế xã)</t>
  </si>
  <si>
    <t>Tỷ lệ trạm y tế xã có bác sỹ làm việc</t>
  </si>
  <si>
    <t>Tỷ lệ trẻ em &lt; 5 tuổi suy dinh dưỡng thể thấp còi</t>
  </si>
  <si>
    <t>Du lịch, Văn hoá, thể thao, thông tin</t>
  </si>
  <si>
    <t>Tổng lượt khách</t>
  </si>
  <si>
    <t>Tỷ lệ xã có nhà văn hóa</t>
  </si>
  <si>
    <t>Tỷ lệ thôn, làng đạt danh hiệu văn hóa</t>
  </si>
  <si>
    <t>Tỷ lệ gia đình đạt tiêu chuẩn gia đình thể thao</t>
  </si>
  <si>
    <t>Tỷ lệ hộ dân được sử dụng điện</t>
  </si>
  <si>
    <t>Tỷ lệ hộ dân tộc thiểu số có đất ở</t>
  </si>
  <si>
    <t>Tỷ lệ hộ dân tộc thiểu số có đất sản xuất</t>
  </si>
  <si>
    <t>Chỉ tiêu Quốc phòng, an ninh</t>
  </si>
  <si>
    <t>Tỷ lệ giải quyết tố giác, tin báo về tội phạm, kiến nghị khởi tố</t>
  </si>
  <si>
    <t>Tỷ lệ điều tra, khám phá án</t>
  </si>
  <si>
    <t>Công nghiệp</t>
  </si>
  <si>
    <t>Tỷ đồng</t>
  </si>
  <si>
    <t>Hợp tác xã</t>
  </si>
  <si>
    <t>Tổng số hợp tác xã</t>
  </si>
  <si>
    <t>+ Số hợp tác xã thành lập mới</t>
  </si>
  <si>
    <t>+ Số hợp tác xã giải thể</t>
  </si>
  <si>
    <t>Tổng số lao động trong hợp tác xã</t>
  </si>
  <si>
    <t>Tỷ lệ hộ dân tộc thiểu số tham gia vào hợp tác xã</t>
  </si>
  <si>
    <t>Tổng số tổ hợp tác</t>
  </si>
  <si>
    <t>Trồng mới cây ăn quả lâu năm</t>
  </si>
  <si>
    <t>Diện trồng mới</t>
  </si>
  <si>
    <t>Trồng mới cây ăn quả hằng năm</t>
  </si>
  <si>
    <t>Diện tích hiện có cuối năm</t>
  </si>
  <si>
    <t>Sơn Tra</t>
  </si>
  <si>
    <t xml:space="preserve">Ngũ vị tử </t>
  </si>
  <si>
    <t xml:space="preserve">Gừng </t>
  </si>
  <si>
    <t>Sả</t>
  </si>
  <si>
    <t>Dược liệu khác hằng năm……..</t>
  </si>
  <si>
    <t>Trồng mới cà phê xứ lạnh</t>
  </si>
  <si>
    <t>Phụ biểu số 01</t>
  </si>
  <si>
    <t xml:space="preserve">Diện tích hiện có </t>
  </si>
  <si>
    <t>Diện tích cho thu hoạch</t>
  </si>
  <si>
    <t>Cà phê xứ lạnh</t>
  </si>
  <si>
    <t>Cà phê Vối</t>
  </si>
  <si>
    <t>Diện tích dự kiến trồng mới</t>
  </si>
  <si>
    <t>DT trồng mới cây Cây có múi (Cam, chanh, bưởi …..)</t>
  </si>
  <si>
    <t>DT trồng mới sầu riêng, mít, riêng, bơ, xoài…...</t>
  </si>
  <si>
    <t>Diện tích trồng mới cây Dứa, Chuối, …....</t>
  </si>
  <si>
    <t>Các loại cây trồng hằng năm khác …</t>
  </si>
  <si>
    <t xml:space="preserve">Tổng diện tích Sâm Ngọc Linh hiện có </t>
  </si>
  <si>
    <t>Trong đó: dự kiến Trồng mới</t>
  </si>
  <si>
    <t xml:space="preserve">Tổng diện tích dược liệu khác hiện có </t>
  </si>
  <si>
    <t>Dược liệu khác lâu năm ……..</t>
  </si>
  <si>
    <t>Cây Dược liệu lâu năm</t>
  </si>
  <si>
    <t>Dự kiến Trồng mới</t>
  </si>
  <si>
    <t>Nghệ</t>
  </si>
  <si>
    <t>Cây Đảng sâm (Sâm Dây)</t>
  </si>
  <si>
    <t>Diện tích trồng mới rừng</t>
  </si>
  <si>
    <t>Diện tích cho thu hoạch (Hiện có)</t>
  </si>
  <si>
    <t>Tổng số hộ</t>
  </si>
  <si>
    <t>Tổng số nhân khẩu</t>
  </si>
  <si>
    <t>Ghi Chú</t>
  </si>
  <si>
    <t xml:space="preserve">   Năng suất</t>
  </si>
  <si>
    <t>Tạ/ha</t>
  </si>
  <si>
    <t xml:space="preserve">   Sản lượng</t>
  </si>
  <si>
    <t>Trong đó: Lúa</t>
  </si>
  <si>
    <t>Thực hiện 
năm 2025</t>
  </si>
  <si>
    <t>THÔN TU MƠ RÔNG</t>
  </si>
  <si>
    <t>THÔN LONG LEO</t>
  </si>
  <si>
    <t>THÔN ĐĂK CHUM I</t>
  </si>
  <si>
    <t>THÔN ĐĂK CHUM II</t>
  </si>
  <si>
    <t>THÔN TU CẤP</t>
  </si>
  <si>
    <t>THÔN ĐĂK KA</t>
  </si>
  <si>
    <t>THÔN VĂN SANG</t>
  </si>
  <si>
    <t>THÔN ĐĂK NEANG</t>
  </si>
  <si>
    <t>THÔN NGỌC LEANG</t>
  </si>
  <si>
    <t>THÔN ĐĂK SIÊNG</t>
  </si>
  <si>
    <t>THÔN KON TUN</t>
  </si>
  <si>
    <t>THÔN MÔ PẢ</t>
  </si>
  <si>
    <t>THÔN TY TU</t>
  </si>
  <si>
    <t>THÔN KON LING</t>
  </si>
  <si>
    <t>THÔN ĐĂK PỜ TRANG</t>
  </si>
  <si>
    <t>THÔN KON PIA</t>
  </si>
  <si>
    <t>THÔN ĐĂK HÀ</t>
  </si>
  <si>
    <t>Giảm do thu hoạch</t>
  </si>
  <si>
    <t>Đậu</t>
  </si>
  <si>
    <t>Cây rau các loại</t>
  </si>
  <si>
    <t xml:space="preserve">Sản lượng </t>
  </si>
  <si>
    <t>5.3</t>
  </si>
  <si>
    <t>6.1</t>
  </si>
  <si>
    <t>6.2</t>
  </si>
  <si>
    <t>Diện tích quy hoạch 03 loại rừng</t>
  </si>
  <si>
    <t>- Rừng phòng hộ</t>
  </si>
  <si>
    <t>- Rừng sản xuất</t>
  </si>
  <si>
    <t>Diện tích trồng mới rừng tập trung</t>
  </si>
  <si>
    <t>Tỷ trọng bò lai</t>
  </si>
  <si>
    <t>Sản lượng thịt hơi xuất chuồng</t>
  </si>
  <si>
    <t>Kế hoạch Tỉnh Giao năm 2026</t>
  </si>
  <si>
    <t xml:space="preserve">TÌNH HÌNH THỰC HIỆN SẢN XUẤT NÔNG NGHIỆP - THỦY SẢN </t>
  </si>
  <si>
    <t xml:space="preserve"> </t>
  </si>
  <si>
    <t>Năm 2026</t>
  </si>
  <si>
    <t>Kế hoạch</t>
  </si>
  <si>
    <t>So với 
Kế hoạch (%)</t>
  </si>
  <si>
    <t>Ghi chú</t>
  </si>
  <si>
    <t>TÌNH HÌNH THỰC HIỆN SẢN XUẤT NÔNG NGHIỆP - THỦY SẢN THEO ĐỊA BÀN THÁNG 03 NĂM 2026</t>
  </si>
  <si>
    <t>Thực hiện
 Tháng 03</t>
  </si>
  <si>
    <t>Ước thực hiện 
Tháng 04</t>
  </si>
  <si>
    <t xml:space="preserve">CHỈ TIÊU, KẾ HOẠCH PHÁT TRIỂN VĂN HÓA - XÃ HỘI, QUỐC PHÒNG - AN NINH  NĂM 2026                   </t>
  </si>
  <si>
    <t>Kế hoạch Tỉnh Giao 2026</t>
  </si>
  <si>
    <t>Tổng thu ngân sách nhà nước trên địa bàn</t>
  </si>
  <si>
    <t>Triệu đồng</t>
  </si>
  <si>
    <t xml:space="preserve">Tốc độ tăng tổng thu ngân sách nhà nước trên địa bàn bình quân </t>
  </si>
  <si>
    <t>Tốc độ tăng tổng giá trị sản phẩm hằng năm</t>
  </si>
  <si>
    <t>Tuổi thọ trung bình</t>
  </si>
  <si>
    <t>Tuổi</t>
  </si>
  <si>
    <t>Tỷ lệ giới tính của trẻ em mới sinh, số bé trai/100 bé gái</t>
  </si>
  <si>
    <t>Số người trong độ tuổi lao động</t>
  </si>
  <si>
    <t>Hộ</t>
  </si>
  <si>
    <t>Số hộ nghèo</t>
  </si>
  <si>
    <t xml:space="preserve">Số hộ Nghèo giảm </t>
  </si>
  <si>
    <t>Tỷ lệ hộ nghèo</t>
  </si>
  <si>
    <t>Tổng số học sinh có mặt từ đầu năm</t>
  </si>
  <si>
    <t>Tỷ lệ học sinh tốt nghiệp THCS, THPT chuyển sang học nghề</t>
  </si>
  <si>
    <t>Tỷ lệ trường đạt chuẩn quốc gia</t>
  </si>
  <si>
    <t>Tỷ lệ huy động học sinh ra lớp ở các cấp</t>
  </si>
  <si>
    <t>Mầm non</t>
  </si>
  <si>
    <t>Giáo viên đạt chuẩn về trình độ đào tạo, không có giáo viên năng lực yếu, kém</t>
  </si>
  <si>
    <t>Giáo viên</t>
  </si>
  <si>
    <t>Tỷ lệ bao phủ y tế /dân số trung bình</t>
  </si>
  <si>
    <t>Tỷ lệ bao phủ bảo hiểm xã hội so với lực lượng lao động</t>
  </si>
  <si>
    <t>Trong đó: Tỷ lệ bao phủ bảo hiểm tự nguyện/LLLĐ tham gia</t>
  </si>
  <si>
    <t>Tỷ lệ bao phủ bảo hiểm thất nghiệp so với lực lượng lao động</t>
  </si>
  <si>
    <t>Tỷ lệ Trạm y tế xã đạt chuẩn quốc gia, có bác sỹ</t>
  </si>
  <si>
    <t>Tỷ lệ xã đạt bộ tiêu chí quốc gia về y tế xã</t>
  </si>
  <si>
    <t>Tỷ lệ trẻ em dưới 5 tuổi suy dinh dưỡng thể nhẹ cân</t>
  </si>
  <si>
    <t>Số ca ngộ độc thực phẩm cấp tỉnh trong vụ ngộ độc ghi nhận/100.000 dân</t>
  </si>
  <si>
    <t>Ca</t>
  </si>
  <si>
    <t>Tỷ lệ phụ nữ đẻ khám thai ít nhất 4 lần trong 3 thời kỳ thai nghén</t>
  </si>
  <si>
    <t>Tỷ lệ thôn, làng có cô đỡ</t>
  </si>
  <si>
    <t>Tỷ lệ bà mẹ và trẻ sơ sinh được chăm sóc sau sinh</t>
  </si>
  <si>
    <t>Tỷ lệ phụ nữ đẻ được cán bộ có kỹ năng đỡ</t>
  </si>
  <si>
    <t>Tỷ lệ phụ nữ DTTS đẻ được cán bộ có kỹ năng đỡ</t>
  </si>
  <si>
    <t>Tỷ lệ hộ gia đình ở nông thôn có nhà tiêu hợp vệ sinh</t>
  </si>
  <si>
    <t>Tỷ lệ hộ gia đình có nhà tiêu hợp vệ sinh</t>
  </si>
  <si>
    <t>Tỷ suất mắc bệnh truyền nhiễm gây dịch được báo cáo trong năm trên 100.000 dân</t>
  </si>
  <si>
    <t>Tỷ lệ phụ nữ có thai được tiêm phòng đủ Vắc xin phòng uốn ván</t>
  </si>
  <si>
    <t>Tỷ lệ trẻ dưới 1 tuổi được tiêm chủng đầy đủ</t>
  </si>
  <si>
    <t>L/Khách</t>
  </si>
  <si>
    <t>Khách Nội Địa</t>
  </si>
  <si>
    <t>Doanh Thu</t>
  </si>
  <si>
    <t>Điểm du lịch văn hoá</t>
  </si>
  <si>
    <t>Điểm</t>
  </si>
  <si>
    <t>Làng bảo tồn văn hoá truyền thống</t>
  </si>
  <si>
    <t>Làng</t>
  </si>
  <si>
    <t>Làng du lịch đạt chuẩn quốc gia</t>
  </si>
  <si>
    <t>Tỷ lệ gia đình đạt danh hiệu gia đình văn hoá</t>
  </si>
  <si>
    <t>Số thôn triển khai chương trình hành động vì trẻ em</t>
  </si>
  <si>
    <t>Thôn</t>
  </si>
  <si>
    <t>Tỷ lệ nhà ở kiên cố, bán kiên cố</t>
  </si>
  <si>
    <t>HTX</t>
  </si>
  <si>
    <t xml:space="preserve">Tổ hợp tác </t>
  </si>
  <si>
    <t>THT</t>
  </si>
  <si>
    <t xml:space="preserve">Tổng số thành viên tổ hợp tác </t>
  </si>
  <si>
    <t>Khai thác đá, cát, sỏi các loại</t>
  </si>
  <si>
    <t>M3</t>
  </si>
  <si>
    <t>Điện Thương Phẩm</t>
  </si>
  <si>
    <t>Triệu KW/H</t>
  </si>
  <si>
    <t>Tổng mức bán lẻ hàng hoá và doanh thu dịch vụ</t>
  </si>
  <si>
    <t>Xây dựng Nông Thôn Mới</t>
  </si>
  <si>
    <t>Tiêu chí đạt chuẩn NTM</t>
  </si>
  <si>
    <t>tiêu chí</t>
  </si>
  <si>
    <t>Tỷ lệ xã đạt chuẩn NTM</t>
  </si>
  <si>
    <t>Chỉ tiêu về môi trường</t>
  </si>
  <si>
    <t>Tỷ lệ rác thải sinh hoạt ở nông thôn được thu gom và xử lý</t>
  </si>
  <si>
    <t>Tỷ lệ thu gom chất thải rắn sinh hoạt</t>
  </si>
  <si>
    <t>Tỷ lệ hộ gia đình ở khu vực nông thôn sử dụng nước hợp vệ sinh</t>
  </si>
  <si>
    <t>Tỷ lệ dân số được sử dụng nước sạch</t>
  </si>
  <si>
    <t>Diện tích tưới tiêu</t>
  </si>
  <si>
    <t>ha</t>
  </si>
  <si>
    <t>- Trong đó: Tưới bằng công trình kiên cố</t>
  </si>
  <si>
    <t>Tỷ lệ giao quân, tuyển chọn gọi công dân nhập ngũ hằng năm</t>
  </si>
  <si>
    <t>Trong đó: án đặc biệt nghiêm trọng</t>
  </si>
  <si>
    <t>Tỷ lệ xã mạnh về phong trào toàn dân bảo vệ an ninh Tổ quốc</t>
  </si>
  <si>
    <t>Tỷ lệ xã, khu dân cư, cơ quan, trường học đạt tiêu chuẩn an toàn về an ninh trật tự</t>
  </si>
  <si>
    <t>Tỷ lệ giải quyết tin báo, tin tố giác tội phạm, kiến nghị khởi tố hằng năm</t>
  </si>
  <si>
    <t xml:space="preserve">Tỷ lệ Đảng viên trong lực lượng dân quân tự vệ </t>
  </si>
  <si>
    <t>Xã Có thao trường bắn, huấn luyện</t>
  </si>
  <si>
    <t>Thao trường</t>
  </si>
  <si>
    <t>Chỉ tiêu về xây dựng Đảng và hệ thống chính trị</t>
  </si>
  <si>
    <t>Kết nạp Đảng viên mới</t>
  </si>
  <si>
    <t>Đảng viên</t>
  </si>
  <si>
    <t>Tỷ lệ TCCS Đảng hoàn thành tốt nhiệm vụ</t>
  </si>
  <si>
    <t>Quần chúng được tập hợp vào các đoàn thể chính trị-xã hội</t>
  </si>
  <si>
    <t>Tỷ lệ thôn trưởng là đảng viên</t>
  </si>
  <si>
    <t>Tỷ lệ Bí thư chi bộ kiểm thôn trưởng</t>
  </si>
  <si>
    <t>Thực hiện
 Tháng 5</t>
  </si>
  <si>
    <t>Ước thực hiện tháng 06</t>
  </si>
  <si>
    <t>2-3%</t>
  </si>
  <si>
    <r>
      <t xml:space="preserve">Giảm nghèo </t>
    </r>
    <r>
      <rPr>
        <b/>
        <i/>
        <sz val="11"/>
        <rFont val="Times New Roman"/>
        <family val="1"/>
      </rPr>
      <t>(theo chuẩn nghèo tiếp cận đa chiều)</t>
    </r>
  </si>
  <si>
    <t>Khách quốc tế</t>
  </si>
  <si>
    <t>(Kèm theo Báo cáo số        /BC-UBND, Ngày      tháng 5 năm 2026 của UBND xã Tu Mơ Rông)</t>
  </si>
  <si>
    <t>Tỷ lệ xã mạnh về phong trào toàn dân bảo vệ an ninh tổ quốc; xã khu dân cư, cơ quan trường học đạt tiêu chuẩn an toàn về an ninh trật tự</t>
  </si>
  <si>
    <t xml:space="preserve">Ghi chú
</t>
  </si>
  <si>
    <t>Thực hiện
 Tháng 05</t>
  </si>
  <si>
    <t>Ước thực hiện 
Tháng 06</t>
  </si>
  <si>
    <t>Thôn TC
 (0,6ha), Thôn ĐK (0,1ha), Thôn ĐN (0,2ha), thôn LL (0,2ha)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</si>
</sst>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₫_-;\-* #,##0.00\ _₫_-;_-* &quot;-&quot;??\ _₫_-;_-@_-"/>
    <numFmt numFmtId="165" formatCode="_-* #,##0_k_r_._-;\-* #,##0_k_r_._-;_-* &quot;-&quot;??_k_r_._-;_-@"/>
    <numFmt numFmtId="166" formatCode="_-* #,##0.0_k_r_._-;\-* #,##0.0_k_r_._-;_-* &quot;-&quot;??_k_r_._-;_-@"/>
    <numFmt numFmtId="167" formatCode="_-* #,##0.00_k_r_._-;\-* #,##0.00_k_r_._-;_-* &quot;-&quot;??_k_r_._-;_-@"/>
    <numFmt numFmtId="168" formatCode="_(* #,##0_);_(* \(#,##0\);_(* &quot;-&quot;??_);_(@_)"/>
    <numFmt numFmtId="169" formatCode="#,###&quot;  &quot;"/>
    <numFmt numFmtId="170" formatCode="0.0"/>
    <numFmt numFmtId="171" formatCode="_-* #,##0.00\ _₫_-;\-* #,##0.00\ _₫_-;_-* &quot;-&quot;??\ _₫_-;_-@"/>
    <numFmt numFmtId="172" formatCode="_-* #,##0_-;\-* #,##0_-;_-* &quot;-&quot;??_-;_-@_-"/>
    <numFmt numFmtId="173" formatCode="0.0000000000"/>
    <numFmt numFmtId="174" formatCode="_-* #,##0.0_-;\-* #,##0.0_-;_-* &quot;-&quot;??_-;_-@_-"/>
    <numFmt numFmtId="175" formatCode="_-* #,##0\ _₫_-;\-* #,##0\ _₫_-;_-* &quot;-&quot;??\ _₫_-;_-@_-"/>
    <numFmt numFmtId="176" formatCode="_-* #,##0\ _₫_-;\-* #,##0\ _₫_-;_-* &quot;-&quot;??\ _₫_-;_-@"/>
    <numFmt numFmtId="177" formatCode="_-* #,##0.0\ _₫_-;\-* #,##0.0\ _₫_-;_-* &quot;-&quot;??\ _₫_-;_-@"/>
  </numFmts>
  <fonts count="43" x14ac:knownFonts="1">
    <font>
      <sz val="13"/>
      <color rgb="FF000000"/>
      <name val="Times New Roman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name val="Times New Roman"/>
      <family val="1"/>
    </font>
    <font>
      <b/>
      <i/>
      <sz val="12"/>
      <color theme="1"/>
      <name val="Times New Roman"/>
      <family val="1"/>
    </font>
    <font>
      <sz val="13"/>
      <color rgb="FF000000"/>
      <name val="Times New Roman"/>
      <family val="1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  <scheme val="minor"/>
    </font>
    <font>
      <b/>
      <i/>
      <sz val="12"/>
      <name val="Times New Roman"/>
      <family val="1"/>
    </font>
    <font>
      <i/>
      <sz val="13"/>
      <name val="Times New Roman"/>
      <family val="1"/>
      <scheme val="minor"/>
    </font>
    <font>
      <b/>
      <sz val="13"/>
      <name val="Times New Roman"/>
      <family val="1"/>
      <scheme val="minor"/>
    </font>
    <font>
      <b/>
      <sz val="14"/>
      <name val="Times New Roman"/>
      <family val="1"/>
    </font>
    <font>
      <b/>
      <i/>
      <sz val="13"/>
      <name val="Times New Roman"/>
      <family val="1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0000CC"/>
      <name val="Times New Roman"/>
      <family val="1"/>
    </font>
    <font>
      <b/>
      <sz val="14"/>
      <color rgb="FFFF0000"/>
      <name val="Times New Roman"/>
      <family val="1"/>
    </font>
    <font>
      <sz val="13"/>
      <color rgb="FFFF0000"/>
      <name val="Times New Roman"/>
      <family val="1"/>
      <scheme val="minor"/>
    </font>
    <font>
      <b/>
      <sz val="13"/>
      <color rgb="FFFF0000"/>
      <name val="Times New Roman"/>
      <family val="1"/>
      <scheme val="minor"/>
    </font>
    <font>
      <sz val="13"/>
      <color rgb="FF0000CC"/>
      <name val="Times New Roman"/>
      <family val="1"/>
      <scheme val="minor"/>
    </font>
    <font>
      <i/>
      <sz val="13"/>
      <color rgb="FFFF0000"/>
      <name val="Times New Roman"/>
      <family val="1"/>
      <scheme val="minor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b/>
      <sz val="13"/>
      <color rgb="FF0000CC"/>
      <name val="Times New Roman"/>
      <family val="1"/>
      <scheme val="minor"/>
    </font>
    <font>
      <i/>
      <sz val="13"/>
      <color rgb="FF0000CC"/>
      <name val="Times New Roman"/>
      <family val="1"/>
      <scheme val="minor"/>
    </font>
    <font>
      <sz val="13"/>
      <color theme="1"/>
      <name val="Times New Roman"/>
      <family val="1"/>
      <scheme val="minor"/>
    </font>
    <font>
      <i/>
      <sz val="13"/>
      <color theme="1"/>
      <name val="Times New Roman"/>
      <family val="1"/>
      <scheme val="minor"/>
    </font>
    <font>
      <b/>
      <sz val="13"/>
      <color theme="1"/>
      <name val="Times New Roman"/>
      <family val="1"/>
      <scheme val="minor"/>
    </font>
    <font>
      <sz val="13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scheme val="minor"/>
    </font>
    <font>
      <b/>
      <sz val="11"/>
      <name val="Times New Roman"/>
      <family val="1"/>
    </font>
    <font>
      <b/>
      <sz val="11"/>
      <name val="Times New Roman"/>
      <family val="1"/>
      <scheme val="minor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  <scheme val="minor"/>
    </font>
    <font>
      <sz val="11"/>
      <name val="Times New Roman"/>
      <family val="1"/>
    </font>
    <font>
      <sz val="11"/>
      <name val="Times New Roman"/>
      <family val="1"/>
      <scheme val="minor"/>
    </font>
    <font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6" fillId="0" borderId="7"/>
    <xf numFmtId="43" fontId="6" fillId="0" borderId="7" applyFont="0" applyFill="0" applyBorder="0" applyAlignment="0" applyProtection="0"/>
    <xf numFmtId="43" fontId="6" fillId="0" borderId="7" applyFont="0" applyFill="0" applyBorder="0" applyAlignment="0" applyProtection="0"/>
  </cellStyleXfs>
  <cellXfs count="43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43" fontId="7" fillId="0" borderId="7" xfId="1" applyFont="1" applyFill="1" applyBorder="1" applyAlignment="1">
      <alignment vertical="center" wrapText="1"/>
    </xf>
    <xf numFmtId="43" fontId="10" fillId="0" borderId="7" xfId="1" applyFont="1" applyFill="1" applyBorder="1"/>
    <xf numFmtId="43" fontId="7" fillId="0" borderId="7" xfId="1" applyFont="1" applyFill="1" applyBorder="1" applyAlignment="1">
      <alignment vertical="center"/>
    </xf>
    <xf numFmtId="43" fontId="7" fillId="0" borderId="7" xfId="1" applyFont="1" applyFill="1" applyBorder="1" applyAlignment="1">
      <alignment horizontal="center" vertical="center"/>
    </xf>
    <xf numFmtId="43" fontId="10" fillId="0" borderId="7" xfId="1" applyFont="1" applyFill="1" applyBorder="1" applyAlignment="1">
      <alignment horizontal="center" vertical="center"/>
    </xf>
    <xf numFmtId="43" fontId="10" fillId="0" borderId="7" xfId="1" applyFont="1" applyFill="1" applyBorder="1" applyAlignment="1">
      <alignment vertical="center"/>
    </xf>
    <xf numFmtId="43" fontId="7" fillId="0" borderId="7" xfId="1" applyFont="1" applyFill="1" applyBorder="1"/>
    <xf numFmtId="43" fontId="7" fillId="0" borderId="0" xfId="1" applyFont="1" applyFill="1" applyAlignment="1">
      <alignment vertical="center"/>
    </xf>
    <xf numFmtId="43" fontId="10" fillId="0" borderId="0" xfId="1" applyFont="1" applyFill="1" applyAlignment="1">
      <alignment vertical="center"/>
    </xf>
    <xf numFmtId="43" fontId="10" fillId="0" borderId="0" xfId="1" applyFont="1" applyFill="1"/>
    <xf numFmtId="43" fontId="7" fillId="0" borderId="0" xfId="1" applyFont="1" applyFill="1"/>
    <xf numFmtId="0" fontId="10" fillId="0" borderId="0" xfId="0" applyFont="1"/>
    <xf numFmtId="0" fontId="10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/>
    <xf numFmtId="0" fontId="7" fillId="0" borderId="7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/>
    <xf numFmtId="164" fontId="10" fillId="0" borderId="7" xfId="0" applyNumberFormat="1" applyFont="1" applyBorder="1"/>
    <xf numFmtId="2" fontId="10" fillId="0" borderId="0" xfId="0" applyNumberFormat="1" applyFont="1"/>
    <xf numFmtId="2" fontId="10" fillId="0" borderId="7" xfId="0" applyNumberFormat="1" applyFont="1" applyBorder="1"/>
    <xf numFmtId="0" fontId="9" fillId="0" borderId="7" xfId="0" applyFont="1" applyBorder="1" applyAlignment="1">
      <alignment vertical="center"/>
    </xf>
    <xf numFmtId="0" fontId="13" fillId="0" borderId="7" xfId="0" applyFont="1" applyBorder="1"/>
    <xf numFmtId="0" fontId="11" fillId="0" borderId="0" xfId="0" applyFont="1"/>
    <xf numFmtId="43" fontId="7" fillId="0" borderId="0" xfId="1" applyFont="1" applyFill="1" applyAlignment="1">
      <alignment horizontal="center" vertical="center"/>
    </xf>
    <xf numFmtId="43" fontId="10" fillId="0" borderId="0" xfId="1" applyFont="1" applyFill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7" xfId="0" applyFont="1" applyBorder="1"/>
    <xf numFmtId="0" fontId="12" fillId="0" borderId="7" xfId="0" applyFont="1" applyBorder="1"/>
    <xf numFmtId="2" fontId="10" fillId="0" borderId="7" xfId="0" applyNumberFormat="1" applyFont="1" applyBorder="1" applyAlignment="1">
      <alignment vertical="center"/>
    </xf>
    <xf numFmtId="0" fontId="15" fillId="0" borderId="7" xfId="0" applyFont="1" applyBorder="1"/>
    <xf numFmtId="0" fontId="12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43" fontId="9" fillId="0" borderId="0" xfId="1" applyFont="1" applyFill="1" applyAlignment="1">
      <alignment vertical="center"/>
    </xf>
    <xf numFmtId="43" fontId="17" fillId="0" borderId="0" xfId="1" applyFont="1" applyFill="1"/>
    <xf numFmtId="164" fontId="7" fillId="0" borderId="7" xfId="0" applyNumberFormat="1" applyFont="1" applyBorder="1" applyAlignment="1">
      <alignment horizontal="center" vertical="center"/>
    </xf>
    <xf numFmtId="43" fontId="17" fillId="0" borderId="7" xfId="1" applyFont="1" applyFill="1" applyBorder="1" applyAlignment="1">
      <alignment vertical="center" wrapText="1"/>
    </xf>
    <xf numFmtId="43" fontId="17" fillId="0" borderId="7" xfId="1" applyFont="1" applyFill="1" applyBorder="1" applyAlignment="1">
      <alignment horizontal="center" vertical="center" wrapText="1"/>
    </xf>
    <xf numFmtId="43" fontId="18" fillId="0" borderId="7" xfId="1" applyFont="1" applyFill="1" applyBorder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72" fontId="19" fillId="0" borderId="0" xfId="1" applyNumberFormat="1" applyFont="1" applyFill="1" applyAlignment="1">
      <alignment horizontal="center" vertical="center"/>
    </xf>
    <xf numFmtId="172" fontId="19" fillId="0" borderId="0" xfId="1" applyNumberFormat="1" applyFont="1" applyFill="1" applyAlignment="1">
      <alignment vertical="center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43" fontId="17" fillId="0" borderId="0" xfId="1" applyFont="1" applyFill="1" applyAlignment="1">
      <alignment vertical="center"/>
    </xf>
    <xf numFmtId="43" fontId="17" fillId="0" borderId="0" xfId="1" applyFont="1" applyFill="1" applyAlignment="1">
      <alignment horizontal="center" vertical="center"/>
    </xf>
    <xf numFmtId="43" fontId="20" fillId="0" borderId="0" xfId="1" applyFont="1" applyFill="1" applyAlignment="1">
      <alignment horizontal="center" vertical="center"/>
    </xf>
    <xf numFmtId="43" fontId="20" fillId="0" borderId="0" xfId="1" applyFont="1" applyFill="1"/>
    <xf numFmtId="43" fontId="17" fillId="0" borderId="7" xfId="1" applyFont="1" applyFill="1" applyBorder="1" applyAlignment="1">
      <alignment horizontal="center" vertical="center"/>
    </xf>
    <xf numFmtId="43" fontId="20" fillId="0" borderId="0" xfId="1" applyFont="1" applyFill="1" applyAlignment="1">
      <alignment vertical="center"/>
    </xf>
    <xf numFmtId="43" fontId="17" fillId="0" borderId="7" xfId="1" applyFont="1" applyFill="1" applyBorder="1" applyAlignment="1">
      <alignment vertical="center"/>
    </xf>
    <xf numFmtId="172" fontId="10" fillId="0" borderId="0" xfId="1" applyNumberFormat="1" applyFont="1" applyAlignment="1">
      <alignment vertical="center"/>
    </xf>
    <xf numFmtId="164" fontId="10" fillId="0" borderId="0" xfId="0" applyNumberFormat="1" applyFont="1"/>
    <xf numFmtId="0" fontId="8" fillId="0" borderId="0" xfId="0" applyFont="1" applyAlignment="1">
      <alignment horizontal="center" vertical="center"/>
    </xf>
    <xf numFmtId="164" fontId="13" fillId="0" borderId="7" xfId="0" applyNumberFormat="1" applyFont="1" applyBorder="1" applyAlignment="1">
      <alignment vertical="center"/>
    </xf>
    <xf numFmtId="0" fontId="22" fillId="0" borderId="0" xfId="0" applyFont="1"/>
    <xf numFmtId="172" fontId="10" fillId="0" borderId="0" xfId="0" applyNumberFormat="1" applyFont="1" applyAlignment="1">
      <alignment vertical="center"/>
    </xf>
    <xf numFmtId="164" fontId="12" fillId="0" borderId="0" xfId="0" applyNumberFormat="1" applyFont="1"/>
    <xf numFmtId="164" fontId="15" fillId="0" borderId="0" xfId="0" applyNumberFormat="1" applyFont="1"/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0" fontId="22" fillId="0" borderId="7" xfId="0" applyFont="1" applyBorder="1"/>
    <xf numFmtId="172" fontId="12" fillId="0" borderId="0" xfId="1" applyNumberFormat="1" applyFont="1" applyAlignment="1">
      <alignment vertical="center"/>
    </xf>
    <xf numFmtId="43" fontId="7" fillId="0" borderId="7" xfId="1" applyFont="1" applyFill="1" applyBorder="1" applyAlignment="1">
      <alignment horizontal="center" vertical="center" wrapText="1"/>
    </xf>
    <xf numFmtId="43" fontId="21" fillId="0" borderId="0" xfId="1" applyFont="1" applyAlignment="1">
      <alignment vertical="center"/>
    </xf>
    <xf numFmtId="172" fontId="19" fillId="2" borderId="12" xfId="1" applyNumberFormat="1" applyFont="1" applyFill="1" applyBorder="1" applyAlignment="1">
      <alignment horizontal="right" vertical="center" wrapText="1"/>
    </xf>
    <xf numFmtId="172" fontId="10" fillId="0" borderId="0" xfId="0" applyNumberFormat="1" applyFont="1"/>
    <xf numFmtId="2" fontId="12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43" fontId="8" fillId="0" borderId="7" xfId="1" applyFont="1" applyFill="1" applyBorder="1" applyAlignment="1">
      <alignment vertical="center"/>
    </xf>
    <xf numFmtId="43" fontId="8" fillId="0" borderId="7" xfId="1" applyFont="1" applyFill="1" applyBorder="1" applyAlignment="1">
      <alignment horizontal="center" vertical="center"/>
    </xf>
    <xf numFmtId="43" fontId="18" fillId="0" borderId="0" xfId="1" applyFont="1" applyFill="1" applyAlignment="1">
      <alignment vertical="center"/>
    </xf>
    <xf numFmtId="0" fontId="8" fillId="0" borderId="0" xfId="0" applyFont="1"/>
    <xf numFmtId="164" fontId="7" fillId="0" borderId="0" xfId="0" applyNumberFormat="1" applyFont="1" applyAlignment="1">
      <alignment vertical="center"/>
    </xf>
    <xf numFmtId="164" fontId="18" fillId="0" borderId="7" xfId="0" applyNumberFormat="1" applyFont="1" applyBorder="1" applyAlignment="1">
      <alignment vertical="center"/>
    </xf>
    <xf numFmtId="164" fontId="7" fillId="0" borderId="7" xfId="0" applyNumberFormat="1" applyFont="1" applyBorder="1"/>
    <xf numFmtId="0" fontId="9" fillId="0" borderId="0" xfId="0" applyFont="1"/>
    <xf numFmtId="0" fontId="9" fillId="0" borderId="7" xfId="0" applyFont="1" applyBorder="1"/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175" fontId="18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18" fillId="0" borderId="0" xfId="0" applyNumberFormat="1" applyFont="1" applyAlignment="1">
      <alignment vertical="center"/>
    </xf>
    <xf numFmtId="0" fontId="8" fillId="0" borderId="7" xfId="0" applyFont="1" applyBorder="1"/>
    <xf numFmtId="0" fontId="11" fillId="0" borderId="7" xfId="0" applyFont="1" applyBorder="1"/>
    <xf numFmtId="2" fontId="9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43" fontId="8" fillId="0" borderId="0" xfId="1" applyFont="1" applyFill="1" applyAlignment="1">
      <alignment vertical="center"/>
    </xf>
    <xf numFmtId="2" fontId="7" fillId="0" borderId="7" xfId="0" applyNumberFormat="1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center" vertical="center"/>
    </xf>
    <xf numFmtId="164" fontId="9" fillId="0" borderId="0" xfId="0" applyNumberFormat="1" applyFont="1"/>
    <xf numFmtId="164" fontId="17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2" fontId="8" fillId="0" borderId="0" xfId="0" applyNumberFormat="1" applyFont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164" fontId="9" fillId="0" borderId="7" xfId="0" applyNumberFormat="1" applyFont="1" applyBorder="1"/>
    <xf numFmtId="2" fontId="17" fillId="0" borderId="7" xfId="0" applyNumberFormat="1" applyFont="1" applyBorder="1" applyAlignment="1">
      <alignment vertical="center"/>
    </xf>
    <xf numFmtId="164" fontId="17" fillId="0" borderId="7" xfId="0" applyNumberFormat="1" applyFont="1" applyBorder="1"/>
    <xf numFmtId="2" fontId="8" fillId="0" borderId="7" xfId="0" applyNumberFormat="1" applyFont="1" applyBorder="1" applyAlignment="1">
      <alignment vertical="center"/>
    </xf>
    <xf numFmtId="2" fontId="16" fillId="0" borderId="7" xfId="0" applyNumberFormat="1" applyFont="1" applyBorder="1" applyAlignment="1">
      <alignment vertical="center"/>
    </xf>
    <xf numFmtId="2" fontId="13" fillId="0" borderId="7" xfId="0" applyNumberFormat="1" applyFont="1" applyBorder="1" applyAlignment="1">
      <alignment vertical="center"/>
    </xf>
    <xf numFmtId="2" fontId="9" fillId="0" borderId="7" xfId="0" applyNumberFormat="1" applyFont="1" applyBorder="1"/>
    <xf numFmtId="164" fontId="7" fillId="0" borderId="0" xfId="0" applyNumberFormat="1" applyFont="1" applyAlignment="1">
      <alignment horizontal="center" vertical="center"/>
    </xf>
    <xf numFmtId="164" fontId="22" fillId="0" borderId="7" xfId="0" applyNumberFormat="1" applyFont="1" applyBorder="1"/>
    <xf numFmtId="172" fontId="7" fillId="0" borderId="7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164" fontId="22" fillId="0" borderId="0" xfId="0" applyNumberFormat="1" applyFont="1" applyAlignment="1">
      <alignment vertical="center"/>
    </xf>
    <xf numFmtId="43" fontId="12" fillId="0" borderId="0" xfId="1" applyFont="1" applyFill="1" applyAlignment="1">
      <alignment vertical="center"/>
    </xf>
    <xf numFmtId="172" fontId="12" fillId="0" borderId="0" xfId="1" applyNumberFormat="1" applyFont="1" applyFill="1" applyAlignment="1">
      <alignment vertical="center"/>
    </xf>
    <xf numFmtId="43" fontId="22" fillId="0" borderId="0" xfId="1" applyFont="1" applyFill="1" applyAlignment="1">
      <alignment vertical="center"/>
    </xf>
    <xf numFmtId="172" fontId="22" fillId="0" borderId="0" xfId="1" applyNumberFormat="1" applyFont="1" applyFill="1" applyAlignment="1">
      <alignment vertical="center"/>
    </xf>
    <xf numFmtId="172" fontId="22" fillId="0" borderId="0" xfId="1" applyNumberFormat="1" applyFont="1" applyAlignment="1">
      <alignment vertical="center"/>
    </xf>
    <xf numFmtId="2" fontId="18" fillId="0" borderId="7" xfId="0" applyNumberFormat="1" applyFont="1" applyBorder="1" applyAlignment="1">
      <alignment vertical="center"/>
    </xf>
    <xf numFmtId="164" fontId="18" fillId="0" borderId="0" xfId="0" applyNumberFormat="1" applyFont="1" applyAlignment="1">
      <alignment vertical="center"/>
    </xf>
    <xf numFmtId="43" fontId="22" fillId="0" borderId="7" xfId="1" applyFont="1" applyFill="1" applyBorder="1"/>
    <xf numFmtId="43" fontId="22" fillId="0" borderId="0" xfId="1" applyFont="1" applyAlignment="1">
      <alignment vertical="center"/>
    </xf>
    <xf numFmtId="43" fontId="26" fillId="0" borderId="0" xfId="1" applyFont="1" applyFill="1" applyAlignment="1">
      <alignment vertical="center"/>
    </xf>
    <xf numFmtId="0" fontId="27" fillId="0" borderId="0" xfId="0" applyFont="1"/>
    <xf numFmtId="43" fontId="13" fillId="0" borderId="0" xfId="1" applyFont="1" applyFill="1"/>
    <xf numFmtId="164" fontId="13" fillId="0" borderId="0" xfId="0" applyNumberFormat="1" applyFont="1"/>
    <xf numFmtId="43" fontId="7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64" fontId="26" fillId="0" borderId="0" xfId="0" applyNumberFormat="1" applyFont="1" applyAlignment="1">
      <alignment vertical="center"/>
    </xf>
    <xf numFmtId="0" fontId="24" fillId="0" borderId="7" xfId="0" applyFont="1" applyBorder="1" applyAlignment="1">
      <alignment vertical="center"/>
    </xf>
    <xf numFmtId="164" fontId="11" fillId="0" borderId="7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64" fontId="9" fillId="0" borderId="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173" fontId="9" fillId="0" borderId="7" xfId="0" applyNumberFormat="1" applyFont="1" applyBorder="1" applyAlignment="1">
      <alignment vertical="center"/>
    </xf>
    <xf numFmtId="174" fontId="18" fillId="0" borderId="7" xfId="1" applyNumberFormat="1" applyFont="1" applyFill="1" applyBorder="1" applyAlignment="1">
      <alignment horizontal="right" vertical="center"/>
    </xf>
    <xf numFmtId="2" fontId="26" fillId="0" borderId="0" xfId="0" applyNumberFormat="1" applyFont="1" applyAlignment="1">
      <alignment vertical="center"/>
    </xf>
    <xf numFmtId="0" fontId="25" fillId="0" borderId="7" xfId="0" applyFont="1" applyBorder="1" applyAlignment="1">
      <alignment vertical="center"/>
    </xf>
    <xf numFmtId="43" fontId="27" fillId="0" borderId="0" xfId="1" applyFont="1" applyFill="1" applyAlignment="1">
      <alignment vertical="center"/>
    </xf>
    <xf numFmtId="2" fontId="27" fillId="0" borderId="0" xfId="0" applyNumberFormat="1" applyFont="1"/>
    <xf numFmtId="43" fontId="13" fillId="0" borderId="0" xfId="1" applyFont="1" applyFill="1" applyAlignment="1">
      <alignment vertical="center"/>
    </xf>
    <xf numFmtId="172" fontId="10" fillId="0" borderId="0" xfId="1" applyNumberFormat="1" applyFont="1" applyFill="1" applyAlignment="1">
      <alignment vertical="center"/>
    </xf>
    <xf numFmtId="43" fontId="3" fillId="0" borderId="6" xfId="1" applyFont="1" applyFill="1" applyBorder="1" applyAlignment="1">
      <alignment vertical="center" wrapText="1"/>
    </xf>
    <xf numFmtId="43" fontId="3" fillId="0" borderId="5" xfId="1" applyFont="1" applyFill="1" applyBorder="1" applyAlignment="1">
      <alignment vertical="center" wrapText="1"/>
    </xf>
    <xf numFmtId="43" fontId="3" fillId="0" borderId="23" xfId="1" applyFont="1" applyFill="1" applyBorder="1" applyAlignment="1">
      <alignment vertical="center" wrapText="1"/>
    </xf>
    <xf numFmtId="43" fontId="3" fillId="0" borderId="12" xfId="1" applyFont="1" applyFill="1" applyBorder="1" applyAlignment="1">
      <alignment vertical="center" wrapText="1"/>
    </xf>
    <xf numFmtId="43" fontId="3" fillId="0" borderId="3" xfId="1" applyFont="1" applyFill="1" applyBorder="1" applyAlignment="1">
      <alignment vertical="center" wrapText="1"/>
    </xf>
    <xf numFmtId="43" fontId="1" fillId="0" borderId="6" xfId="1" applyFont="1" applyFill="1" applyBorder="1" applyAlignment="1">
      <alignment vertical="center" wrapText="1"/>
    </xf>
    <xf numFmtId="43" fontId="1" fillId="0" borderId="3" xfId="1" applyFont="1" applyFill="1" applyBorder="1" applyAlignment="1">
      <alignment vertical="center" wrapText="1"/>
    </xf>
    <xf numFmtId="43" fontId="1" fillId="0" borderId="12" xfId="1" applyFont="1" applyFill="1" applyBorder="1" applyAlignment="1">
      <alignment vertical="center" wrapText="1"/>
    </xf>
    <xf numFmtId="43" fontId="2" fillId="0" borderId="6" xfId="1" applyFont="1" applyFill="1" applyBorder="1" applyAlignment="1">
      <alignment vertical="center" wrapText="1"/>
    </xf>
    <xf numFmtId="43" fontId="2" fillId="0" borderId="3" xfId="1" applyFont="1" applyFill="1" applyBorder="1" applyAlignment="1">
      <alignment vertical="center" wrapText="1"/>
    </xf>
    <xf numFmtId="43" fontId="2" fillId="0" borderId="12" xfId="1" applyFont="1" applyFill="1" applyBorder="1" applyAlignment="1">
      <alignment vertical="center" wrapText="1"/>
    </xf>
    <xf numFmtId="43" fontId="3" fillId="0" borderId="6" xfId="1" applyFont="1" applyFill="1" applyBorder="1" applyAlignment="1">
      <alignment horizontal="center" vertical="center"/>
    </xf>
    <xf numFmtId="43" fontId="3" fillId="0" borderId="12" xfId="1" applyFont="1" applyFill="1" applyBorder="1" applyAlignment="1">
      <alignment horizontal="center" vertical="center"/>
    </xf>
    <xf numFmtId="43" fontId="5" fillId="0" borderId="6" xfId="1" applyFont="1" applyFill="1" applyBorder="1" applyAlignment="1">
      <alignment horizontal="center" vertical="center"/>
    </xf>
    <xf numFmtId="43" fontId="5" fillId="0" borderId="12" xfId="1" applyFont="1" applyFill="1" applyBorder="1" applyAlignment="1">
      <alignment horizontal="center" vertical="center"/>
    </xf>
    <xf numFmtId="43" fontId="1" fillId="0" borderId="6" xfId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/>
    </xf>
    <xf numFmtId="43" fontId="2" fillId="0" borderId="12" xfId="1" applyFont="1" applyFill="1" applyBorder="1" applyAlignment="1">
      <alignment horizontal="center" vertical="center"/>
    </xf>
    <xf numFmtId="43" fontId="1" fillId="0" borderId="12" xfId="1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vertical="center" wrapText="1"/>
    </xf>
    <xf numFmtId="43" fontId="1" fillId="0" borderId="11" xfId="1" applyFont="1" applyFill="1" applyBorder="1" applyAlignment="1">
      <alignment vertical="center" wrapText="1"/>
    </xf>
    <xf numFmtId="43" fontId="1" fillId="0" borderId="4" xfId="1" applyFont="1" applyFill="1" applyBorder="1" applyAlignment="1">
      <alignment vertical="center" wrapText="1"/>
    </xf>
    <xf numFmtId="43" fontId="5" fillId="0" borderId="6" xfId="1" applyFont="1" applyFill="1" applyBorder="1" applyAlignment="1">
      <alignment vertical="center" wrapText="1"/>
    </xf>
    <xf numFmtId="43" fontId="5" fillId="0" borderId="12" xfId="1" applyFont="1" applyFill="1" applyBorder="1" applyAlignment="1">
      <alignment vertical="center" wrapText="1"/>
    </xf>
    <xf numFmtId="43" fontId="3" fillId="0" borderId="4" xfId="1" applyFont="1" applyFill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0" fontId="23" fillId="0" borderId="0" xfId="0" applyFont="1" applyAlignment="1">
      <alignment vertical="center"/>
    </xf>
    <xf numFmtId="164" fontId="26" fillId="0" borderId="0" xfId="0" applyNumberFormat="1" applyFont="1" applyAlignment="1">
      <alignment horizontal="center" vertical="center"/>
    </xf>
    <xf numFmtId="43" fontId="22" fillId="0" borderId="0" xfId="1" applyFont="1" applyFill="1" applyAlignment="1">
      <alignment horizontal="center" vertical="center"/>
    </xf>
    <xf numFmtId="43" fontId="26" fillId="0" borderId="0" xfId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43" fontId="3" fillId="0" borderId="12" xfId="1" applyFont="1" applyFill="1" applyBorder="1" applyAlignment="1">
      <alignment horizontal="center" vertical="center" wrapText="1"/>
    </xf>
    <xf numFmtId="43" fontId="1" fillId="0" borderId="12" xfId="1" applyFont="1" applyFill="1" applyBorder="1" applyAlignment="1">
      <alignment vertical="center"/>
    </xf>
    <xf numFmtId="43" fontId="2" fillId="0" borderId="12" xfId="1" applyFont="1" applyFill="1" applyBorder="1" applyAlignment="1">
      <alignment horizontal="center" vertical="center" wrapText="1"/>
    </xf>
    <xf numFmtId="43" fontId="1" fillId="0" borderId="23" xfId="1" applyFont="1" applyFill="1" applyBorder="1" applyAlignment="1">
      <alignment vertical="center" wrapText="1"/>
    </xf>
    <xf numFmtId="43" fontId="5" fillId="0" borderId="23" xfId="1" applyFont="1" applyFill="1" applyBorder="1" applyAlignment="1">
      <alignment vertical="center" wrapText="1"/>
    </xf>
    <xf numFmtId="43" fontId="5" fillId="0" borderId="3" xfId="1" applyFont="1" applyFill="1" applyBorder="1" applyAlignment="1">
      <alignment vertical="center" wrapText="1"/>
    </xf>
    <xf numFmtId="43" fontId="1" fillId="0" borderId="5" xfId="1" applyFont="1" applyFill="1" applyBorder="1" applyAlignment="1">
      <alignment vertical="center" wrapText="1"/>
    </xf>
    <xf numFmtId="43" fontId="5" fillId="0" borderId="5" xfId="1" applyFont="1" applyFill="1" applyBorder="1" applyAlignment="1">
      <alignment vertical="center" wrapText="1"/>
    </xf>
    <xf numFmtId="0" fontId="28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12" xfId="0" quotePrefix="1" applyFont="1" applyBorder="1" applyAlignment="1">
      <alignment horizontal="center" vertical="center" wrapText="1"/>
    </xf>
    <xf numFmtId="43" fontId="1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vertical="center" wrapText="1"/>
    </xf>
    <xf numFmtId="0" fontId="2" fillId="0" borderId="12" xfId="0" quotePrefix="1" applyFont="1" applyBorder="1" applyAlignment="1">
      <alignment vertical="center" wrapText="1"/>
    </xf>
    <xf numFmtId="173" fontId="2" fillId="0" borderId="12" xfId="0" applyNumberFormat="1" applyFont="1" applyBorder="1" applyAlignment="1">
      <alignment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vertical="center"/>
    </xf>
    <xf numFmtId="168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vertical="center" wrapText="1"/>
    </xf>
    <xf numFmtId="168" fontId="2" fillId="0" borderId="1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vertical="center" wrapText="1"/>
    </xf>
    <xf numFmtId="0" fontId="1" fillId="0" borderId="6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vertical="center" wrapText="1"/>
    </xf>
    <xf numFmtId="0" fontId="2" fillId="0" borderId="6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168" fontId="1" fillId="0" borderId="6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 wrapText="1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9" fillId="0" borderId="7" xfId="0" applyNumberFormat="1" applyFont="1" applyBorder="1" applyAlignment="1">
      <alignment horizontal="center" vertical="top" wrapText="1"/>
    </xf>
    <xf numFmtId="3" fontId="9" fillId="0" borderId="10" xfId="0" applyNumberFormat="1" applyFont="1" applyBorder="1" applyAlignment="1">
      <alignment horizontal="center" vertical="top" wrapText="1"/>
    </xf>
    <xf numFmtId="3" fontId="32" fillId="0" borderId="0" xfId="0" applyNumberFormat="1" applyFont="1" applyAlignment="1">
      <alignment wrapText="1"/>
    </xf>
    <xf numFmtId="3" fontId="7" fillId="0" borderId="7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left" wrapText="1"/>
    </xf>
    <xf numFmtId="0" fontId="34" fillId="0" borderId="0" xfId="0" applyFont="1"/>
    <xf numFmtId="0" fontId="35" fillId="0" borderId="12" xfId="0" applyFont="1" applyBorder="1" applyAlignment="1">
      <alignment horizontal="center" vertical="center"/>
    </xf>
    <xf numFmtId="0" fontId="35" fillId="0" borderId="12" xfId="0" applyFont="1" applyBorder="1" applyAlignment="1">
      <alignment vertical="center"/>
    </xf>
    <xf numFmtId="3" fontId="35" fillId="0" borderId="12" xfId="0" applyNumberFormat="1" applyFont="1" applyBorder="1" applyAlignment="1">
      <alignment horizontal="center" vertical="center" wrapText="1"/>
    </xf>
    <xf numFmtId="172" fontId="35" fillId="0" borderId="12" xfId="3" applyNumberFormat="1" applyFont="1" applyFill="1" applyBorder="1" applyAlignment="1">
      <alignment vertical="center" wrapText="1"/>
    </xf>
    <xf numFmtId="3" fontId="35" fillId="0" borderId="12" xfId="0" applyNumberFormat="1" applyFont="1" applyBorder="1" applyAlignment="1">
      <alignment vertical="center" wrapText="1"/>
    </xf>
    <xf numFmtId="3" fontId="35" fillId="0" borderId="7" xfId="0" applyNumberFormat="1" applyFont="1" applyBorder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12" xfId="0" applyFont="1" applyBorder="1" applyAlignment="1">
      <alignment horizontal="center" vertical="center"/>
    </xf>
    <xf numFmtId="9" fontId="37" fillId="0" borderId="12" xfId="0" applyNumberFormat="1" applyFont="1" applyBorder="1" applyAlignment="1">
      <alignment horizontal="center" vertical="center" wrapText="1"/>
    </xf>
    <xf numFmtId="16" fontId="37" fillId="0" borderId="12" xfId="0" quotePrefix="1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3" fontId="37" fillId="0" borderId="12" xfId="0" applyNumberFormat="1" applyFont="1" applyBorder="1" applyAlignment="1">
      <alignment horizontal="center" vertical="center" wrapText="1"/>
    </xf>
    <xf numFmtId="0" fontId="39" fillId="0" borderId="0" xfId="0" applyFont="1"/>
    <xf numFmtId="0" fontId="35" fillId="0" borderId="12" xfId="0" applyFont="1" applyBorder="1" applyAlignment="1">
      <alignment horizontal="center"/>
    </xf>
    <xf numFmtId="0" fontId="35" fillId="0" borderId="12" xfId="0" applyFont="1" applyBorder="1"/>
    <xf numFmtId="9" fontId="35" fillId="0" borderId="12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wrapText="1"/>
    </xf>
    <xf numFmtId="0" fontId="36" fillId="0" borderId="0" xfId="0" applyFont="1"/>
    <xf numFmtId="0" fontId="35" fillId="0" borderId="12" xfId="0" applyFont="1" applyBorder="1" applyAlignment="1">
      <alignment horizontal="left" vertical="center" wrapText="1"/>
    </xf>
    <xf numFmtId="169" fontId="35" fillId="0" borderId="12" xfId="0" applyNumberFormat="1" applyFont="1" applyBorder="1" applyAlignment="1">
      <alignment horizontal="center" vertical="center"/>
    </xf>
    <xf numFmtId="171" fontId="40" fillId="0" borderId="12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/>
    </xf>
    <xf numFmtId="3" fontId="40" fillId="0" borderId="12" xfId="0" applyNumberFormat="1" applyFont="1" applyBorder="1" applyAlignment="1">
      <alignment horizontal="center" vertical="center"/>
    </xf>
    <xf numFmtId="0" fontId="41" fillId="0" borderId="0" xfId="0" applyFont="1"/>
    <xf numFmtId="0" fontId="40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center" vertical="center" wrapText="1"/>
    </xf>
    <xf numFmtId="176" fontId="40" fillId="0" borderId="12" xfId="0" applyNumberFormat="1" applyFont="1" applyBorder="1" applyAlignment="1">
      <alignment horizontal="center" vertical="center"/>
    </xf>
    <xf numFmtId="165" fontId="40" fillId="0" borderId="12" xfId="0" applyNumberFormat="1" applyFont="1" applyBorder="1" applyAlignment="1">
      <alignment horizontal="center" vertical="center" wrapText="1"/>
    </xf>
    <xf numFmtId="3" fontId="40" fillId="0" borderId="7" xfId="0" applyNumberFormat="1" applyFont="1" applyBorder="1" applyAlignment="1">
      <alignment vertical="center" wrapText="1"/>
    </xf>
    <xf numFmtId="176" fontId="41" fillId="0" borderId="0" xfId="0" applyNumberFormat="1" applyFont="1"/>
    <xf numFmtId="172" fontId="41" fillId="0" borderId="7" xfId="3" applyNumberFormat="1" applyFont="1"/>
    <xf numFmtId="172" fontId="41" fillId="0" borderId="0" xfId="0" applyNumberFormat="1" applyFont="1"/>
    <xf numFmtId="166" fontId="40" fillId="0" borderId="12" xfId="0" applyNumberFormat="1" applyFont="1" applyBorder="1" applyAlignment="1">
      <alignment horizontal="center" vertical="center" wrapText="1"/>
    </xf>
    <xf numFmtId="4" fontId="40" fillId="0" borderId="12" xfId="0" applyNumberFormat="1" applyFont="1" applyBorder="1" applyAlignment="1">
      <alignment horizontal="center" vertical="center"/>
    </xf>
    <xf numFmtId="164" fontId="41" fillId="0" borderId="0" xfId="0" applyNumberFormat="1" applyFont="1"/>
    <xf numFmtId="3" fontId="40" fillId="0" borderId="12" xfId="0" applyNumberFormat="1" applyFont="1" applyBorder="1" applyAlignment="1">
      <alignment vertical="center" wrapText="1"/>
    </xf>
    <xf numFmtId="167" fontId="40" fillId="0" borderId="12" xfId="0" applyNumberFormat="1" applyFont="1" applyBorder="1" applyAlignment="1">
      <alignment horizontal="center" vertical="center" wrapText="1"/>
    </xf>
    <xf numFmtId="0" fontId="35" fillId="0" borderId="12" xfId="0" quotePrefix="1" applyFont="1" applyBorder="1" applyAlignment="1">
      <alignment horizontal="left" vertical="center" wrapText="1"/>
    </xf>
    <xf numFmtId="49" fontId="40" fillId="0" borderId="12" xfId="0" quotePrefix="1" applyNumberFormat="1" applyFont="1" applyBorder="1" applyAlignment="1">
      <alignment horizontal="left" vertical="center" wrapText="1"/>
    </xf>
    <xf numFmtId="49" fontId="40" fillId="0" borderId="12" xfId="0" applyNumberFormat="1" applyFont="1" applyBorder="1" applyAlignment="1">
      <alignment horizontal="left" vertical="center" wrapText="1"/>
    </xf>
    <xf numFmtId="49" fontId="37" fillId="0" borderId="12" xfId="0" applyNumberFormat="1" applyFont="1" applyBorder="1" applyAlignment="1">
      <alignment horizontal="left" vertical="center" wrapText="1"/>
    </xf>
    <xf numFmtId="49" fontId="35" fillId="0" borderId="12" xfId="0" applyNumberFormat="1" applyFont="1" applyBorder="1" applyAlignment="1">
      <alignment horizontal="left" vertical="center" wrapText="1"/>
    </xf>
    <xf numFmtId="0" fontId="41" fillId="0" borderId="12" xfId="0" applyFont="1" applyBorder="1" applyAlignment="1">
      <alignment vertical="center"/>
    </xf>
    <xf numFmtId="0" fontId="41" fillId="0" borderId="12" xfId="0" applyFont="1" applyBorder="1" applyAlignment="1">
      <alignment horizontal="center" vertical="center"/>
    </xf>
    <xf numFmtId="172" fontId="41" fillId="0" borderId="12" xfId="3" applyNumberFormat="1" applyFont="1" applyFill="1" applyBorder="1"/>
    <xf numFmtId="170" fontId="40" fillId="0" borderId="12" xfId="0" applyNumberFormat="1" applyFont="1" applyBorder="1" applyAlignment="1">
      <alignment horizontal="center" vertical="center" wrapText="1"/>
    </xf>
    <xf numFmtId="3" fontId="37" fillId="0" borderId="7" xfId="0" applyNumberFormat="1" applyFont="1" applyBorder="1" applyAlignment="1">
      <alignment vertical="center" wrapText="1"/>
    </xf>
    <xf numFmtId="0" fontId="40" fillId="0" borderId="12" xfId="0" applyFont="1" applyBorder="1" applyAlignment="1">
      <alignment horizontal="center" vertical="top"/>
    </xf>
    <xf numFmtId="171" fontId="40" fillId="0" borderId="29" xfId="0" applyNumberFormat="1" applyFont="1" applyBorder="1" applyAlignment="1">
      <alignment horizontal="center" vertical="center"/>
    </xf>
    <xf numFmtId="177" fontId="40" fillId="0" borderId="12" xfId="0" applyNumberFormat="1" applyFont="1" applyBorder="1" applyAlignment="1">
      <alignment horizontal="center" vertical="center"/>
    </xf>
    <xf numFmtId="2" fontId="41" fillId="0" borderId="0" xfId="0" applyNumberFormat="1" applyFont="1"/>
    <xf numFmtId="3" fontId="35" fillId="0" borderId="12" xfId="0" applyNumberFormat="1" applyFont="1" applyBorder="1" applyAlignment="1">
      <alignment horizontal="right" vertical="center"/>
    </xf>
    <xf numFmtId="3" fontId="38" fillId="0" borderId="7" xfId="0" applyNumberFormat="1" applyFont="1" applyBorder="1" applyAlignment="1">
      <alignment vertical="center" wrapText="1"/>
    </xf>
    <xf numFmtId="49" fontId="37" fillId="0" borderId="12" xfId="0" quotePrefix="1" applyNumberFormat="1" applyFont="1" applyBorder="1" applyAlignment="1">
      <alignment horizontal="left" vertical="center" wrapText="1"/>
    </xf>
    <xf numFmtId="4" fontId="40" fillId="0" borderId="12" xfId="0" quotePrefix="1" applyNumberFormat="1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 wrapText="1"/>
    </xf>
    <xf numFmtId="0" fontId="37" fillId="0" borderId="12" xfId="0" quotePrefix="1" applyFont="1" applyBorder="1" applyAlignment="1">
      <alignment horizontal="left" vertical="center" wrapText="1"/>
    </xf>
    <xf numFmtId="172" fontId="40" fillId="0" borderId="12" xfId="3" applyNumberFormat="1" applyFont="1" applyFill="1" applyBorder="1" applyAlignment="1">
      <alignment horizontal="center" vertical="center"/>
    </xf>
    <xf numFmtId="4" fontId="35" fillId="0" borderId="12" xfId="0" applyNumberFormat="1" applyFont="1" applyBorder="1" applyAlignment="1">
      <alignment horizontal="center" vertical="center"/>
    </xf>
    <xf numFmtId="171" fontId="37" fillId="0" borderId="12" xfId="0" applyNumberFormat="1" applyFont="1" applyBorder="1" applyAlignment="1">
      <alignment horizontal="center" vertical="center"/>
    </xf>
    <xf numFmtId="4" fontId="37" fillId="0" borderId="12" xfId="0" applyNumberFormat="1" applyFont="1" applyBorder="1" applyAlignment="1">
      <alignment horizontal="center" vertical="center"/>
    </xf>
    <xf numFmtId="3" fontId="37" fillId="0" borderId="12" xfId="0" applyNumberFormat="1" applyFont="1" applyBorder="1" applyAlignment="1">
      <alignment horizontal="center" vertical="center"/>
    </xf>
    <xf numFmtId="0" fontId="37" fillId="0" borderId="12" xfId="0" applyFont="1" applyBorder="1" applyAlignment="1">
      <alignment horizontal="left" vertical="center" wrapText="1"/>
    </xf>
    <xf numFmtId="3" fontId="40" fillId="0" borderId="12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left" vertical="center" wrapText="1"/>
    </xf>
    <xf numFmtId="3" fontId="40" fillId="0" borderId="30" xfId="0" applyNumberFormat="1" applyFont="1" applyBorder="1" applyAlignment="1">
      <alignment horizontal="center" vertical="center" wrapText="1"/>
    </xf>
    <xf numFmtId="171" fontId="40" fillId="0" borderId="30" xfId="0" applyNumberFormat="1" applyFont="1" applyBorder="1" applyAlignment="1">
      <alignment horizontal="center" vertical="center"/>
    </xf>
    <xf numFmtId="3" fontId="40" fillId="0" borderId="31" xfId="0" applyNumberFormat="1" applyFont="1" applyBorder="1" applyAlignment="1">
      <alignment horizontal="center" vertical="center" wrapText="1"/>
    </xf>
    <xf numFmtId="3" fontId="40" fillId="0" borderId="31" xfId="0" applyNumberFormat="1" applyFont="1" applyBorder="1" applyAlignment="1">
      <alignment horizontal="center" vertical="center"/>
    </xf>
    <xf numFmtId="0" fontId="40" fillId="0" borderId="29" xfId="0" quotePrefix="1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 vertical="center" wrapText="1"/>
    </xf>
    <xf numFmtId="3" fontId="40" fillId="0" borderId="29" xfId="0" applyNumberFormat="1" applyFont="1" applyBorder="1" applyAlignment="1">
      <alignment horizontal="center" vertical="center" wrapText="1"/>
    </xf>
    <xf numFmtId="165" fontId="40" fillId="0" borderId="32" xfId="0" applyNumberFormat="1" applyFont="1" applyBorder="1" applyAlignment="1">
      <alignment horizontal="center" vertical="center" wrapText="1"/>
    </xf>
    <xf numFmtId="3" fontId="40" fillId="0" borderId="8" xfId="0" applyNumberFormat="1" applyFont="1" applyBorder="1" applyAlignment="1">
      <alignment horizontal="center" vertical="center" wrapText="1"/>
    </xf>
    <xf numFmtId="3" fontId="40" fillId="0" borderId="32" xfId="0" applyNumberFormat="1" applyFont="1" applyBorder="1" applyAlignment="1">
      <alignment horizontal="center" vertical="center" wrapText="1"/>
    </xf>
    <xf numFmtId="0" fontId="40" fillId="0" borderId="33" xfId="0" quotePrefix="1" applyFont="1" applyBorder="1" applyAlignment="1">
      <alignment horizontal="center" vertical="center" wrapText="1"/>
    </xf>
    <xf numFmtId="0" fontId="40" fillId="0" borderId="33" xfId="0" applyFont="1" applyBorder="1" applyAlignment="1">
      <alignment horizontal="left" vertical="center" wrapText="1"/>
    </xf>
    <xf numFmtId="3" fontId="40" fillId="0" borderId="33" xfId="0" applyNumberFormat="1" applyFont="1" applyBorder="1" applyAlignment="1">
      <alignment horizontal="center" wrapText="1"/>
    </xf>
    <xf numFmtId="171" fontId="40" fillId="0" borderId="33" xfId="0" applyNumberFormat="1" applyFont="1" applyBorder="1" applyAlignment="1">
      <alignment horizontal="center" vertical="center"/>
    </xf>
    <xf numFmtId="3" fontId="40" fillId="0" borderId="34" xfId="0" applyNumberFormat="1" applyFont="1" applyBorder="1" applyAlignment="1">
      <alignment horizontal="center" wrapText="1"/>
    </xf>
    <xf numFmtId="3" fontId="40" fillId="0" borderId="9" xfId="0" applyNumberFormat="1" applyFont="1" applyBorder="1" applyAlignment="1">
      <alignment horizontal="center" wrapText="1"/>
    </xf>
    <xf numFmtId="3" fontId="40" fillId="0" borderId="0" xfId="0" applyNumberFormat="1" applyFont="1" applyAlignment="1">
      <alignment wrapText="1"/>
    </xf>
    <xf numFmtId="0" fontId="40" fillId="0" borderId="0" xfId="0" applyFont="1" applyAlignment="1">
      <alignment horizontal="center" wrapText="1"/>
    </xf>
    <xf numFmtId="3" fontId="40" fillId="0" borderId="0" xfId="0" applyNumberFormat="1" applyFont="1" applyAlignment="1">
      <alignment horizontal="left" wrapText="1"/>
    </xf>
    <xf numFmtId="3" fontId="40" fillId="0" borderId="0" xfId="0" applyNumberFormat="1" applyFont="1" applyAlignment="1">
      <alignment horizontal="center" wrapText="1"/>
    </xf>
    <xf numFmtId="0" fontId="37" fillId="0" borderId="12" xfId="0" applyFont="1" applyBorder="1" applyAlignment="1">
      <alignment vertical="center" wrapText="1"/>
    </xf>
    <xf numFmtId="0" fontId="39" fillId="0" borderId="0" xfId="0" applyFont="1" applyAlignment="1">
      <alignment vertical="center"/>
    </xf>
    <xf numFmtId="0" fontId="40" fillId="0" borderId="12" xfId="0" applyFont="1" applyBorder="1" applyAlignment="1">
      <alignment vertical="center" wrapText="1"/>
    </xf>
    <xf numFmtId="0" fontId="41" fillId="0" borderId="0" xfId="0" applyFont="1" applyAlignment="1">
      <alignment vertical="center"/>
    </xf>
    <xf numFmtId="172" fontId="1" fillId="0" borderId="12" xfId="1" applyNumberFormat="1" applyFont="1" applyFill="1" applyBorder="1" applyAlignment="1">
      <alignment vertical="center" wrapText="1"/>
    </xf>
    <xf numFmtId="172" fontId="2" fillId="0" borderId="12" xfId="1" applyNumberFormat="1" applyFont="1" applyFill="1" applyBorder="1" applyAlignment="1">
      <alignment vertical="center" wrapText="1"/>
    </xf>
    <xf numFmtId="43" fontId="42" fillId="0" borderId="12" xfId="1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/>
    <xf numFmtId="3" fontId="9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1" xfId="0" applyFont="1" applyBorder="1"/>
    <xf numFmtId="3" fontId="8" fillId="0" borderId="1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40" fillId="0" borderId="11" xfId="0" applyNumberFormat="1" applyFont="1" applyBorder="1" applyAlignment="1">
      <alignment horizontal="center" vertical="center" wrapText="1"/>
    </xf>
    <xf numFmtId="3" fontId="40" fillId="0" borderId="27" xfId="0" applyNumberFormat="1" applyFont="1" applyBorder="1" applyAlignment="1">
      <alignment horizontal="center" vertical="center" wrapText="1"/>
    </xf>
    <xf numFmtId="3" fontId="40" fillId="0" borderId="21" xfId="0" applyNumberFormat="1" applyFont="1" applyBorder="1" applyAlignment="1">
      <alignment horizontal="center" vertical="center" wrapText="1"/>
    </xf>
    <xf numFmtId="3" fontId="33" fillId="0" borderId="26" xfId="0" applyNumberFormat="1" applyFont="1" applyBorder="1" applyAlignment="1">
      <alignment horizontal="center" vertical="center" wrapText="1"/>
    </xf>
    <xf numFmtId="3" fontId="33" fillId="0" borderId="28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1" fillId="0" borderId="12" xfId="0" applyFont="1" applyBorder="1"/>
    <xf numFmtId="0" fontId="3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0" fillId="0" borderId="0" xfId="0" applyFont="1"/>
    <xf numFmtId="0" fontId="3" fillId="0" borderId="2" xfId="0" applyFont="1" applyBorder="1" applyAlignment="1">
      <alignment horizontal="center" vertical="center" wrapText="1"/>
    </xf>
    <xf numFmtId="0" fontId="31" fillId="0" borderId="5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1" fillId="0" borderId="23" xfId="0" applyFont="1" applyBorder="1"/>
  </cellXfs>
  <cellStyles count="5">
    <cellStyle name="Comma" xfId="1" builtinId="3"/>
    <cellStyle name="Comma 2" xfId="3" xr:uid="{00000000-0005-0000-0000-000001000000}"/>
    <cellStyle name="Comma 3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4"/>
  <sheetViews>
    <sheetView tabSelected="1" zoomScale="60" zoomScaleNormal="60" workbookViewId="0">
      <pane ySplit="5" topLeftCell="A40" activePane="bottomLeft" state="frozen"/>
      <selection pane="bottomLeft" activeCell="P47" sqref="P47"/>
    </sheetView>
  </sheetViews>
  <sheetFormatPr defaultColWidth="11.21875" defaultRowHeight="15" customHeight="1" x14ac:dyDescent="0.25"/>
  <cols>
    <col min="1" max="1" width="8.88671875" style="220" customWidth="1"/>
    <col min="2" max="2" width="33" style="220" customWidth="1"/>
    <col min="3" max="3" width="10.33203125" style="220" customWidth="1"/>
    <col min="4" max="5" width="16.77734375" style="220" customWidth="1"/>
    <col min="6" max="6" width="15.44140625" style="220" customWidth="1"/>
    <col min="7" max="7" width="11.6640625" style="220" customWidth="1"/>
    <col min="8" max="8" width="12.21875" style="220" customWidth="1"/>
    <col min="9" max="9" width="13.33203125" style="220" customWidth="1"/>
    <col min="10" max="10" width="10.44140625" style="265" customWidth="1"/>
    <col min="11" max="11" width="12.5546875" style="18" customWidth="1"/>
    <col min="12" max="12" width="18.33203125" style="18" hidden="1" customWidth="1"/>
    <col min="13" max="13" width="14.88671875" style="17" hidden="1" customWidth="1"/>
    <col min="14" max="14" width="20.6640625" style="17" customWidth="1"/>
    <col min="15" max="15" width="11.21875" style="17" customWidth="1"/>
    <col min="16" max="16384" width="11.21875" style="17"/>
  </cols>
  <sheetData>
    <row r="1" spans="1:16" ht="15" customHeight="1" x14ac:dyDescent="0.25">
      <c r="F1" s="415" t="s">
        <v>116</v>
      </c>
      <c r="G1" s="415"/>
      <c r="H1" s="415"/>
      <c r="I1" s="415"/>
      <c r="J1" s="415"/>
    </row>
    <row r="2" spans="1:16" ht="28.15" customHeight="1" x14ac:dyDescent="0.25">
      <c r="A2" s="418" t="s">
        <v>181</v>
      </c>
      <c r="B2" s="418"/>
      <c r="C2" s="418"/>
      <c r="D2" s="418"/>
      <c r="E2" s="418"/>
      <c r="F2" s="418"/>
      <c r="G2" s="418"/>
      <c r="H2" s="418"/>
      <c r="I2" s="418"/>
      <c r="J2" s="418"/>
      <c r="K2" s="82"/>
    </row>
    <row r="3" spans="1:16" ht="27.6" customHeight="1" x14ac:dyDescent="0.25">
      <c r="A3" s="419" t="s">
        <v>277</v>
      </c>
      <c r="B3" s="419"/>
      <c r="C3" s="419"/>
      <c r="D3" s="419"/>
      <c r="E3" s="419"/>
      <c r="F3" s="419"/>
      <c r="G3" s="419"/>
      <c r="H3" s="419"/>
      <c r="I3" s="419"/>
      <c r="J3" s="419"/>
      <c r="K3" s="88"/>
    </row>
    <row r="4" spans="1:16" ht="49.15" customHeight="1" x14ac:dyDescent="0.25">
      <c r="A4" s="409" t="s">
        <v>8</v>
      </c>
      <c r="B4" s="409" t="s">
        <v>1</v>
      </c>
      <c r="C4" s="409" t="s">
        <v>9</v>
      </c>
      <c r="D4" s="409" t="s">
        <v>143</v>
      </c>
      <c r="E4" s="420" t="s">
        <v>174</v>
      </c>
      <c r="F4" s="409" t="s">
        <v>177</v>
      </c>
      <c r="G4" s="409"/>
      <c r="H4" s="409"/>
      <c r="I4" s="409"/>
      <c r="J4" s="416" t="s">
        <v>138</v>
      </c>
      <c r="K4" s="89"/>
      <c r="L4" s="45" t="s">
        <v>136</v>
      </c>
      <c r="M4" s="96">
        <f>'TUMO RONG (1)'!L7+'LONG LEO(2)'!L7+'ĐĂK CHUM 1(3)'!L7+'ĐĂK CHUM II(4)'!L7+'TU CẤP(5)'!L7+'ĐĂK KA(6)'!L7+'VĂN SANG(7)'!L7+'ĐĂK NEANG(8)'!L7+'NGỌC LEANG(9)'!L7+'ĐĂK SIÊNG(10)'!L7+'KON TUN(11)'!L7+'MÔ PẢ(12)'!L7+'TY TU(13)'!L7+'KON LING(14)'!L7+'ĐĂK PƠ TRANG(15)'!L7+'KON PIA(16)'!L7+'ĐĂK HÀ(17)'!L7</f>
        <v>1331</v>
      </c>
      <c r="N4" s="97"/>
    </row>
    <row r="5" spans="1:16" ht="49.15" customHeight="1" x14ac:dyDescent="0.25">
      <c r="A5" s="417"/>
      <c r="B5" s="417"/>
      <c r="C5" s="417"/>
      <c r="D5" s="409"/>
      <c r="E5" s="421"/>
      <c r="F5" s="221" t="s">
        <v>178</v>
      </c>
      <c r="G5" s="221" t="s">
        <v>272</v>
      </c>
      <c r="H5" s="221" t="s">
        <v>273</v>
      </c>
      <c r="I5" s="221" t="s">
        <v>179</v>
      </c>
      <c r="J5" s="416"/>
      <c r="K5" s="89"/>
      <c r="L5" s="45" t="s">
        <v>137</v>
      </c>
      <c r="M5" s="96">
        <f>'TUMO RONG (1)'!L8+'LONG LEO(2)'!L8+'ĐĂK CHUM 1(3)'!L8+'ĐĂK CHUM II(4)'!L8+'TU CẤP(5)'!L8+'ĐĂK KA(6)'!L8+'VĂN SANG(7)'!L8+'ĐĂK NEANG(8)'!L8+'NGỌC LEANG(9)'!L8+'ĐĂK SIÊNG(10)'!L8+'KON TUN(11)'!L8+'MÔ PẢ(12)'!L8+'TY TU(13)'!L8+'KON LING(14)'!L8+'ĐĂK PƠ TRANG(15)'!L8+'KON PIA(16)'!L8+'ĐĂK HÀ(17)'!L8</f>
        <v>6567</v>
      </c>
    </row>
    <row r="6" spans="1:16" s="23" customFormat="1" ht="38.450000000000003" customHeight="1" x14ac:dyDescent="0.25">
      <c r="A6" s="222" t="s">
        <v>10</v>
      </c>
      <c r="B6" s="223" t="s">
        <v>11</v>
      </c>
      <c r="C6" s="222" t="s">
        <v>4</v>
      </c>
      <c r="D6" s="184">
        <f>D10+D25+D34+D40+D43+D66</f>
        <v>1778.52</v>
      </c>
      <c r="E6" s="184"/>
      <c r="F6" s="184">
        <f>F10+F25+F34+F37+F40+F43+F66</f>
        <v>1877.5900000000001</v>
      </c>
      <c r="G6" s="184">
        <f t="shared" ref="G6:H6" si="0">G10+G25+G34+G37+G40+G43+G66</f>
        <v>1488.2629999999999</v>
      </c>
      <c r="H6" s="184">
        <f t="shared" si="0"/>
        <v>1486.8130000000001</v>
      </c>
      <c r="I6" s="212">
        <f>G6/F6*100</f>
        <v>79.264535921047724</v>
      </c>
      <c r="J6" s="223"/>
      <c r="K6" s="21"/>
      <c r="L6" s="95">
        <v>1877.59</v>
      </c>
      <c r="M6" s="91">
        <f>F6-L6</f>
        <v>0</v>
      </c>
    </row>
    <row r="7" spans="1:16" s="23" customFormat="1" ht="38.450000000000003" customHeight="1" x14ac:dyDescent="0.25">
      <c r="A7" s="222">
        <v>1</v>
      </c>
      <c r="B7" s="223" t="s">
        <v>12</v>
      </c>
      <c r="C7" s="222" t="s">
        <v>4</v>
      </c>
      <c r="D7" s="184">
        <f>D10+D25</f>
        <v>218.4</v>
      </c>
      <c r="E7" s="184"/>
      <c r="F7" s="184">
        <f>F10+F25</f>
        <v>220.64000000000001</v>
      </c>
      <c r="G7" s="184">
        <f t="shared" ref="G7:H7" si="1">G10+G25</f>
        <v>39.53</v>
      </c>
      <c r="H7" s="184">
        <f t="shared" si="1"/>
        <v>39.53</v>
      </c>
      <c r="I7" s="212">
        <f t="shared" ref="I7:I10" si="2">G7/F7*100</f>
        <v>17.916062364031905</v>
      </c>
      <c r="J7" s="223"/>
      <c r="K7" s="21"/>
      <c r="L7" s="46"/>
    </row>
    <row r="8" spans="1:16" s="23" customFormat="1" ht="38.450000000000003" customHeight="1" x14ac:dyDescent="0.25">
      <c r="A8" s="222"/>
      <c r="B8" s="224" t="s">
        <v>14</v>
      </c>
      <c r="C8" s="2" t="s">
        <v>15</v>
      </c>
      <c r="D8" s="184">
        <f>D9+D27</f>
        <v>776.39879999999994</v>
      </c>
      <c r="E8" s="184">
        <f>E9+E27</f>
        <v>780</v>
      </c>
      <c r="F8" s="184">
        <f t="shared" ref="F8:H8" si="3">F9+F27</f>
        <v>814.40924000000007</v>
      </c>
      <c r="G8" s="184">
        <f t="shared" si="3"/>
        <v>72.125500000000002</v>
      </c>
      <c r="H8" s="184">
        <f t="shared" si="3"/>
        <v>72.125500000000002</v>
      </c>
      <c r="I8" s="212">
        <f>G8/F8*100</f>
        <v>8.8561740777891966</v>
      </c>
      <c r="J8" s="223"/>
      <c r="K8" s="21"/>
      <c r="L8" s="91"/>
    </row>
    <row r="9" spans="1:16" s="23" customFormat="1" ht="38.450000000000003" customHeight="1" x14ac:dyDescent="0.25">
      <c r="A9" s="222"/>
      <c r="B9" s="225" t="s">
        <v>142</v>
      </c>
      <c r="C9" s="2" t="s">
        <v>15</v>
      </c>
      <c r="D9" s="184">
        <f>D12</f>
        <v>703.3187999999999</v>
      </c>
      <c r="E9" s="184">
        <v>714</v>
      </c>
      <c r="F9" s="184">
        <f>F12</f>
        <v>747.98924000000011</v>
      </c>
      <c r="G9" s="184">
        <f t="shared" ref="G9:H9" si="4">G12</f>
        <v>72.125500000000002</v>
      </c>
      <c r="H9" s="184">
        <f t="shared" si="4"/>
        <v>72.125500000000002</v>
      </c>
      <c r="I9" s="212">
        <f t="shared" si="2"/>
        <v>9.6425852329105677</v>
      </c>
      <c r="J9" s="223"/>
      <c r="K9" s="21"/>
      <c r="L9" s="91"/>
      <c r="M9" s="162"/>
      <c r="N9" s="163"/>
    </row>
    <row r="10" spans="1:16" ht="38.450000000000003" customHeight="1" x14ac:dyDescent="0.25">
      <c r="A10" s="222" t="s">
        <v>3</v>
      </c>
      <c r="B10" s="223" t="s">
        <v>17</v>
      </c>
      <c r="C10" s="222" t="s">
        <v>4</v>
      </c>
      <c r="D10" s="184">
        <f>D13+D16</f>
        <v>200.4</v>
      </c>
      <c r="E10" s="184">
        <v>202</v>
      </c>
      <c r="F10" s="184">
        <f>F13+F16</f>
        <v>202.64000000000001</v>
      </c>
      <c r="G10" s="184">
        <f t="shared" ref="G10:H10" si="5">G13+G16</f>
        <v>21.53</v>
      </c>
      <c r="H10" s="184">
        <f t="shared" si="5"/>
        <v>21.53</v>
      </c>
      <c r="I10" s="212">
        <f t="shared" si="2"/>
        <v>10.6247532570075</v>
      </c>
      <c r="J10" s="226"/>
      <c r="K10" s="24"/>
      <c r="L10" s="46"/>
      <c r="M10" s="91"/>
      <c r="N10" s="23"/>
      <c r="O10" s="99"/>
    </row>
    <row r="11" spans="1:16" ht="38.450000000000003" customHeight="1" x14ac:dyDescent="0.25">
      <c r="A11" s="222"/>
      <c r="B11" s="227" t="s">
        <v>139</v>
      </c>
      <c r="C11" s="4" t="s">
        <v>140</v>
      </c>
      <c r="D11" s="188">
        <f>D12/D10*10</f>
        <v>35.095748502994006</v>
      </c>
      <c r="E11" s="188">
        <v>35.700000000000003</v>
      </c>
      <c r="F11" s="188">
        <f>F12/F10*10</f>
        <v>36.912220686932493</v>
      </c>
      <c r="G11" s="188">
        <f t="shared" ref="G11:H11" si="6">G12/G10*10</f>
        <v>33.5</v>
      </c>
      <c r="H11" s="188">
        <f t="shared" si="6"/>
        <v>33.5</v>
      </c>
      <c r="I11" s="188"/>
      <c r="J11" s="226"/>
      <c r="K11" s="24"/>
      <c r="L11" s="91"/>
      <c r="M11" s="27"/>
      <c r="O11" s="27"/>
    </row>
    <row r="12" spans="1:16" ht="38.450000000000003" customHeight="1" x14ac:dyDescent="0.25">
      <c r="A12" s="222"/>
      <c r="B12" s="227" t="s">
        <v>141</v>
      </c>
      <c r="C12" s="4" t="s">
        <v>15</v>
      </c>
      <c r="D12" s="188">
        <f>D15+D18</f>
        <v>703.3187999999999</v>
      </c>
      <c r="E12" s="188">
        <v>714</v>
      </c>
      <c r="F12" s="188">
        <f>F15+F18</f>
        <v>747.98924000000011</v>
      </c>
      <c r="G12" s="188">
        <f t="shared" ref="G12:H12" si="7">G15+G18</f>
        <v>72.125500000000002</v>
      </c>
      <c r="H12" s="188">
        <f t="shared" si="7"/>
        <v>72.125500000000002</v>
      </c>
      <c r="I12" s="188"/>
      <c r="J12" s="226"/>
      <c r="K12" s="24"/>
      <c r="L12" s="91"/>
      <c r="M12" s="27"/>
      <c r="N12" s="14"/>
      <c r="O12" s="27"/>
      <c r="P12" s="91"/>
    </row>
    <row r="13" spans="1:16" ht="38.450000000000003" customHeight="1" x14ac:dyDescent="0.25">
      <c r="A13" s="222" t="s">
        <v>18</v>
      </c>
      <c r="B13" s="223" t="s">
        <v>19</v>
      </c>
      <c r="C13" s="222" t="s">
        <v>4</v>
      </c>
      <c r="D13" s="184">
        <v>20.399999999999999</v>
      </c>
      <c r="E13" s="184"/>
      <c r="F13" s="184">
        <f>'TUMO RONG (1)'!E16+'LONG LEO(2)'!E16+'ĐĂK CHUM 1(3)'!E16+'ĐĂK CHUM II(4)'!E16+'TU CẤP(5)'!E16+'ĐĂK KA(6)'!E16+'VĂN SANG(7)'!E16+'ĐĂK NEANG(8)'!E16+'NGỌC LEANG(9)'!E16+'ĐĂK SIÊNG(10)'!E16+'KON TUN(11)'!E16+'MÔ PẢ(12)'!E16+'TY TU(13)'!E16+'KON LING(14)'!E16+'ĐĂK PƠ TRANG(15)'!E16+'KON PIA(16)'!E16+'ĐĂK HÀ(17)'!E16</f>
        <v>21.53</v>
      </c>
      <c r="G13" s="184">
        <f>'TUMO RONG (1)'!F16+'LONG LEO(2)'!F16+'ĐĂK CHUM 1(3)'!F16+'ĐĂK CHUM II(4)'!F16+'TU CẤP(5)'!F16+'ĐĂK KA(6)'!F16+'VĂN SANG(7)'!F16+'ĐĂK NEANG(8)'!F16+'NGỌC LEANG(9)'!F16+'ĐĂK SIÊNG(10)'!F16+'KON TUN(11)'!F16+'MÔ PẢ(12)'!F16+'TY TU(13)'!F16+'KON LING(14)'!F16+'ĐĂK PƠ TRANG(15)'!F16+'KON PIA(16)'!F16+'ĐĂK HÀ(17)'!F16</f>
        <v>21.53</v>
      </c>
      <c r="H13" s="184">
        <f>'TUMO RONG (1)'!G16+'LONG LEO(2)'!G16+'ĐĂK CHUM 1(3)'!G16+'ĐĂK CHUM II(4)'!G16+'TU CẤP(5)'!G16+'ĐĂK KA(6)'!G16+'VĂN SANG(7)'!G16+'ĐĂK NEANG(8)'!G16+'NGỌC LEANG(9)'!G16+'ĐĂK SIÊNG(10)'!G16+'KON TUN(11)'!G16+'MÔ PẢ(12)'!G16+'TY TU(13)'!G16+'KON LING(14)'!G16+'ĐĂK PƠ TRANG(15)'!G16+'KON PIA(16)'!G16+'ĐĂK HÀ(17)'!G16</f>
        <v>21.53</v>
      </c>
      <c r="I13" s="184">
        <f>G13/F13*100</f>
        <v>100</v>
      </c>
      <c r="J13" s="228"/>
      <c r="K13" s="26"/>
    </row>
    <row r="14" spans="1:16" ht="38.450000000000003" customHeight="1" x14ac:dyDescent="0.25">
      <c r="A14" s="222"/>
      <c r="B14" s="227" t="s">
        <v>139</v>
      </c>
      <c r="C14" s="4" t="s">
        <v>140</v>
      </c>
      <c r="D14" s="188">
        <v>29.47</v>
      </c>
      <c r="E14" s="188"/>
      <c r="F14" s="188">
        <v>33.5</v>
      </c>
      <c r="G14" s="188">
        <v>33.5</v>
      </c>
      <c r="H14" s="188">
        <v>33.5</v>
      </c>
      <c r="I14" s="395">
        <f t="shared" ref="I14:I16" si="8">G14/F14*100</f>
        <v>100</v>
      </c>
      <c r="J14" s="229"/>
      <c r="K14" s="26"/>
      <c r="L14" s="56"/>
      <c r="M14" s="81"/>
    </row>
    <row r="15" spans="1:16" ht="38.450000000000003" customHeight="1" x14ac:dyDescent="0.25">
      <c r="A15" s="222"/>
      <c r="B15" s="227" t="s">
        <v>141</v>
      </c>
      <c r="C15" s="4" t="s">
        <v>15</v>
      </c>
      <c r="D15" s="188">
        <f>D13*D14/10</f>
        <v>60.1188</v>
      </c>
      <c r="E15" s="188"/>
      <c r="F15" s="188">
        <f>F13*F14/10</f>
        <v>72.125500000000002</v>
      </c>
      <c r="G15" s="188">
        <f t="shared" ref="G15" si="9">G13*G14/10</f>
        <v>72.125500000000002</v>
      </c>
      <c r="H15" s="188">
        <f>H13*H14/10</f>
        <v>72.125500000000002</v>
      </c>
      <c r="I15" s="395">
        <f t="shared" si="8"/>
        <v>100</v>
      </c>
      <c r="J15" s="229"/>
      <c r="K15" s="26"/>
    </row>
    <row r="16" spans="1:16" ht="38.450000000000003" customHeight="1" x14ac:dyDescent="0.25">
      <c r="A16" s="230" t="s">
        <v>20</v>
      </c>
      <c r="B16" s="223" t="s">
        <v>21</v>
      </c>
      <c r="C16" s="230" t="s">
        <v>4</v>
      </c>
      <c r="D16" s="184">
        <f t="shared" ref="D16" si="10">D19+D22</f>
        <v>180</v>
      </c>
      <c r="E16" s="184"/>
      <c r="F16" s="184">
        <f>F19+F22</f>
        <v>181.11</v>
      </c>
      <c r="G16" s="184">
        <f t="shared" ref="G16" si="11">G19+G22</f>
        <v>0</v>
      </c>
      <c r="H16" s="184">
        <f>H19+H22</f>
        <v>0</v>
      </c>
      <c r="I16" s="184">
        <f t="shared" si="8"/>
        <v>0</v>
      </c>
      <c r="J16" s="226"/>
      <c r="K16" s="24"/>
    </row>
    <row r="17" spans="1:14" ht="38.450000000000003" customHeight="1" x14ac:dyDescent="0.25">
      <c r="A17" s="230"/>
      <c r="B17" s="227" t="s">
        <v>139</v>
      </c>
      <c r="C17" s="4" t="s">
        <v>140</v>
      </c>
      <c r="D17" s="188">
        <f>D18/D16*10</f>
        <v>35.733333333333327</v>
      </c>
      <c r="E17" s="188"/>
      <c r="F17" s="188">
        <f>F18/F16*10</f>
        <v>37.317858759869694</v>
      </c>
      <c r="G17" s="188">
        <v>0</v>
      </c>
      <c r="H17" s="188">
        <v>0</v>
      </c>
      <c r="I17" s="188"/>
      <c r="J17" s="226"/>
      <c r="K17" s="24"/>
      <c r="M17" s="81"/>
    </row>
    <row r="18" spans="1:14" ht="38.450000000000003" customHeight="1" x14ac:dyDescent="0.25">
      <c r="A18" s="230"/>
      <c r="B18" s="227" t="s">
        <v>141</v>
      </c>
      <c r="C18" s="4" t="s">
        <v>15</v>
      </c>
      <c r="D18" s="188">
        <f>D21+D24</f>
        <v>643.19999999999993</v>
      </c>
      <c r="E18" s="188"/>
      <c r="F18" s="188">
        <f t="shared" ref="F18:H18" si="12">F21+F24</f>
        <v>675.86374000000012</v>
      </c>
      <c r="G18" s="188">
        <f t="shared" si="12"/>
        <v>0</v>
      </c>
      <c r="H18" s="188">
        <f t="shared" si="12"/>
        <v>0</v>
      </c>
      <c r="I18" s="188"/>
      <c r="J18" s="226"/>
      <c r="K18" s="24"/>
      <c r="L18" s="27"/>
    </row>
    <row r="19" spans="1:14" ht="38.450000000000003" customHeight="1" x14ac:dyDescent="0.25">
      <c r="A19" s="230" t="s">
        <v>22</v>
      </c>
      <c r="B19" s="231" t="s">
        <v>23</v>
      </c>
      <c r="C19" s="230" t="s">
        <v>4</v>
      </c>
      <c r="D19" s="184">
        <v>160</v>
      </c>
      <c r="E19" s="184"/>
      <c r="F19" s="184">
        <f>'TUMO RONG (1)'!E22+'LONG LEO(2)'!E22+'ĐĂK CHUM 1(3)'!E22+'ĐĂK CHUM II(4)'!E22+'TU CẤP(5)'!E22+'ĐĂK KA(6)'!E22+'VĂN SANG(7)'!E22+'ĐĂK NEANG(8)'!E22+'NGỌC LEANG(9)'!E22+'ĐĂK SIÊNG(10)'!E22+'KON TUN(11)'!E22+'MÔ PẢ(12)'!E22+'TY TU(13)'!E22+'KON LING(14)'!E22+'ĐĂK PƠ TRANG(15)'!E22+'KON PIA(16)'!E22+'ĐĂK HÀ(17)'!E22</f>
        <v>173.11</v>
      </c>
      <c r="G19" s="184">
        <f>'TUMO RONG (1)'!F22+'LONG LEO(2)'!F22+'ĐĂK CHUM 1(3)'!F22+'ĐĂK CHUM II(4)'!F22+'TU CẤP(5)'!F22+'ĐĂK KA(6)'!F22+'VĂN SANG(7)'!F22+'ĐĂK NEANG(8)'!F22+'NGỌC LEANG(9)'!F22+'ĐĂK SIÊNG(10)'!F22+'KON TUN(11)'!F22+'MÔ PẢ(12)'!F22+'TY TU(13)'!F22+'KON LING(14)'!F22+'ĐĂK PƠ TRANG(15)'!F22+'KON PIA(16)'!F22+'ĐĂK HÀ(17)'!F22</f>
        <v>0</v>
      </c>
      <c r="H19" s="184">
        <f>'TUMO RONG (1)'!G22+'LONG LEO(2)'!G22+'ĐĂK CHUM 1(3)'!G22+'ĐĂK CHUM II(4)'!G22+'TU CẤP(5)'!G22+'ĐĂK KA(6)'!G22+'VĂN SANG(7)'!G22+'ĐĂK NEANG(8)'!G22+'NGỌC LEANG(9)'!G22+'ĐĂK SIÊNG(10)'!G22+'KON TUN(11)'!G22+'MÔ PẢ(12)'!G22+'TY TU(13)'!G22+'KON LING(14)'!G22+'ĐĂK PƠ TRANG(15)'!G22+'KON PIA(16)'!G22+'ĐĂK HÀ(17)'!G22</f>
        <v>0</v>
      </c>
      <c r="I19" s="188"/>
      <c r="J19" s="229"/>
      <c r="K19" s="26"/>
      <c r="L19" s="91"/>
      <c r="M19" s="91"/>
      <c r="N19" s="81"/>
    </row>
    <row r="20" spans="1:14" ht="38.450000000000003" customHeight="1" x14ac:dyDescent="0.25">
      <c r="A20" s="230"/>
      <c r="B20" s="227" t="s">
        <v>139</v>
      </c>
      <c r="C20" s="4" t="s">
        <v>140</v>
      </c>
      <c r="D20" s="188">
        <v>38.299999999999997</v>
      </c>
      <c r="E20" s="188"/>
      <c r="F20" s="188">
        <v>38.340000000000003</v>
      </c>
      <c r="G20" s="188"/>
      <c r="H20" s="188"/>
      <c r="I20" s="188"/>
      <c r="J20" s="229"/>
      <c r="K20" s="26"/>
      <c r="L20" s="207"/>
      <c r="M20" s="81"/>
    </row>
    <row r="21" spans="1:14" ht="38.450000000000003" customHeight="1" x14ac:dyDescent="0.25">
      <c r="A21" s="230"/>
      <c r="B21" s="227" t="s">
        <v>141</v>
      </c>
      <c r="C21" s="4" t="s">
        <v>15</v>
      </c>
      <c r="D21" s="188">
        <f>D19*D20/10</f>
        <v>612.79999999999995</v>
      </c>
      <c r="E21" s="188"/>
      <c r="F21" s="188">
        <f t="shared" ref="F21:H21" si="13">F19*F20/10</f>
        <v>663.70374000000015</v>
      </c>
      <c r="G21" s="188">
        <f t="shared" si="13"/>
        <v>0</v>
      </c>
      <c r="H21" s="188">
        <f t="shared" si="13"/>
        <v>0</v>
      </c>
      <c r="I21" s="188"/>
      <c r="J21" s="229"/>
      <c r="K21" s="26"/>
    </row>
    <row r="22" spans="1:14" ht="38.450000000000003" customHeight="1" x14ac:dyDescent="0.25">
      <c r="A22" s="230" t="s">
        <v>22</v>
      </c>
      <c r="B22" s="231" t="s">
        <v>24</v>
      </c>
      <c r="C22" s="230" t="s">
        <v>4</v>
      </c>
      <c r="D22" s="184">
        <v>20</v>
      </c>
      <c r="E22" s="184"/>
      <c r="F22" s="184">
        <f>'TUMO RONG (1)'!E25+'LONG LEO(2)'!E25+'ĐĂK CHUM 1(3)'!E25+'ĐĂK CHUM II(4)'!E25+'TU CẤP(5)'!E25+'ĐĂK KA(6)'!E25+'VĂN SANG(7)'!E25+'ĐĂK NEANG(8)'!E25+'NGỌC LEANG(9)'!E25+'ĐĂK SIÊNG(10)'!E25+'KON TUN(11)'!E25+'MÔ PẢ(12)'!E25+'TY TU(13)'!E25+'KON LING(14)'!E25+'ĐĂK PƠ TRANG(15)'!E25+'KON PIA(16)'!E25+'ĐĂK HÀ(17)'!E25</f>
        <v>8</v>
      </c>
      <c r="G22" s="184">
        <f>'TUMO RONG (1)'!F25+'LONG LEO(2)'!F25+'ĐĂK CHUM 1(3)'!F25+'ĐĂK CHUM II(4)'!F25+'TU CẤP(5)'!F25+'ĐĂK KA(6)'!F25+'VĂN SANG(7)'!F25+'ĐĂK NEANG(8)'!F25+'NGỌC LEANG(9)'!F25+'ĐĂK SIÊNG(10)'!F25+'KON TUN(11)'!F25+'MÔ PẢ(12)'!F25+'TY TU(13)'!F25+'KON LING(14)'!F25+'ĐĂK PƠ TRANG(15)'!F25+'KON PIA(16)'!F25+'ĐĂK HÀ(17)'!F25</f>
        <v>0</v>
      </c>
      <c r="H22" s="184">
        <f>'TUMO RONG (1)'!G25+'LONG LEO(2)'!G25+'ĐĂK CHUM 1(3)'!G25+'ĐĂK CHUM II(4)'!G25+'TU CẤP(5)'!G25+'ĐĂK KA(6)'!G25+'VĂN SANG(7)'!G25+'ĐĂK NEANG(8)'!G25+'NGỌC LEANG(9)'!G25+'ĐĂK SIÊNG(10)'!G25+'KON TUN(11)'!G25+'MÔ PẢ(12)'!G25+'TY TU(13)'!G25+'KON LING(14)'!G25+'ĐĂK PƠ TRANG(15)'!G25+'KON PIA(16)'!G25+'ĐĂK HÀ(17)'!G25</f>
        <v>0</v>
      </c>
      <c r="I22" s="184"/>
      <c r="J22" s="228"/>
      <c r="K22" s="26"/>
      <c r="L22" s="27"/>
    </row>
    <row r="23" spans="1:14" ht="38.450000000000003" customHeight="1" x14ac:dyDescent="0.25">
      <c r="A23" s="230"/>
      <c r="B23" s="227" t="s">
        <v>139</v>
      </c>
      <c r="C23" s="4" t="s">
        <v>140</v>
      </c>
      <c r="D23" s="188">
        <v>15.2</v>
      </c>
      <c r="E23" s="188"/>
      <c r="F23" s="188">
        <v>15.2</v>
      </c>
      <c r="G23" s="188"/>
      <c r="H23" s="188"/>
      <c r="I23" s="188"/>
      <c r="J23" s="229"/>
      <c r="K23" s="26"/>
    </row>
    <row r="24" spans="1:14" ht="38.450000000000003" customHeight="1" x14ac:dyDescent="0.25">
      <c r="A24" s="230"/>
      <c r="B24" s="227" t="s">
        <v>141</v>
      </c>
      <c r="C24" s="4" t="s">
        <v>15</v>
      </c>
      <c r="D24" s="188">
        <f>D22*D23/10</f>
        <v>30.4</v>
      </c>
      <c r="E24" s="188"/>
      <c r="F24" s="188">
        <f t="shared" ref="F24:H24" si="14">F22*F23/10</f>
        <v>12.16</v>
      </c>
      <c r="G24" s="188">
        <f t="shared" si="14"/>
        <v>0</v>
      </c>
      <c r="H24" s="188">
        <f t="shared" si="14"/>
        <v>0</v>
      </c>
      <c r="I24" s="188"/>
      <c r="J24" s="229"/>
      <c r="K24" s="26"/>
    </row>
    <row r="25" spans="1:14" ht="38.450000000000003" customHeight="1" x14ac:dyDescent="0.25">
      <c r="A25" s="222" t="s">
        <v>5</v>
      </c>
      <c r="B25" s="223" t="s">
        <v>25</v>
      </c>
      <c r="C25" s="222" t="s">
        <v>4</v>
      </c>
      <c r="D25" s="184">
        <f t="shared" ref="D25:H25" si="15">D28+D31</f>
        <v>18</v>
      </c>
      <c r="E25" s="184">
        <v>18</v>
      </c>
      <c r="F25" s="184">
        <f t="shared" si="15"/>
        <v>18</v>
      </c>
      <c r="G25" s="184">
        <f t="shared" si="15"/>
        <v>18</v>
      </c>
      <c r="H25" s="184">
        <f t="shared" si="15"/>
        <v>18</v>
      </c>
      <c r="I25" s="184">
        <f>G25/F25*100</f>
        <v>100</v>
      </c>
      <c r="J25" s="226"/>
      <c r="K25" s="24"/>
      <c r="L25" s="91"/>
      <c r="M25" s="91"/>
    </row>
    <row r="26" spans="1:14" ht="38.450000000000003" customHeight="1" x14ac:dyDescent="0.25">
      <c r="A26" s="222"/>
      <c r="B26" s="227" t="s">
        <v>139</v>
      </c>
      <c r="C26" s="4" t="s">
        <v>140</v>
      </c>
      <c r="D26" s="188">
        <f>D27/D25*10</f>
        <v>40.600000000000009</v>
      </c>
      <c r="E26" s="188">
        <v>36.9</v>
      </c>
      <c r="F26" s="188">
        <f t="shared" ref="F26" si="16">F27/F25*10</f>
        <v>36.899999999999991</v>
      </c>
      <c r="G26" s="188"/>
      <c r="H26" s="188"/>
      <c r="I26" s="188"/>
      <c r="J26" s="226"/>
      <c r="K26" s="24"/>
      <c r="L26" s="27"/>
    </row>
    <row r="27" spans="1:14" ht="38.450000000000003" customHeight="1" x14ac:dyDescent="0.25">
      <c r="A27" s="222"/>
      <c r="B27" s="227" t="s">
        <v>141</v>
      </c>
      <c r="C27" s="4" t="s">
        <v>15</v>
      </c>
      <c r="D27" s="188">
        <f>D30+D33</f>
        <v>73.080000000000013</v>
      </c>
      <c r="E27" s="188">
        <v>66</v>
      </c>
      <c r="F27" s="188">
        <f t="shared" ref="F27:H27" si="17">F30+F33</f>
        <v>66.419999999999987</v>
      </c>
      <c r="G27" s="188">
        <f t="shared" si="17"/>
        <v>0</v>
      </c>
      <c r="H27" s="188">
        <f t="shared" si="17"/>
        <v>0</v>
      </c>
      <c r="I27" s="188"/>
      <c r="J27" s="226"/>
      <c r="K27" s="24"/>
      <c r="L27" s="27"/>
    </row>
    <row r="28" spans="1:14" ht="38.450000000000003" customHeight="1" x14ac:dyDescent="0.25">
      <c r="A28" s="230" t="s">
        <v>18</v>
      </c>
      <c r="B28" s="232" t="s">
        <v>26</v>
      </c>
      <c r="C28" s="230" t="s">
        <v>4</v>
      </c>
      <c r="D28" s="188">
        <f>'TUMO RONG (1)'!D31+'LONG LEO(2)'!D31+'ĐĂK CHUM 1(3)'!D31+'ĐĂK CHUM II(4)'!D31+'TU CẤP(5)'!D31+'ĐĂK KA(6)'!D31+'VĂN SANG(7)'!D31+'ĐĂK NEANG(8)'!D31+'NGỌC LEANG(9)'!D31+'ĐĂK SIÊNG(10)'!D31+'KON TUN(11)'!D31+'MÔ PẢ(12)'!D31+'TY TU(13)'!D31+'KON LING(14)'!D31+'ĐĂK PƠ TRANG(15)'!D31+'KON PIA(16)'!D31+'ĐĂK HÀ(17)'!D31</f>
        <v>0</v>
      </c>
      <c r="E28" s="188"/>
      <c r="F28" s="188">
        <f>'TUMO RONG (1)'!E31+'LONG LEO(2)'!E31+'ĐĂK CHUM 1(3)'!E31+'ĐĂK CHUM II(4)'!E31+'TU CẤP(5)'!E31+'ĐĂK KA(6)'!E31+'VĂN SANG(7)'!E31+'ĐĂK NEANG(8)'!E31+'NGỌC LEANG(9)'!E31+'ĐĂK SIÊNG(10)'!E31+'KON TUN(11)'!E31+'MÔ PẢ(12)'!E31+'TY TU(13)'!E31+'KON LING(14)'!E31+'ĐĂK PƠ TRANG(15)'!E31+'KON PIA(16)'!E31+'ĐĂK HÀ(17)'!E31</f>
        <v>0</v>
      </c>
      <c r="G28" s="188">
        <f>'TUMO RONG (1)'!F31+'LONG LEO(2)'!F31+'ĐĂK CHUM 1(3)'!F31+'ĐĂK CHUM II(4)'!F31+'TU CẤP(5)'!F31+'ĐĂK KA(6)'!F31+'VĂN SANG(7)'!F31+'ĐĂK NEANG(8)'!F31+'NGỌC LEANG(9)'!F31+'ĐĂK SIÊNG(10)'!F31+'KON TUN(11)'!F31+'MÔ PẢ(12)'!F31+'TY TU(13)'!F31+'KON LING(14)'!F31+'ĐĂK PƠ TRANG(15)'!F31+'KON PIA(16)'!F31+'ĐĂK HÀ(17)'!F31</f>
        <v>0</v>
      </c>
      <c r="H28" s="188">
        <f>'TUMO RONG (1)'!G31+'LONG LEO(2)'!G31+'ĐĂK CHUM 1(3)'!G31+'ĐĂK CHUM II(4)'!G31+'TU CẤP(5)'!G31+'ĐĂK KA(6)'!G31+'VĂN SANG(7)'!G31+'ĐĂK NEANG(8)'!G31+'NGỌC LEANG(9)'!G31+'ĐĂK SIÊNG(10)'!G31+'KON TUN(11)'!G31+'MÔ PẢ(12)'!G31+'TY TU(13)'!G31+'KON LING(14)'!G31+'ĐĂK PƠ TRANG(15)'!G31+'KON PIA(16)'!G31+'ĐĂK HÀ(17)'!G31</f>
        <v>0</v>
      </c>
      <c r="I28" s="188"/>
      <c r="J28" s="226"/>
      <c r="K28" s="24"/>
    </row>
    <row r="29" spans="1:14" ht="38.450000000000003" customHeight="1" x14ac:dyDescent="0.25">
      <c r="A29" s="230"/>
      <c r="B29" s="227" t="s">
        <v>139</v>
      </c>
      <c r="C29" s="4" t="s">
        <v>140</v>
      </c>
      <c r="D29" s="188"/>
      <c r="E29" s="188"/>
      <c r="F29" s="188"/>
      <c r="G29" s="188"/>
      <c r="H29" s="188"/>
      <c r="I29" s="188"/>
      <c r="J29" s="226"/>
      <c r="K29" s="24"/>
    </row>
    <row r="30" spans="1:14" ht="38.450000000000003" customHeight="1" x14ac:dyDescent="0.25">
      <c r="A30" s="230"/>
      <c r="B30" s="227" t="s">
        <v>141</v>
      </c>
      <c r="C30" s="4" t="s">
        <v>15</v>
      </c>
      <c r="D30" s="188"/>
      <c r="E30" s="188"/>
      <c r="F30" s="188"/>
      <c r="G30" s="188"/>
      <c r="H30" s="188"/>
      <c r="I30" s="188"/>
      <c r="J30" s="226"/>
      <c r="K30" s="24"/>
    </row>
    <row r="31" spans="1:14" ht="38.450000000000003" customHeight="1" x14ac:dyDescent="0.25">
      <c r="A31" s="230" t="s">
        <v>20</v>
      </c>
      <c r="B31" s="231" t="s">
        <v>27</v>
      </c>
      <c r="C31" s="230" t="s">
        <v>4</v>
      </c>
      <c r="D31" s="184">
        <f>'TUMO RONG (1)'!D34+'LONG LEO(2)'!D34+'ĐĂK CHUM 1(3)'!D34+'ĐĂK CHUM II(4)'!D34+'TU CẤP(5)'!D34+'ĐĂK KA(6)'!D34+'VĂN SANG(7)'!D34+'ĐĂK NEANG(8)'!D34+'NGỌC LEANG(9)'!D34+'ĐĂK SIÊNG(10)'!D34+'KON TUN(11)'!D34+'MÔ PẢ(12)'!D34+'TY TU(13)'!D34+'KON LING(14)'!D34+'ĐĂK PƠ TRANG(15)'!D34+'KON PIA(16)'!D34+'ĐĂK HÀ(17)'!D34</f>
        <v>18</v>
      </c>
      <c r="E31" s="184"/>
      <c r="F31" s="184">
        <f>'TUMO RONG (1)'!E34+'LONG LEO(2)'!E34+'ĐĂK CHUM 1(3)'!E34+'ĐĂK CHUM II(4)'!E34+'TU CẤP(5)'!E34+'ĐĂK KA(6)'!E34+'VĂN SANG(7)'!E34+'ĐĂK NEANG(8)'!E34+'NGỌC LEANG(9)'!E34+'ĐĂK SIÊNG(10)'!E34+'KON TUN(11)'!E34+'MÔ PẢ(12)'!E34+'TY TU(13)'!E34+'KON LING(14)'!E34+'ĐĂK PƠ TRANG(15)'!E34+'KON PIA(16)'!E34+'ĐĂK HÀ(17)'!E34</f>
        <v>18</v>
      </c>
      <c r="G31" s="184">
        <f>'TUMO RONG (1)'!F34+'LONG LEO(2)'!F34+'ĐĂK CHUM 1(3)'!F34+'ĐĂK CHUM II(4)'!F34+'TU CẤP(5)'!F34+'ĐĂK KA(6)'!F34+'VĂN SANG(7)'!F34+'ĐĂK NEANG(8)'!F34+'NGỌC LEANG(9)'!F34+'ĐĂK SIÊNG(10)'!F34+'KON TUN(11)'!F34+'MÔ PẢ(12)'!F34+'TY TU(13)'!F34+'KON LING(14)'!F34+'ĐĂK PƠ TRANG(15)'!F34+'KON PIA(16)'!F34+'ĐĂK HÀ(17)'!F34</f>
        <v>18</v>
      </c>
      <c r="H31" s="184">
        <f>'TUMO RONG (1)'!G34+'LONG LEO(2)'!G34+'ĐĂK CHUM 1(3)'!G34+'ĐĂK CHUM II(4)'!G34+'TU CẤP(5)'!G34+'ĐĂK KA(6)'!G34+'VĂN SANG(7)'!G34+'ĐĂK NEANG(8)'!G34+'NGỌC LEANG(9)'!G34+'ĐĂK SIÊNG(10)'!G34+'KON TUN(11)'!G34+'MÔ PẢ(12)'!G34+'TY TU(13)'!G34+'KON LING(14)'!G34+'ĐĂK PƠ TRANG(15)'!G34+'KON PIA(16)'!G34+'ĐĂK HÀ(17)'!G34</f>
        <v>18</v>
      </c>
      <c r="I31" s="184">
        <f>G31/F31*100</f>
        <v>100</v>
      </c>
      <c r="J31" s="222"/>
      <c r="K31" s="29"/>
      <c r="L31" s="91"/>
    </row>
    <row r="32" spans="1:14" ht="38.450000000000003" customHeight="1" x14ac:dyDescent="0.25">
      <c r="A32" s="230"/>
      <c r="B32" s="227" t="s">
        <v>139</v>
      </c>
      <c r="C32" s="4" t="s">
        <v>140</v>
      </c>
      <c r="D32" s="188">
        <v>40.6</v>
      </c>
      <c r="E32" s="188"/>
      <c r="F32" s="188">
        <v>36.9</v>
      </c>
      <c r="G32" s="188"/>
      <c r="H32" s="188"/>
      <c r="I32" s="188"/>
      <c r="J32" s="233"/>
      <c r="K32" s="29"/>
      <c r="L32" s="91"/>
    </row>
    <row r="33" spans="1:22" ht="38.450000000000003" customHeight="1" x14ac:dyDescent="0.25">
      <c r="A33" s="230"/>
      <c r="B33" s="227" t="s">
        <v>141</v>
      </c>
      <c r="C33" s="4" t="s">
        <v>15</v>
      </c>
      <c r="D33" s="188">
        <f>D31*D32/10</f>
        <v>73.080000000000013</v>
      </c>
      <c r="E33" s="188"/>
      <c r="F33" s="188">
        <f t="shared" ref="F33:H33" si="18">F31*F32/10</f>
        <v>66.419999999999987</v>
      </c>
      <c r="G33" s="188">
        <f t="shared" si="18"/>
        <v>0</v>
      </c>
      <c r="H33" s="188">
        <f t="shared" si="18"/>
        <v>0</v>
      </c>
      <c r="I33" s="188"/>
      <c r="J33" s="233"/>
      <c r="K33" s="29"/>
      <c r="L33" s="91"/>
      <c r="M33" s="81"/>
      <c r="N33" s="32"/>
      <c r="O33" s="81"/>
    </row>
    <row r="34" spans="1:22" ht="38.450000000000003" customHeight="1" x14ac:dyDescent="0.25">
      <c r="A34" s="222">
        <v>2</v>
      </c>
      <c r="B34" s="223" t="s">
        <v>28</v>
      </c>
      <c r="C34" s="222" t="s">
        <v>4</v>
      </c>
      <c r="D34" s="184">
        <f>'TUMO RONG (1)'!D37+'LONG LEO(2)'!D37+'ĐĂK CHUM 1(3)'!D37+'ĐĂK CHUM II(4)'!D37+'TU CẤP(5)'!D37+'ĐĂK KA(6)'!D37+'VĂN SANG(7)'!D37+'ĐĂK NEANG(8)'!D37+'NGỌC LEANG(9)'!D37+'ĐĂK SIÊNG(10)'!D37+'KON TUN(11)'!D37+'MÔ PẢ(12)'!D37+'TY TU(13)'!D37+'KON LING(14)'!D37+'ĐĂK PƠ TRANG(15)'!D37+'KON PIA(16)'!D37+'ĐĂK HÀ(17)'!D37</f>
        <v>460</v>
      </c>
      <c r="E34" s="184">
        <v>408</v>
      </c>
      <c r="F34" s="184">
        <f>'TUMO RONG (1)'!E37+'LONG LEO(2)'!E37+'ĐĂK CHUM 1(3)'!E37+'ĐĂK CHUM II(4)'!E37+'TU CẤP(5)'!E37+'ĐĂK KA(6)'!E37+'VĂN SANG(7)'!E37+'ĐĂK NEANG(8)'!E37+'NGỌC LEANG(9)'!E37+'ĐĂK SIÊNG(10)'!E37+'KON TUN(11)'!E37+'MÔ PẢ(12)'!E37+'TY TU(13)'!E37+'KON LING(14)'!E37+'ĐĂK PƠ TRANG(15)'!E37+'KON PIA(16)'!E37+'ĐĂK HÀ(17)'!E37</f>
        <v>409</v>
      </c>
      <c r="G34" s="184">
        <f>'TUMO RONG (1)'!F37+'LONG LEO(2)'!F37+'ĐĂK CHUM 1(3)'!F37+'ĐĂK CHUM II(4)'!F37+'TU CẤP(5)'!F37+'ĐĂK KA(6)'!F37+'VĂN SANG(7)'!F37+'ĐĂK NEANG(8)'!F37+'NGỌC LEANG(9)'!F37+'ĐĂK SIÊNG(10)'!F37+'KON TUN(11)'!F37+'MÔ PẢ(12)'!F37+'TY TU(13)'!F37+'KON LING(14)'!F37+'ĐĂK PƠ TRANG(15)'!F37+'KON PIA(16)'!F37+'ĐĂK HÀ(17)'!F37</f>
        <v>409.11</v>
      </c>
      <c r="H34" s="184">
        <f>'TUMO RONG (1)'!G37+'LONG LEO(2)'!G37+'ĐĂK CHUM 1(3)'!G37+'ĐĂK CHUM II(4)'!G37+'TU CẤP(5)'!G37+'ĐĂK KA(6)'!G37+'VĂN SANG(7)'!G37+'ĐĂK NEANG(8)'!G37+'NGỌC LEANG(9)'!G37+'ĐĂK SIÊNG(10)'!G37+'KON TUN(11)'!G37+'MÔ PẢ(12)'!G37+'TY TU(13)'!G37+'KON LING(14)'!G37+'ĐĂK PƠ TRANG(15)'!G37+'KON PIA(16)'!G37+'ĐĂK HÀ(17)'!G37</f>
        <v>409.11</v>
      </c>
      <c r="I34" s="184">
        <f>G34/F34*100</f>
        <v>100.02689486552568</v>
      </c>
      <c r="J34" s="230"/>
      <c r="K34" s="29"/>
      <c r="L34" s="91"/>
      <c r="M34" s="83"/>
      <c r="N34" s="39"/>
      <c r="O34" s="30"/>
    </row>
    <row r="35" spans="1:22" ht="38.450000000000003" customHeight="1" x14ac:dyDescent="0.25">
      <c r="A35" s="222"/>
      <c r="B35" s="227" t="s">
        <v>139</v>
      </c>
      <c r="C35" s="4" t="s">
        <v>140</v>
      </c>
      <c r="D35" s="188">
        <v>137.5</v>
      </c>
      <c r="E35" s="188">
        <v>140</v>
      </c>
      <c r="F35" s="188">
        <v>140</v>
      </c>
      <c r="G35" s="188"/>
      <c r="H35" s="188"/>
      <c r="I35" s="188"/>
      <c r="J35" s="234"/>
      <c r="K35" s="29"/>
      <c r="L35" s="91"/>
      <c r="M35" s="31"/>
      <c r="N35" s="30"/>
      <c r="O35" s="30"/>
    </row>
    <row r="36" spans="1:22" ht="38.450000000000003" customHeight="1" x14ac:dyDescent="0.25">
      <c r="A36" s="235"/>
      <c r="B36" s="236" t="s">
        <v>141</v>
      </c>
      <c r="C36" s="237" t="s">
        <v>15</v>
      </c>
      <c r="D36" s="201">
        <f>D34*D35/10</f>
        <v>6325</v>
      </c>
      <c r="E36" s="201">
        <v>5714</v>
      </c>
      <c r="F36" s="201">
        <f>F34*F35/10</f>
        <v>5726</v>
      </c>
      <c r="G36" s="201">
        <f t="shared" ref="G36:H36" si="19">G34*G35/10</f>
        <v>0</v>
      </c>
      <c r="H36" s="201">
        <f t="shared" si="19"/>
        <v>0</v>
      </c>
      <c r="I36" s="201"/>
      <c r="J36" s="238"/>
      <c r="K36" s="29"/>
      <c r="L36" s="91"/>
      <c r="M36" s="33"/>
      <c r="N36" s="30"/>
      <c r="O36" s="30"/>
    </row>
    <row r="37" spans="1:22" ht="38.450000000000003" customHeight="1" x14ac:dyDescent="0.25">
      <c r="A37" s="222">
        <v>3</v>
      </c>
      <c r="B37" s="223" t="s">
        <v>162</v>
      </c>
      <c r="C37" s="222" t="s">
        <v>4</v>
      </c>
      <c r="D37" s="184">
        <f>'TUMO RONG (1)'!D40+'LONG LEO(2)'!D40+'ĐĂK CHUM 1(3)'!D40+'ĐĂK CHUM II(4)'!D40+'TU CẤP(5)'!D40+'ĐĂK KA(6)'!D40+'VĂN SANG(7)'!D40+'ĐĂK NEANG(8)'!D40+'NGỌC LEANG(9)'!D40+'ĐĂK SIÊNG(10)'!D40+'KON TUN(11)'!D40+'MÔ PẢ(12)'!D40+'TY TU(13)'!D40+'KON LING(14)'!D40+'ĐĂK PƠ TRANG(15)'!D40+'KON PIA(16)'!D40+'ĐĂK HÀ(17)'!D40</f>
        <v>4</v>
      </c>
      <c r="E37" s="184">
        <v>5</v>
      </c>
      <c r="F37" s="184">
        <f>'TUMO RONG (1)'!E40+'LONG LEO(2)'!E40+'ĐĂK CHUM 1(3)'!E40+'ĐĂK CHUM II(4)'!E40+'TU CẤP(5)'!E40+'ĐĂK KA(6)'!E40+'VĂN SANG(7)'!E40+'ĐĂK NEANG(8)'!E40+'NGỌC LEANG(9)'!E40+'ĐĂK SIÊNG(10)'!E40+'KON TUN(11)'!E40+'MÔ PẢ(12)'!E40+'TY TU(13)'!E40+'KON LING(14)'!E40+'ĐĂK PƠ TRANG(15)'!E40+'KON PIA(16)'!E40+'ĐĂK HÀ(17)'!E40</f>
        <v>5.5</v>
      </c>
      <c r="G37" s="184">
        <f>'TUMO RONG (1)'!F40+'LONG LEO(2)'!F40+'ĐĂK CHUM 1(3)'!F40+'ĐĂK CHUM II(4)'!F40+'TU CẤP(5)'!F40+'ĐĂK KA(6)'!F40+'VĂN SANG(7)'!F40+'ĐĂK NEANG(8)'!F40+'NGỌC LEANG(9)'!F40+'ĐĂK SIÊNG(10)'!F40+'KON TUN(11)'!F40+'MÔ PẢ(12)'!F40+'TY TU(13)'!F40+'KON LING(14)'!F40+'ĐĂK PƠ TRANG(15)'!F40+'KON PIA(16)'!F40+'ĐĂK HÀ(17)'!F40</f>
        <v>0</v>
      </c>
      <c r="H37" s="184">
        <f>'TUMO RONG (1)'!G40+'LONG LEO(2)'!G40+'ĐĂK CHUM 1(3)'!G40+'ĐĂK CHUM II(4)'!G40+'TU CẤP(5)'!G40+'ĐĂK KA(6)'!G40+'VĂN SANG(7)'!G40+'ĐĂK NEANG(8)'!G40+'NGỌC LEANG(9)'!G40+'ĐĂK SIÊNG(10)'!G40+'KON TUN(11)'!G40+'MÔ PẢ(12)'!G40+'TY TU(13)'!G40+'KON LING(14)'!G40+'ĐĂK PƠ TRANG(15)'!G40+'KON PIA(16)'!G40+'ĐĂK HÀ(17)'!G40</f>
        <v>0</v>
      </c>
      <c r="I37" s="184"/>
      <c r="J37" s="234"/>
      <c r="K37" s="29"/>
      <c r="L37" s="91"/>
      <c r="M37" s="49"/>
      <c r="N37" s="49"/>
      <c r="O37" s="49"/>
      <c r="P37" s="56"/>
      <c r="Q37" s="56"/>
      <c r="R37" s="56"/>
    </row>
    <row r="38" spans="1:22" ht="38.450000000000003" customHeight="1" x14ac:dyDescent="0.25">
      <c r="A38" s="222"/>
      <c r="B38" s="227" t="s">
        <v>139</v>
      </c>
      <c r="C38" s="4" t="s">
        <v>140</v>
      </c>
      <c r="D38" s="188">
        <v>25</v>
      </c>
      <c r="E38" s="188">
        <v>24.1</v>
      </c>
      <c r="F38" s="188">
        <v>24.1</v>
      </c>
      <c r="G38" s="188"/>
      <c r="H38" s="188"/>
      <c r="I38" s="188"/>
      <c r="J38" s="234"/>
      <c r="K38" s="29"/>
      <c r="L38" s="91"/>
      <c r="M38" s="49"/>
      <c r="N38" s="49"/>
      <c r="O38" s="49"/>
      <c r="P38" s="56"/>
      <c r="Q38" s="56"/>
      <c r="R38" s="56"/>
    </row>
    <row r="39" spans="1:22" ht="38.450000000000003" customHeight="1" x14ac:dyDescent="0.25">
      <c r="A39" s="222"/>
      <c r="B39" s="236" t="s">
        <v>141</v>
      </c>
      <c r="C39" s="237" t="s">
        <v>15</v>
      </c>
      <c r="D39" s="188">
        <f>D37*D38/10</f>
        <v>10</v>
      </c>
      <c r="E39" s="188">
        <f>E37*E38/10</f>
        <v>12.05</v>
      </c>
      <c r="F39" s="188">
        <f>F37*F38/10</f>
        <v>13.255000000000001</v>
      </c>
      <c r="G39" s="188">
        <f t="shared" ref="G39:H39" si="20">G37*G38/10</f>
        <v>0</v>
      </c>
      <c r="H39" s="188">
        <f t="shared" si="20"/>
        <v>0</v>
      </c>
      <c r="I39" s="188"/>
      <c r="J39" s="234"/>
      <c r="K39" s="29"/>
      <c r="L39" s="91"/>
      <c r="M39" s="49"/>
      <c r="N39" s="49"/>
      <c r="O39" s="49"/>
      <c r="P39" s="56"/>
      <c r="Q39" s="56"/>
      <c r="R39" s="56"/>
    </row>
    <row r="40" spans="1:22" ht="38.450000000000003" customHeight="1" x14ac:dyDescent="0.25">
      <c r="A40" s="222">
        <v>4</v>
      </c>
      <c r="B40" s="223" t="s">
        <v>163</v>
      </c>
      <c r="C40" s="222" t="s">
        <v>4</v>
      </c>
      <c r="D40" s="184">
        <f>'TUMO RONG (1)'!D43+'LONG LEO(2)'!D43+'ĐĂK CHUM 1(3)'!D43+'ĐĂK CHUM II(4)'!D43+'TU CẤP(5)'!D43+'ĐĂK KA(6)'!D43+'VĂN SANG(7)'!D43+'ĐĂK NEANG(8)'!D43+'NGỌC LEANG(9)'!D43+'ĐĂK SIÊNG(10)'!D43+'KON TUN(11)'!D43+'MÔ PẢ(12)'!D43+'TY TU(13)'!D43+'KON LING(14)'!D43+'ĐĂK PƠ TRANG(15)'!D43+'KON PIA(16)'!D43+'ĐĂK HÀ(17)'!D43</f>
        <v>8</v>
      </c>
      <c r="E40" s="184">
        <v>8</v>
      </c>
      <c r="F40" s="184">
        <f>'TUMO RONG (1)'!E43+'LONG LEO(2)'!E43+'ĐĂK CHUM 1(3)'!E43+'ĐĂK CHUM II(4)'!E43+'TU CẤP(5)'!E43+'ĐĂK KA(6)'!E43+'VĂN SANG(7)'!E43+'ĐĂK NEANG(8)'!E43+'NGỌC LEANG(9)'!E43+'ĐĂK SIÊNG(10)'!E43+'KON TUN(11)'!E43+'MÔ PẢ(12)'!E43+'TY TU(13)'!E43+'KON LING(14)'!E43+'ĐĂK PƠ TRANG(15)'!E43+'KON PIA(16)'!E43+'ĐĂK HÀ(17)'!E43</f>
        <v>8.5</v>
      </c>
      <c r="G40" s="184">
        <f>'TUMO RONG (1)'!F43+'LONG LEO(2)'!F43+'ĐĂK CHUM 1(3)'!F43+'ĐĂK CHUM II(4)'!F43+'TU CẤP(5)'!F43+'ĐĂK KA(6)'!F43+'VĂN SANG(7)'!F43+'ĐĂK NEANG(8)'!F43+'NGỌC LEANG(9)'!F43+'ĐĂK SIÊNG(10)'!F43+'KON TUN(11)'!F43+'MÔ PẢ(12)'!F43+'TY TU(13)'!F43+'KON LING(14)'!F43+'ĐĂK PƠ TRANG(15)'!F43+'KON PIA(16)'!F43+'ĐĂK HÀ(17)'!F43</f>
        <v>4.593</v>
      </c>
      <c r="H40" s="184">
        <f>'TUMO RONG (1)'!G43+'LONG LEO(2)'!G43+'ĐĂK CHUM 1(3)'!G43+'ĐĂK CHUM II(4)'!G43+'TU CẤP(5)'!G43+'ĐĂK KA(6)'!G43+'VĂN SANG(7)'!G43+'ĐĂK NEANG(8)'!G43+'NGỌC LEANG(9)'!G43+'ĐĂK SIÊNG(10)'!G43+'KON TUN(11)'!G43+'MÔ PẢ(12)'!G43+'TY TU(13)'!G43+'KON LING(14)'!G43+'ĐĂK PƠ TRANG(15)'!G43+'KON PIA(16)'!G43+'ĐĂK HÀ(17)'!G43</f>
        <v>4.593</v>
      </c>
      <c r="I40" s="184">
        <f>G40/F40*100</f>
        <v>54.035294117647062</v>
      </c>
      <c r="J40" s="239"/>
      <c r="K40" s="60"/>
      <c r="L40" s="91"/>
      <c r="M40" s="53"/>
      <c r="N40" s="30"/>
      <c r="O40" s="30"/>
    </row>
    <row r="41" spans="1:22" ht="38.450000000000003" customHeight="1" x14ac:dyDescent="0.25">
      <c r="A41" s="233"/>
      <c r="B41" s="227" t="s">
        <v>139</v>
      </c>
      <c r="C41" s="4" t="s">
        <v>140</v>
      </c>
      <c r="D41" s="188">
        <v>100</v>
      </c>
      <c r="E41" s="188">
        <v>98.5</v>
      </c>
      <c r="F41" s="188">
        <v>98.5</v>
      </c>
      <c r="G41" s="188">
        <v>49.25</v>
      </c>
      <c r="H41" s="188">
        <v>49.25</v>
      </c>
      <c r="I41" s="188"/>
      <c r="J41" s="213"/>
      <c r="K41" s="8"/>
      <c r="L41" s="91"/>
      <c r="M41" s="31"/>
      <c r="N41" s="30"/>
      <c r="O41" s="30"/>
    </row>
    <row r="42" spans="1:22" ht="38.450000000000003" customHeight="1" x14ac:dyDescent="0.25">
      <c r="A42" s="233"/>
      <c r="B42" s="236" t="s">
        <v>141</v>
      </c>
      <c r="C42" s="237" t="s">
        <v>15</v>
      </c>
      <c r="D42" s="188">
        <f>'TUMO RONG (1)'!D45+'LONG LEO(2)'!D45+'ĐĂK CHUM 1(3)'!D45+'ĐĂK CHUM II(4)'!D45+'TU CẤP(5)'!D45+'ĐĂK KA(6)'!D45+'VĂN SANG(7)'!D45+'ĐĂK NEANG(8)'!D45+'NGỌC LEANG(9)'!D45+'ĐĂK SIÊNG(10)'!D45+'KON TUN(11)'!D45+'MÔ PẢ(12)'!D45+'TY TU(13)'!D45+'KON LING(14)'!D45+'ĐĂK PƠ TRANG(15)'!D45+'KON PIA(16)'!D45+'ĐĂK HÀ(17)'!D45</f>
        <v>80</v>
      </c>
      <c r="E42" s="188">
        <f>E40*E41/10</f>
        <v>78.8</v>
      </c>
      <c r="F42" s="188">
        <f>F40*F41/10</f>
        <v>83.724999999999994</v>
      </c>
      <c r="G42" s="188">
        <f t="shared" ref="G42:H42" si="21">G40*G41/10</f>
        <v>22.620525000000001</v>
      </c>
      <c r="H42" s="188">
        <f t="shared" si="21"/>
        <v>22.620525000000001</v>
      </c>
      <c r="I42" s="188"/>
      <c r="J42" s="213"/>
      <c r="K42" s="8"/>
      <c r="L42" s="91"/>
      <c r="M42" s="30"/>
      <c r="N42" s="30"/>
      <c r="O42" s="30"/>
    </row>
    <row r="43" spans="1:22" ht="38.450000000000003" customHeight="1" x14ac:dyDescent="0.25">
      <c r="A43" s="222">
        <v>5</v>
      </c>
      <c r="B43" s="223" t="s">
        <v>30</v>
      </c>
      <c r="C43" s="222" t="s">
        <v>4</v>
      </c>
      <c r="D43" s="184">
        <f>D44+D54+D63</f>
        <v>708.42</v>
      </c>
      <c r="E43" s="184"/>
      <c r="F43" s="184">
        <f t="shared" ref="F43:H43" si="22">F44+F54+F63</f>
        <v>878.83999999999992</v>
      </c>
      <c r="G43" s="184">
        <f t="shared" si="22"/>
        <v>715.54</v>
      </c>
      <c r="H43" s="184">
        <f t="shared" si="22"/>
        <v>714.43999999999994</v>
      </c>
      <c r="I43" s="184">
        <f t="shared" ref="I43:I49" si="23">G43/F43*100</f>
        <v>81.418688270902564</v>
      </c>
      <c r="J43" s="226"/>
      <c r="K43" s="24"/>
      <c r="L43" s="91"/>
      <c r="M43" s="30"/>
      <c r="N43" s="30"/>
      <c r="O43" s="30"/>
    </row>
    <row r="44" spans="1:22" s="84" customFormat="1" ht="38.450000000000003" customHeight="1" x14ac:dyDescent="0.25">
      <c r="A44" s="240" t="s">
        <v>31</v>
      </c>
      <c r="B44" s="223" t="s">
        <v>32</v>
      </c>
      <c r="C44" s="222" t="s">
        <v>4</v>
      </c>
      <c r="D44" s="184">
        <f>D45+D46</f>
        <v>558.79999999999995</v>
      </c>
      <c r="E44" s="184">
        <v>689.6</v>
      </c>
      <c r="F44" s="184">
        <f>F45+F46</f>
        <v>708.8</v>
      </c>
      <c r="G44" s="184">
        <f t="shared" ref="G44:H44" si="24">G45+G46</f>
        <v>559.9</v>
      </c>
      <c r="H44" s="184">
        <f t="shared" si="24"/>
        <v>558.79999999999995</v>
      </c>
      <c r="I44" s="184">
        <f t="shared" si="23"/>
        <v>78.992663656884872</v>
      </c>
      <c r="J44" s="226"/>
      <c r="K44" s="121"/>
      <c r="L44" s="91"/>
      <c r="M44" s="92"/>
      <c r="N44" s="92"/>
      <c r="O44" s="92"/>
    </row>
    <row r="45" spans="1:22" ht="38.450000000000003" customHeight="1" x14ac:dyDescent="0.25">
      <c r="A45" s="241" t="s">
        <v>22</v>
      </c>
      <c r="B45" s="242" t="s">
        <v>117</v>
      </c>
      <c r="C45" s="243" t="s">
        <v>4</v>
      </c>
      <c r="D45" s="188">
        <f>'TUMO RONG (1)'!D48+'LONG LEO(2)'!D48+'ĐĂK CHUM 1(3)'!D48+'ĐĂK CHUM II(4)'!D48+'TU CẤP(5)'!D48+'ĐĂK KA(6)'!D48+'VĂN SANG(7)'!D48+'ĐĂK NEANG(8)'!D48+'NGỌC LEANG(9)'!D48+'ĐĂK SIÊNG(10)'!D48+'KON TUN(11)'!D48+'MÔ PẢ(12)'!D48+'TY TU(13)'!D48+'KON LING(14)'!D48+'ĐĂK PƠ TRANG(15)'!D48+'KON PIA(16)'!D48+'ĐĂK HÀ(17)'!D48</f>
        <v>461.09999999999997</v>
      </c>
      <c r="E45" s="188"/>
      <c r="F45" s="188">
        <f>'TUMO RONG (1)'!E48+'LONG LEO(2)'!E48+'ĐĂK CHUM 1(3)'!E48+'ĐĂK CHUM II(4)'!E48+'TU CẤP(5)'!E48+'ĐĂK KA(6)'!E48+'VĂN SANG(7)'!E48+'ĐĂK NEANG(8)'!E48+'NGỌC LEANG(9)'!E48+'ĐĂK SIÊNG(10)'!E48+'KON TUN(11)'!E48+'MÔ PẢ(12)'!E48+'TY TU(13)'!E48+'KON LING(14)'!E48+'ĐĂK PƠ TRANG(15)'!E48+'KON PIA(16)'!E48+'ĐĂK HÀ(17)'!E48</f>
        <v>558.79999999999995</v>
      </c>
      <c r="G45" s="188">
        <f>'TUMO RONG (1)'!F48+'LONG LEO(2)'!F48+'ĐĂK CHUM 1(3)'!F48+'ĐĂK CHUM II(4)'!F48+'TU CẤP(5)'!F48+'ĐĂK KA(6)'!F48+'VĂN SANG(7)'!F48+'ĐĂK NEANG(8)'!F48+'NGỌC LEANG(9)'!F48+'ĐĂK SIÊNG(10)'!F48+'KON TUN(11)'!F48+'MÔ PẢ(12)'!F48+'TY TU(13)'!F48+'KON LING(14)'!F48+'ĐĂK PƠ TRANG(15)'!F48+'KON PIA(16)'!F48+'ĐĂK HÀ(17)'!F48</f>
        <v>558.79999999999995</v>
      </c>
      <c r="H45" s="188">
        <f>'TUMO RONG (1)'!G48+'LONG LEO(2)'!G48+'ĐĂK CHUM 1(3)'!G48+'ĐĂK CHUM II(4)'!G48+'TU CẤP(5)'!G48+'ĐĂK KA(6)'!G48+'VĂN SANG(7)'!G48+'ĐĂK NEANG(8)'!G48+'NGỌC LEANG(9)'!G48+'ĐĂK SIÊNG(10)'!G48+'KON TUN(11)'!G48+'MÔ PẢ(12)'!G48+'TY TU(13)'!G48+'KON LING(14)'!G48+'ĐĂK PƠ TRANG(15)'!G48+'KON PIA(16)'!G48+'ĐĂK HÀ(17)'!G48</f>
        <v>558.79999999999995</v>
      </c>
      <c r="I45" s="188">
        <f t="shared" si="23"/>
        <v>100</v>
      </c>
      <c r="J45" s="199"/>
      <c r="K45" s="9"/>
      <c r="L45" s="91"/>
      <c r="M45" s="39"/>
      <c r="N45" s="30"/>
      <c r="O45" s="30"/>
    </row>
    <row r="46" spans="1:22" s="23" customFormat="1" ht="38.450000000000003" customHeight="1" x14ac:dyDescent="0.25">
      <c r="A46" s="222" t="s">
        <v>18</v>
      </c>
      <c r="B46" s="223" t="s">
        <v>107</v>
      </c>
      <c r="C46" s="244" t="s">
        <v>4</v>
      </c>
      <c r="D46" s="184">
        <f>D47+D48</f>
        <v>97.7</v>
      </c>
      <c r="E46" s="184">
        <v>150</v>
      </c>
      <c r="F46" s="184">
        <f t="shared" ref="F46:H46" si="25">F47+F48</f>
        <v>150</v>
      </c>
      <c r="G46" s="184">
        <f t="shared" si="25"/>
        <v>1.1000000000000001</v>
      </c>
      <c r="H46" s="184">
        <f t="shared" si="25"/>
        <v>0</v>
      </c>
      <c r="I46" s="184">
        <f t="shared" si="23"/>
        <v>0.73333333333333339</v>
      </c>
      <c r="J46" s="223"/>
      <c r="K46" s="21"/>
      <c r="L46" s="91"/>
      <c r="M46" s="206"/>
      <c r="N46" s="83"/>
      <c r="O46" s="83"/>
      <c r="P46" s="46"/>
      <c r="Q46" s="46"/>
      <c r="R46" s="46"/>
      <c r="S46" s="46"/>
      <c r="T46" s="46"/>
      <c r="U46" s="46"/>
    </row>
    <row r="47" spans="1:22" ht="188.25" customHeight="1" x14ac:dyDescent="0.25">
      <c r="A47" s="243" t="s">
        <v>16</v>
      </c>
      <c r="B47" s="245" t="s">
        <v>115</v>
      </c>
      <c r="C47" s="243" t="s">
        <v>4</v>
      </c>
      <c r="D47" s="188">
        <f>'TUMO RONG (1)'!D50+'LONG LEO(2)'!D50+'ĐĂK CHUM 1(3)'!D50+'ĐĂK CHUM II(4)'!D50+'TU CẤP(5)'!D50+'ĐĂK KA(6)'!D50+'VĂN SANG(7)'!D50+'ĐĂK NEANG(8)'!D50+'NGỌC LEANG(9)'!D50+'ĐĂK SIÊNG(10)'!D50+'KON TUN(11)'!D50+'MÔ PẢ(12)'!D50+'TY TU(13)'!D50+'KON LING(14)'!D50+'ĐĂK PƠ TRANG(15)'!D50+'KON PIA(16)'!D50+'ĐĂK HÀ(17)'!D50</f>
        <v>87.2</v>
      </c>
      <c r="E47" s="188"/>
      <c r="F47" s="188">
        <f>'TUMO RONG (1)'!E50+'LONG LEO(2)'!E50+'ĐĂK CHUM 1(3)'!E50+'ĐĂK CHUM II(4)'!E50+'TU CẤP(5)'!E50+'ĐĂK KA(6)'!E50+'VĂN SANG(7)'!E50+'ĐĂK NEANG(8)'!E50+'NGỌC LEANG(9)'!E50+'ĐĂK SIÊNG(10)'!E50+'KON TUN(11)'!E50+'MÔ PẢ(12)'!E50+'TY TU(13)'!E50+'KON LING(14)'!E50+'ĐĂK PƠ TRANG(15)'!E50+'KON PIA(16)'!E50+'ĐĂK HÀ(17)'!E50</f>
        <v>140</v>
      </c>
      <c r="G47" s="188">
        <f>'TUMO RONG (1)'!F50+'LONG LEO(2)'!F50+'ĐĂK CHUM 1(3)'!F50+'ĐĂK CHUM II(4)'!F50+'TU CẤP(5)'!F50+'ĐĂK KA(6)'!F50+'VĂN SANG(7)'!F50+'ĐĂK NEANG(8)'!F50+'NGỌC LEANG(9)'!F50+'ĐĂK SIÊNG(10)'!F50+'KON TUN(11)'!F50+'MÔ PẢ(12)'!F50+'TY TU(13)'!F50+'KON LING(14)'!F50+'ĐĂK PƠ TRANG(15)'!F50+'KON PIA(16)'!F50+'ĐĂK HÀ(17)'!F50</f>
        <v>1.1000000000000001</v>
      </c>
      <c r="H47" s="188">
        <f>'TUMO RONG (1)'!G50+'LONG LEO(2)'!G50+'ĐĂK CHUM 1(3)'!G50+'ĐĂK CHUM II(4)'!G50+'TU CẤP(5)'!G50+'ĐĂK KA(6)'!G50+'VĂN SANG(7)'!G50+'ĐĂK NEANG(8)'!G50+'NGỌC LEANG(9)'!G50+'ĐĂK SIÊNG(10)'!G50+'KON TUN(11)'!G50+'MÔ PẢ(12)'!G50+'TY TU(13)'!G50+'KON LING(14)'!G50+'ĐĂK PƠ TRANG(15)'!G50+'KON PIA(16)'!G50+'ĐĂK HÀ(17)'!G50</f>
        <v>0</v>
      </c>
      <c r="I47" s="184">
        <f t="shared" si="23"/>
        <v>0.78571428571428581</v>
      </c>
      <c r="J47" s="397" t="s">
        <v>282</v>
      </c>
      <c r="K47" s="24"/>
      <c r="L47" s="91"/>
      <c r="M47" s="33"/>
      <c r="N47" s="11"/>
      <c r="O47" s="11"/>
      <c r="P47" s="14"/>
      <c r="Q47" s="14"/>
      <c r="R47" s="14"/>
      <c r="S47" s="14"/>
      <c r="T47" s="14"/>
      <c r="U47" s="14"/>
      <c r="V47" s="14"/>
    </row>
    <row r="48" spans="1:22" ht="38.450000000000003" customHeight="1" x14ac:dyDescent="0.25">
      <c r="A48" s="243" t="s">
        <v>16</v>
      </c>
      <c r="B48" s="245" t="s">
        <v>33</v>
      </c>
      <c r="C48" s="233" t="s">
        <v>4</v>
      </c>
      <c r="D48" s="188">
        <f>'TUMO RONG (1)'!D51+'LONG LEO(2)'!D51+'ĐĂK CHUM 1(3)'!D51+'ĐĂK CHUM II(4)'!D51+'TU CẤP(5)'!D51+'ĐĂK KA(6)'!D51+'VĂN SANG(7)'!D51+'ĐĂK NEANG(8)'!D51+'NGỌC LEANG(9)'!D51+'ĐĂK SIÊNG(10)'!D51+'KON TUN(11)'!D51+'MÔ PẢ(12)'!D51+'TY TU(13)'!D51+'KON LING(14)'!D51+'ĐĂK PƠ TRANG(15)'!D51+'KON PIA(16)'!D51+'ĐĂK HÀ(17)'!D51</f>
        <v>10.500000000000002</v>
      </c>
      <c r="E48" s="188"/>
      <c r="F48" s="188">
        <f>'TUMO RONG (1)'!E51+'LONG LEO(2)'!E51+'ĐĂK CHUM 1(3)'!E51+'ĐĂK CHUM II(4)'!E51+'TU CẤP(5)'!E51+'ĐĂK KA(6)'!E51+'VĂN SANG(7)'!E51+'ĐĂK NEANG(8)'!E51+'NGỌC LEANG(9)'!E51+'ĐĂK SIÊNG(10)'!E51+'KON TUN(11)'!E51+'MÔ PẢ(12)'!E51+'TY TU(13)'!E51+'KON LING(14)'!E51+'ĐĂK PƠ TRANG(15)'!E51+'KON PIA(16)'!E51+'ĐĂK HÀ(17)'!E51</f>
        <v>10</v>
      </c>
      <c r="G48" s="188">
        <f>'TUMO RONG (1)'!F51+'LONG LEO(2)'!F51+'ĐĂK CHUM 1(3)'!F51+'ĐĂK CHUM II(4)'!F51+'TU CẤP(5)'!F51+'ĐĂK KA(6)'!F51+'VĂN SANG(7)'!F51+'ĐĂK NEANG(8)'!F51+'NGỌC LEANG(9)'!F51+'ĐĂK SIÊNG(10)'!F51+'KON TUN(11)'!F51+'MÔ PẢ(12)'!F51+'TY TU(13)'!F51+'KON LING(14)'!F51+'ĐĂK PƠ TRANG(15)'!F51+'KON PIA(16)'!F51+'ĐĂK HÀ(17)'!F51</f>
        <v>0</v>
      </c>
      <c r="H48" s="188">
        <f>'TUMO RONG (1)'!G51+'LONG LEO(2)'!G51+'ĐĂK CHUM 1(3)'!G51+'ĐĂK CHUM II(4)'!G51+'TU CẤP(5)'!G51+'ĐĂK KA(6)'!G51+'VĂN SANG(7)'!G51+'ĐĂK NEANG(8)'!G51+'NGỌC LEANG(9)'!G51+'ĐĂK SIÊNG(10)'!G51+'KON TUN(11)'!G51+'MÔ PẢ(12)'!G51+'TY TU(13)'!G51+'KON LING(14)'!G51+'ĐĂK PƠ TRANG(15)'!G51+'KON PIA(16)'!G51+'ĐĂK HÀ(17)'!G51</f>
        <v>0</v>
      </c>
      <c r="I48" s="184">
        <f t="shared" si="23"/>
        <v>0</v>
      </c>
      <c r="J48" s="229"/>
      <c r="K48" s="26"/>
      <c r="L48" s="91"/>
      <c r="M48" s="30"/>
      <c r="N48" s="11"/>
      <c r="O48" s="11"/>
      <c r="P48" s="14"/>
      <c r="Q48" s="14"/>
      <c r="R48" s="14"/>
      <c r="S48" s="14"/>
      <c r="T48" s="14"/>
      <c r="U48" s="14"/>
      <c r="V48" s="14"/>
    </row>
    <row r="49" spans="1:20" s="23" customFormat="1" ht="38.450000000000003" customHeight="1" x14ac:dyDescent="0.25">
      <c r="A49" s="221" t="s">
        <v>20</v>
      </c>
      <c r="B49" s="246" t="s">
        <v>118</v>
      </c>
      <c r="C49" s="222" t="s">
        <v>4</v>
      </c>
      <c r="D49" s="184">
        <f>D52+D53</f>
        <v>282</v>
      </c>
      <c r="E49" s="184"/>
      <c r="F49" s="184">
        <f t="shared" ref="F49:H49" si="26">F52+F53</f>
        <v>389.21600000000001</v>
      </c>
      <c r="G49" s="184">
        <f t="shared" si="26"/>
        <v>389.21999999999997</v>
      </c>
      <c r="H49" s="184">
        <f t="shared" si="26"/>
        <v>389.21999999999997</v>
      </c>
      <c r="I49" s="184">
        <f t="shared" si="23"/>
        <v>100.00102770698018</v>
      </c>
      <c r="J49" s="228"/>
      <c r="K49" s="90"/>
      <c r="L49" s="46"/>
    </row>
    <row r="50" spans="1:20" s="23" customFormat="1" ht="38.450000000000003" customHeight="1" x14ac:dyDescent="0.25">
      <c r="A50" s="221"/>
      <c r="B50" s="227" t="s">
        <v>139</v>
      </c>
      <c r="C50" s="4" t="s">
        <v>140</v>
      </c>
      <c r="D50" s="188">
        <v>13.5</v>
      </c>
      <c r="E50" s="188"/>
      <c r="F50" s="188">
        <v>13.5</v>
      </c>
      <c r="G50" s="188"/>
      <c r="H50" s="188"/>
      <c r="I50" s="184"/>
      <c r="J50" s="228"/>
      <c r="K50" s="90"/>
      <c r="L50" s="46"/>
    </row>
    <row r="51" spans="1:20" s="23" customFormat="1" ht="38.450000000000003" customHeight="1" x14ac:dyDescent="0.25">
      <c r="A51" s="221"/>
      <c r="B51" s="227" t="s">
        <v>141</v>
      </c>
      <c r="C51" s="4" t="s">
        <v>15</v>
      </c>
      <c r="D51" s="188">
        <f>D49*D50/10</f>
        <v>380.7</v>
      </c>
      <c r="E51" s="188"/>
      <c r="F51" s="188">
        <f t="shared" ref="F51:H51" si="27">F49*F50/10</f>
        <v>525.44159999999999</v>
      </c>
      <c r="G51" s="188">
        <f t="shared" si="27"/>
        <v>0</v>
      </c>
      <c r="H51" s="188">
        <f t="shared" si="27"/>
        <v>0</v>
      </c>
      <c r="I51" s="184"/>
      <c r="J51" s="228"/>
      <c r="K51" s="90"/>
      <c r="L51" s="46"/>
    </row>
    <row r="52" spans="1:20" ht="38.450000000000003" customHeight="1" x14ac:dyDescent="0.25">
      <c r="A52" s="247" t="s">
        <v>16</v>
      </c>
      <c r="B52" s="245" t="s">
        <v>119</v>
      </c>
      <c r="C52" s="233" t="s">
        <v>4</v>
      </c>
      <c r="D52" s="188">
        <f>'TUMO RONG (1)'!D53+'LONG LEO(2)'!D53+'ĐĂK CHUM 1(3)'!D53+'ĐĂK CHUM II(4)'!D53+'TU CẤP(5)'!D53+'ĐĂK KA(6)'!D53+'VĂN SANG(7)'!D53+'ĐĂK NEANG(8)'!D53+'NGỌC LEANG(9)'!D53+'ĐĂK SIÊNG(10)'!D53+'KON TUN(11)'!D53+'MÔ PẢ(12)'!D53+'TY TU(13)'!D53+'KON LING(14)'!D53+'ĐĂK PƠ TRANG(15)'!D53+'KON PIA(16)'!D53+'ĐĂK HÀ(17)'!D53</f>
        <v>231.99999999999997</v>
      </c>
      <c r="E52" s="188"/>
      <c r="F52" s="188">
        <f>'TUMO RONG (1)'!E53+'LONG LEO(2)'!E53+'ĐĂK CHUM 1(3)'!E53+'ĐĂK CHUM II(4)'!E53+'TU CẤP(5)'!E53+'ĐĂK KA(6)'!E53+'VĂN SANG(7)'!E53+'ĐĂK NEANG(8)'!E53+'NGỌC LEANG(9)'!E53+'ĐĂK SIÊNG(10)'!E53+'KON TUN(11)'!E53+'MÔ PẢ(12)'!E53+'TY TU(13)'!E53+'KON LING(14)'!E53+'ĐĂK PƠ TRANG(15)'!E53+'KON PIA(16)'!E53+'ĐĂK HÀ(17)'!E53</f>
        <v>389.21600000000001</v>
      </c>
      <c r="G52" s="188">
        <f>'TUMO RONG (1)'!F53+'LONG LEO(2)'!F53+'ĐĂK CHUM 1(3)'!F53+'ĐĂK CHUM II(4)'!F53+'TU CẤP(5)'!F53+'ĐĂK KA(6)'!F53+'VĂN SANG(7)'!F53+'ĐĂK NEANG(8)'!F53+'NGỌC LEANG(9)'!F53+'ĐĂK SIÊNG(10)'!F53+'KON TUN(11)'!F53+'MÔ PẢ(12)'!F53+'TY TU(13)'!F53+'KON LING(14)'!F53+'ĐĂK PƠ TRANG(15)'!F53+'KON PIA(16)'!F53+'ĐĂK HÀ(17)'!F53</f>
        <v>389.21999999999997</v>
      </c>
      <c r="H52" s="188">
        <f>'TUMO RONG (1)'!G53+'LONG LEO(2)'!G53+'ĐĂK CHUM 1(3)'!G53+'ĐĂK CHUM II(4)'!G53+'TU CẤP(5)'!G53+'ĐĂK KA(6)'!G53+'VĂN SANG(7)'!G53+'ĐĂK NEANG(8)'!G53+'NGỌC LEANG(9)'!G53+'ĐĂK SIÊNG(10)'!G53+'KON TUN(11)'!G53+'MÔ PẢ(12)'!G53+'TY TU(13)'!G53+'KON LING(14)'!G53+'ĐĂK PƠ TRANG(15)'!G53+'KON PIA(16)'!G53+'ĐĂK HÀ(17)'!G53</f>
        <v>389.21999999999997</v>
      </c>
      <c r="I52" s="188">
        <f t="shared" ref="I52:I55" si="28">G52/F52*100</f>
        <v>100.00102770698018</v>
      </c>
      <c r="J52" s="229"/>
      <c r="K52" s="26"/>
      <c r="P52" s="81"/>
    </row>
    <row r="53" spans="1:20" ht="38.450000000000003" customHeight="1" x14ac:dyDescent="0.25">
      <c r="A53" s="233"/>
      <c r="B53" s="245" t="s">
        <v>120</v>
      </c>
      <c r="C53" s="233" t="s">
        <v>4</v>
      </c>
      <c r="D53" s="188">
        <f>'TUMO RONG (1)'!D54+'LONG LEO(2)'!D54+'ĐĂK CHUM 1(3)'!D54+'ĐĂK CHUM II(4)'!D54+'TU CẤP(5)'!D54+'ĐĂK KA(6)'!D54+'VĂN SANG(7)'!D54+'ĐĂK NEANG(8)'!D54+'NGỌC LEANG(9)'!D54+'ĐĂK SIÊNG(10)'!D54+'KON TUN(11)'!D54+'MÔ PẢ(12)'!D54+'TY TU(13)'!D54+'KON LING(14)'!D54+'ĐĂK PƠ TRANG(15)'!D54+'KON PIA(16)'!D54+'ĐĂK HÀ(17)'!D54</f>
        <v>50</v>
      </c>
      <c r="E53" s="188"/>
      <c r="F53" s="184">
        <f>'TUMO RONG (1)'!E54+'LONG LEO(2)'!E54+'ĐĂK CHUM 1(3)'!E54+'ĐĂK CHUM II(4)'!E54+'TU CẤP(5)'!E54+'ĐĂK KA(6)'!E54+'VĂN SANG(7)'!E54+'ĐĂK NEANG(8)'!E54+'NGỌC LEANG(9)'!E54+'ĐĂK SIÊNG(10)'!E54+'KON TUN(11)'!E54+'MÔ PẢ(12)'!E54+'TY TU(13)'!E54+'KON LING(14)'!E54+'ĐĂK PƠ TRANG(15)'!E54+'KON PIA(16)'!E54+'ĐĂK HÀ(17)'!E54</f>
        <v>0</v>
      </c>
      <c r="G53" s="184">
        <f>'TUMO RONG (1)'!F54+'LONG LEO(2)'!F54+'ĐĂK CHUM 1(3)'!F54+'ĐĂK CHUM II(4)'!F54+'TU CẤP(5)'!F54+'ĐĂK KA(6)'!F54+'VĂN SANG(7)'!F54+'ĐĂK NEANG(8)'!F54+'NGỌC LEANG(9)'!F54+'ĐĂK SIÊNG(10)'!F54+'KON TUN(11)'!F54+'MÔ PẢ(12)'!F54+'TY TU(13)'!F54+'KON LING(14)'!F54+'ĐĂK PƠ TRANG(15)'!F54+'KON PIA(16)'!F54+'ĐĂK HÀ(17)'!F54</f>
        <v>0</v>
      </c>
      <c r="H53" s="184">
        <f>'TUMO RONG (1)'!G54+'LONG LEO(2)'!G54+'ĐĂK CHUM 1(3)'!G54+'ĐĂK CHUM II(4)'!G54+'TU CẤP(5)'!G54+'ĐĂK KA(6)'!G54+'VĂN SANG(7)'!G54+'ĐĂK NEANG(8)'!G54+'NGỌC LEANG(9)'!G54+'ĐĂK SIÊNG(10)'!G54+'KON TUN(11)'!G54+'MÔ PẢ(12)'!G54+'TY TU(13)'!G54+'KON LING(14)'!G54+'ĐĂK PƠ TRANG(15)'!G54+'KON PIA(16)'!G54+'ĐĂK HÀ(17)'!G54</f>
        <v>0</v>
      </c>
      <c r="I53" s="188"/>
      <c r="J53" s="229"/>
      <c r="K53" s="26"/>
      <c r="P53" s="81"/>
    </row>
    <row r="54" spans="1:20" s="84" customFormat="1" ht="38.450000000000003" customHeight="1" x14ac:dyDescent="0.25">
      <c r="A54" s="222" t="s">
        <v>38</v>
      </c>
      <c r="B54" s="223" t="s">
        <v>34</v>
      </c>
      <c r="C54" s="222" t="s">
        <v>4</v>
      </c>
      <c r="D54" s="184">
        <f>D55+D56</f>
        <v>114.94</v>
      </c>
      <c r="E54" s="184">
        <v>126</v>
      </c>
      <c r="F54" s="184">
        <f>F55+F56</f>
        <v>135.35999999999999</v>
      </c>
      <c r="G54" s="184">
        <f t="shared" ref="G54:H54" si="29">G55+G56</f>
        <v>120.96</v>
      </c>
      <c r="H54" s="184">
        <f t="shared" si="29"/>
        <v>120.96</v>
      </c>
      <c r="I54" s="184">
        <f t="shared" si="28"/>
        <v>89.361702127659584</v>
      </c>
      <c r="J54" s="226"/>
      <c r="K54" s="121"/>
      <c r="L54" s="150"/>
    </row>
    <row r="55" spans="1:20" ht="38.450000000000003" customHeight="1" x14ac:dyDescent="0.25">
      <c r="A55" s="233" t="s">
        <v>22</v>
      </c>
      <c r="B55" s="242" t="s">
        <v>135</v>
      </c>
      <c r="C55" s="233" t="s">
        <v>4</v>
      </c>
      <c r="D55" s="188">
        <f>'TUMO RONG (1)'!D56+'LONG LEO(2)'!D56+'ĐĂK CHUM 1(3)'!D56+'ĐĂK CHUM II(4)'!D56+'TU CẤP(5)'!D56+'ĐĂK KA(6)'!D56+'VĂN SANG(7)'!D56+'ĐĂK NEANG(8)'!D56+'NGỌC LEANG(9)'!D56+'ĐĂK SIÊNG(10)'!D56+'KON TUN(11)'!D56+'MÔ PẢ(12)'!D56+'TY TU(13)'!D56+'KON LING(14)'!D56+'ĐĂK PƠ TRANG(15)'!D56+'KON PIA(16)'!D56+'ĐĂK HÀ(17)'!D56</f>
        <v>112.56</v>
      </c>
      <c r="E55" s="188"/>
      <c r="F55" s="188">
        <f>'TUMO RONG (1)'!E56+'LONG LEO(2)'!E56+'ĐĂK CHUM 1(3)'!E56+'ĐĂK CHUM II(4)'!E56+'TU CẤP(5)'!E56+'ĐĂK KA(6)'!E56+'VĂN SANG(7)'!E56+'ĐĂK NEANG(8)'!E56+'NGỌC LEANG(9)'!E56+'ĐĂK SIÊNG(10)'!E56+'KON TUN(11)'!E56+'MÔ PẢ(12)'!E56+'TY TU(13)'!E56+'KON LING(14)'!E56+'ĐĂK PƠ TRANG(15)'!E56+'KON PIA(16)'!E56+'ĐĂK HÀ(17)'!E56</f>
        <v>120.96</v>
      </c>
      <c r="G55" s="188">
        <f>'TUMO RONG (1)'!F56+'LONG LEO(2)'!F56+'ĐĂK CHUM 1(3)'!F56+'ĐĂK CHUM II(4)'!F56+'TU CẤP(5)'!F56+'ĐĂK KA(6)'!F56+'VĂN SANG(7)'!F56+'ĐĂK NEANG(8)'!F56+'NGỌC LEANG(9)'!F56+'ĐĂK SIÊNG(10)'!F56+'KON TUN(11)'!F56+'MÔ PẢ(12)'!F56+'TY TU(13)'!F56+'KON LING(14)'!F56+'ĐĂK PƠ TRANG(15)'!F56+'KON PIA(16)'!F56+'ĐĂK HÀ(17)'!F56</f>
        <v>120.96</v>
      </c>
      <c r="H55" s="188">
        <f>'TUMO RONG (1)'!G56+'LONG LEO(2)'!G56+'ĐĂK CHUM 1(3)'!G56+'ĐĂK CHUM II(4)'!G56+'TU CẤP(5)'!G56+'ĐĂK KA(6)'!G56+'VĂN SANG(7)'!G56+'ĐĂK NEANG(8)'!G56+'NGỌC LEANG(9)'!G56+'ĐĂK SIÊNG(10)'!G56+'KON TUN(11)'!G56+'MÔ PẢ(12)'!G56+'TY TU(13)'!G56+'KON LING(14)'!G56+'ĐĂK PƠ TRANG(15)'!G56+'KON PIA(16)'!G56+'ĐĂK HÀ(17)'!G56</f>
        <v>120.96</v>
      </c>
      <c r="I55" s="188">
        <f t="shared" si="28"/>
        <v>100</v>
      </c>
      <c r="J55" s="229"/>
      <c r="K55" s="26"/>
      <c r="L55" s="27"/>
    </row>
    <row r="56" spans="1:20" ht="38.450000000000003" customHeight="1" x14ac:dyDescent="0.25">
      <c r="A56" s="233" t="s">
        <v>22</v>
      </c>
      <c r="B56" s="226" t="s">
        <v>121</v>
      </c>
      <c r="C56" s="233" t="s">
        <v>4</v>
      </c>
      <c r="D56" s="188">
        <f>D57+D60</f>
        <v>2.38</v>
      </c>
      <c r="E56" s="188">
        <v>14.4</v>
      </c>
      <c r="F56" s="188">
        <f>F57+F60</f>
        <v>14.399999999999999</v>
      </c>
      <c r="G56" s="188">
        <f t="shared" ref="G56:H56" si="30">G57+G60</f>
        <v>0</v>
      </c>
      <c r="H56" s="188">
        <f t="shared" si="30"/>
        <v>0</v>
      </c>
      <c r="I56" s="188"/>
      <c r="J56" s="248"/>
      <c r="K56" s="164"/>
      <c r="L56" s="91"/>
      <c r="M56" s="91"/>
    </row>
    <row r="57" spans="1:20" s="41" customFormat="1" ht="38.450000000000003" customHeight="1" x14ac:dyDescent="0.25">
      <c r="A57" s="234" t="s">
        <v>18</v>
      </c>
      <c r="B57" s="249" t="s">
        <v>106</v>
      </c>
      <c r="C57" s="233" t="s">
        <v>4</v>
      </c>
      <c r="D57" s="191">
        <f>D58+D59</f>
        <v>0.28000000000000003</v>
      </c>
      <c r="E57" s="191"/>
      <c r="F57" s="191">
        <f>F58+F59</f>
        <v>8.3999999999999986</v>
      </c>
      <c r="G57" s="191">
        <f t="shared" ref="G57:H57" si="31">G58+G59</f>
        <v>0</v>
      </c>
      <c r="H57" s="191">
        <f t="shared" si="31"/>
        <v>0</v>
      </c>
      <c r="I57" s="191"/>
      <c r="J57" s="250"/>
      <c r="K57" s="165"/>
      <c r="L57" s="40"/>
    </row>
    <row r="58" spans="1:20" ht="38.450000000000003" customHeight="1" x14ac:dyDescent="0.25">
      <c r="A58" s="233" t="s">
        <v>16</v>
      </c>
      <c r="B58" s="242" t="s">
        <v>123</v>
      </c>
      <c r="C58" s="233" t="s">
        <v>4</v>
      </c>
      <c r="D58" s="188">
        <f>'TUMO RONG (1)'!D59+'LONG LEO(2)'!D59+'ĐĂK CHUM 1(3)'!D59+'ĐĂK CHUM II(4)'!D59+'TU CẤP(5)'!D59+'ĐĂK KA(6)'!D59+'VĂN SANG(7)'!D59+'ĐĂK NEANG(8)'!D59+'NGỌC LEANG(9)'!D59+'ĐĂK SIÊNG(10)'!D59+'KON TUN(11)'!D59+'MÔ PẢ(12)'!D59+'TY TU(13)'!D59+'KON LING(14)'!D59+'ĐĂK PƠ TRANG(15)'!D59+'KON PIA(16)'!D59+'ĐĂK HÀ(17)'!D59</f>
        <v>0.28000000000000003</v>
      </c>
      <c r="E58" s="188"/>
      <c r="F58" s="188">
        <f>'TUMO RONG (1)'!E59+'LONG LEO(2)'!E59+'ĐĂK CHUM 1(3)'!E59+'ĐĂK CHUM II(4)'!E59+'TU CẤP(5)'!E59+'ĐĂK KA(6)'!E59+'VĂN SANG(7)'!E59+'ĐĂK NEANG(8)'!E59+'NGỌC LEANG(9)'!E59+'ĐĂK SIÊNG(10)'!E59+'KON TUN(11)'!E59+'MÔ PẢ(12)'!E59+'TY TU(13)'!E59+'KON LING(14)'!E59+'ĐĂK PƠ TRANG(15)'!E59+'KON PIA(16)'!E59+'ĐĂK HÀ(17)'!E59</f>
        <v>4.4999999999999991</v>
      </c>
      <c r="G58" s="188">
        <f>'TUMO RONG (1)'!F59+'LONG LEO(2)'!F59+'ĐĂK CHUM 1(3)'!F59+'ĐĂK CHUM II(4)'!F59+'TU CẤP(5)'!F59+'ĐĂK KA(6)'!F59+'VĂN SANG(7)'!F59+'ĐĂK NEANG(8)'!F59+'NGỌC LEANG(9)'!F59+'ĐĂK SIÊNG(10)'!F59+'KON TUN(11)'!F59+'MÔ PẢ(12)'!F59+'TY TU(13)'!F59+'KON LING(14)'!F59+'ĐĂK PƠ TRANG(15)'!F59+'KON PIA(16)'!F59+'ĐĂK HÀ(17)'!F59</f>
        <v>0</v>
      </c>
      <c r="H58" s="188">
        <f>'TUMO RONG (1)'!G59+'LONG LEO(2)'!G59+'ĐĂK CHUM 1(3)'!G59+'ĐĂK CHUM II(4)'!G59+'TU CẤP(5)'!G59+'ĐĂK KA(6)'!G59+'VĂN SANG(7)'!G59+'ĐĂK NEANG(8)'!G59+'NGỌC LEANG(9)'!G59+'ĐĂK SIÊNG(10)'!G59+'KON TUN(11)'!G59+'MÔ PẢ(12)'!G59+'TY TU(13)'!G59+'KON LING(14)'!G59+'ĐĂK PƠ TRANG(15)'!G59+'KON PIA(16)'!G59+'ĐĂK HÀ(17)'!G59</f>
        <v>0</v>
      </c>
      <c r="I58" s="188"/>
      <c r="J58" s="226"/>
      <c r="K58" s="24"/>
    </row>
    <row r="59" spans="1:20" ht="38.450000000000003" customHeight="1" x14ac:dyDescent="0.25">
      <c r="A59" s="233" t="s">
        <v>16</v>
      </c>
      <c r="B59" s="242" t="s">
        <v>122</v>
      </c>
      <c r="C59" s="233" t="s">
        <v>4</v>
      </c>
      <c r="D59" s="188">
        <f>'TUMO RONG (1)'!D60+'LONG LEO(2)'!D60+'ĐĂK CHUM 1(3)'!D60+'ĐĂK CHUM II(4)'!D60+'TU CẤP(5)'!D60+'ĐĂK KA(6)'!D60+'VĂN SANG(7)'!D60+'ĐĂK NEANG(8)'!D60+'NGỌC LEANG(9)'!D60+'ĐĂK SIÊNG(10)'!D60+'KON TUN(11)'!D60+'MÔ PẢ(12)'!D60+'TY TU(13)'!D60+'KON LING(14)'!D60+'ĐĂK PƠ TRANG(15)'!D60+'KON PIA(16)'!D60+'ĐĂK HÀ(17)'!D60</f>
        <v>0</v>
      </c>
      <c r="E59" s="188"/>
      <c r="F59" s="188">
        <f>'TUMO RONG (1)'!E60+'LONG LEO(2)'!E60+'ĐĂK CHUM 1(3)'!E60+'ĐĂK CHUM II(4)'!E60+'TU CẤP(5)'!E60+'ĐĂK KA(6)'!E60+'VĂN SANG(7)'!E60+'ĐĂK NEANG(8)'!E60+'NGỌC LEANG(9)'!E60+'ĐĂK SIÊNG(10)'!E60+'KON TUN(11)'!E60+'MÔ PẢ(12)'!E60+'TY TU(13)'!E60+'KON LING(14)'!E60+'ĐĂK PƠ TRANG(15)'!E60+'KON PIA(16)'!E60+'ĐĂK HÀ(17)'!E60</f>
        <v>3.9000000000000004</v>
      </c>
      <c r="G59" s="188">
        <f>'TUMO RONG (1)'!F60+'LONG LEO(2)'!F60+'ĐĂK CHUM 1(3)'!F60+'ĐĂK CHUM II(4)'!F60+'TU CẤP(5)'!F60+'ĐĂK KA(6)'!F60+'VĂN SANG(7)'!F60+'ĐĂK NEANG(8)'!F60+'NGỌC LEANG(9)'!F60+'ĐĂK SIÊNG(10)'!F60+'KON TUN(11)'!F60+'MÔ PẢ(12)'!F60+'TY TU(13)'!F60+'KON LING(14)'!F60+'ĐĂK PƠ TRANG(15)'!F60+'KON PIA(16)'!F60+'ĐĂK HÀ(17)'!F60</f>
        <v>0</v>
      </c>
      <c r="H59" s="188">
        <f>'TUMO RONG (1)'!G60+'LONG LEO(2)'!G60+'ĐĂK CHUM 1(3)'!G60+'ĐĂK CHUM II(4)'!G60+'TU CẤP(5)'!G60+'ĐĂK KA(6)'!G60+'VĂN SANG(7)'!G60+'ĐĂK NEANG(8)'!G60+'NGỌC LEANG(9)'!G60+'ĐĂK SIÊNG(10)'!G60+'KON TUN(11)'!G60+'MÔ PẢ(12)'!G60+'TY TU(13)'!G60+'KON LING(14)'!G60+'ĐĂK PƠ TRANG(15)'!G60+'KON PIA(16)'!G60+'ĐĂK HÀ(17)'!G60</f>
        <v>0</v>
      </c>
      <c r="I59" s="188"/>
      <c r="J59" s="226"/>
      <c r="K59" s="24"/>
    </row>
    <row r="60" spans="1:20" s="41" customFormat="1" ht="38.450000000000003" customHeight="1" x14ac:dyDescent="0.25">
      <c r="A60" s="234" t="s">
        <v>20</v>
      </c>
      <c r="B60" s="251" t="s">
        <v>108</v>
      </c>
      <c r="C60" s="233" t="s">
        <v>4</v>
      </c>
      <c r="D60" s="191">
        <f>D61+D62</f>
        <v>2.1</v>
      </c>
      <c r="E60" s="191"/>
      <c r="F60" s="191">
        <f t="shared" ref="F60:H60" si="32">F61+F62</f>
        <v>6</v>
      </c>
      <c r="G60" s="191">
        <f t="shared" si="32"/>
        <v>0</v>
      </c>
      <c r="H60" s="191">
        <f t="shared" si="32"/>
        <v>0</v>
      </c>
      <c r="I60" s="191"/>
      <c r="J60" s="250"/>
      <c r="K60" s="165"/>
      <c r="L60" s="40"/>
    </row>
    <row r="61" spans="1:20" ht="38.450000000000003" customHeight="1" x14ac:dyDescent="0.25">
      <c r="A61" s="233" t="s">
        <v>16</v>
      </c>
      <c r="B61" s="242" t="s">
        <v>124</v>
      </c>
      <c r="C61" s="233" t="s">
        <v>4</v>
      </c>
      <c r="D61" s="188">
        <f>'TUMO RONG (1)'!D62+'LONG LEO(2)'!D62+'ĐĂK CHUM 1(3)'!D62+'ĐĂK CHUM II(4)'!D62+'TU CẤP(5)'!D62+'ĐĂK KA(6)'!D62+'VĂN SANG(7)'!D62+'ĐĂK NEANG(8)'!D62+'NGỌC LEANG(9)'!D62+'ĐĂK SIÊNG(10)'!D62+'KON TUN(11)'!D62+'MÔ PẢ(12)'!D62+'TY TU(13)'!D62+'KON LING(14)'!D62+'ĐĂK PƠ TRANG(15)'!D62+'KON PIA(16)'!D62+'ĐĂK HÀ(17)'!D62</f>
        <v>2.1</v>
      </c>
      <c r="E61" s="188"/>
      <c r="F61" s="188">
        <f>'TUMO RONG (1)'!E62+'LONG LEO(2)'!E62+'ĐĂK CHUM 1(3)'!E62+'ĐĂK CHUM II(4)'!E62+'TU CẤP(5)'!E62+'ĐĂK KA(6)'!E62+'VĂN SANG(7)'!E62+'ĐĂK NEANG(8)'!E62+'NGỌC LEANG(9)'!E62+'ĐĂK SIÊNG(10)'!E62+'KON TUN(11)'!E62+'MÔ PẢ(12)'!E62+'TY TU(13)'!E62+'KON LING(14)'!E62+'ĐĂK PƠ TRANG(15)'!E62+'KON PIA(16)'!E62+'ĐĂK HÀ(17)'!E62</f>
        <v>3.9</v>
      </c>
      <c r="G61" s="188">
        <f>'TUMO RONG (1)'!F62+'LONG LEO(2)'!F62+'ĐĂK CHUM 1(3)'!F62+'ĐĂK CHUM II(4)'!F62+'TU CẤP(5)'!F62+'ĐĂK KA(6)'!F62+'VĂN SANG(7)'!F62+'ĐĂK NEANG(8)'!F62+'NGỌC LEANG(9)'!F62+'ĐĂK SIÊNG(10)'!F62+'KON TUN(11)'!F62+'MÔ PẢ(12)'!F62+'TY TU(13)'!F62+'KON LING(14)'!F62+'ĐĂK PƠ TRANG(15)'!F62+'KON PIA(16)'!F62+'ĐĂK HÀ(17)'!F62</f>
        <v>0</v>
      </c>
      <c r="H61" s="188">
        <f>'TUMO RONG (1)'!G62+'LONG LEO(2)'!G62+'ĐĂK CHUM 1(3)'!G62+'ĐĂK CHUM II(4)'!G62+'TU CẤP(5)'!G62+'ĐĂK KA(6)'!G62+'VĂN SANG(7)'!G62+'ĐĂK NEANG(8)'!G62+'NGỌC LEANG(9)'!G62+'ĐĂK SIÊNG(10)'!G62+'KON TUN(11)'!G62+'MÔ PẢ(12)'!G62+'TY TU(13)'!G62+'KON LING(14)'!G62+'ĐĂK PƠ TRANG(15)'!G62+'KON PIA(16)'!G62+'ĐĂK HÀ(17)'!G62</f>
        <v>0</v>
      </c>
      <c r="I61" s="188"/>
      <c r="J61" s="226"/>
      <c r="K61" s="24"/>
      <c r="N61" s="18"/>
      <c r="O61" s="18"/>
      <c r="P61" s="27"/>
      <c r="Q61" s="18"/>
      <c r="R61" s="18"/>
      <c r="S61" s="18"/>
      <c r="T61" s="18"/>
    </row>
    <row r="62" spans="1:20" ht="38.450000000000003" customHeight="1" x14ac:dyDescent="0.25">
      <c r="A62" s="233" t="s">
        <v>16</v>
      </c>
      <c r="B62" s="242" t="s">
        <v>125</v>
      </c>
      <c r="C62" s="233" t="s">
        <v>4</v>
      </c>
      <c r="D62" s="188">
        <f>'TUMO RONG (1)'!D63+'LONG LEO(2)'!D63+'ĐĂK CHUM 1(3)'!D63+'ĐĂK CHUM II(4)'!D63+'TU CẤP(5)'!D63+'ĐĂK KA(6)'!D63+'VĂN SANG(7)'!D63+'ĐĂK NEANG(8)'!D63+'NGỌC LEANG(9)'!D63+'ĐĂK SIÊNG(10)'!D63+'KON TUN(11)'!D63+'MÔ PẢ(12)'!D63+'TY TU(13)'!D63+'KON LING(14)'!D63+'ĐĂK PƠ TRANG(15)'!D63+'KON PIA(16)'!D63+'ĐĂK HÀ(17)'!D63</f>
        <v>0</v>
      </c>
      <c r="E62" s="188"/>
      <c r="F62" s="188">
        <f>'TUMO RONG (1)'!E63+'LONG LEO(2)'!E63+'ĐĂK CHUM 1(3)'!E63+'ĐĂK CHUM II(4)'!E63+'TU CẤP(5)'!E63+'ĐĂK KA(6)'!E63+'VĂN SANG(7)'!E63+'ĐĂK NEANG(8)'!E63+'NGỌC LEANG(9)'!E63+'ĐĂK SIÊNG(10)'!E63+'KON TUN(11)'!E63+'MÔ PẢ(12)'!E63+'TY TU(13)'!E63+'KON LING(14)'!E63+'ĐĂK PƠ TRANG(15)'!E63+'KON PIA(16)'!E63+'ĐĂK HÀ(17)'!E63</f>
        <v>2.1</v>
      </c>
      <c r="G62" s="188">
        <f>'TUMO RONG (1)'!F63+'LONG LEO(2)'!F63+'ĐĂK CHUM 1(3)'!F63+'ĐĂK CHUM II(4)'!F63+'TU CẤP(5)'!F63+'ĐĂK KA(6)'!F63+'VĂN SANG(7)'!F63+'ĐĂK NEANG(8)'!F63+'NGỌC LEANG(9)'!F63+'ĐĂK SIÊNG(10)'!F63+'KON TUN(11)'!F63+'MÔ PẢ(12)'!F63+'TY TU(13)'!F63+'KON LING(14)'!F63+'ĐĂK PƠ TRANG(15)'!F63+'KON PIA(16)'!F63+'ĐĂK HÀ(17)'!F63</f>
        <v>0</v>
      </c>
      <c r="H62" s="188">
        <f>'TUMO RONG (1)'!G63+'LONG LEO(2)'!G63+'ĐĂK CHUM 1(3)'!G63+'ĐĂK CHUM II(4)'!G63+'TU CẤP(5)'!G63+'ĐĂK KA(6)'!G63+'VĂN SANG(7)'!G63+'ĐĂK NEANG(8)'!G63+'NGỌC LEANG(9)'!G63+'ĐĂK SIÊNG(10)'!G63+'KON TUN(11)'!G63+'MÔ PẢ(12)'!G63+'TY TU(13)'!G63+'KON LING(14)'!G63+'ĐĂK PƠ TRANG(15)'!G63+'KON PIA(16)'!G63+'ĐĂK HÀ(17)'!G63</f>
        <v>0</v>
      </c>
      <c r="I62" s="188"/>
      <c r="J62" s="226"/>
      <c r="K62" s="24"/>
    </row>
    <row r="63" spans="1:20" s="84" customFormat="1" ht="38.450000000000003" customHeight="1" x14ac:dyDescent="0.25">
      <c r="A63" s="222" t="s">
        <v>165</v>
      </c>
      <c r="B63" s="223" t="s">
        <v>35</v>
      </c>
      <c r="C63" s="222" t="s">
        <v>4</v>
      </c>
      <c r="D63" s="184">
        <f>D64+D65</f>
        <v>34.68</v>
      </c>
      <c r="E63" s="184">
        <v>34</v>
      </c>
      <c r="F63" s="184">
        <f t="shared" ref="F63:H63" si="33">F64+F65</f>
        <v>34.68</v>
      </c>
      <c r="G63" s="184">
        <f t="shared" si="33"/>
        <v>34.68</v>
      </c>
      <c r="H63" s="184">
        <f t="shared" si="33"/>
        <v>34.68</v>
      </c>
      <c r="I63" s="184">
        <f>G63/F63*100</f>
        <v>100</v>
      </c>
      <c r="J63" s="226"/>
      <c r="K63" s="121"/>
      <c r="L63" s="166"/>
      <c r="M63" s="167"/>
    </row>
    <row r="64" spans="1:20" ht="38.450000000000003" customHeight="1" x14ac:dyDescent="0.25">
      <c r="A64" s="233" t="s">
        <v>16</v>
      </c>
      <c r="B64" s="242" t="s">
        <v>117</v>
      </c>
      <c r="C64" s="233" t="s">
        <v>4</v>
      </c>
      <c r="D64" s="188">
        <f>'TUMO RONG (1)'!D65+'LONG LEO(2)'!D65+'ĐĂK CHUM 1(3)'!D65+'ĐĂK CHUM II(4)'!D65+'TU CẤP(5)'!D65+'ĐĂK KA(6)'!D65+'VĂN SANG(7)'!D65+'ĐĂK NEANG(8)'!D65+'NGỌC LEANG(9)'!D65+'ĐĂK SIÊNG(10)'!D65+'KON TUN(11)'!D65+'MÔ PẢ(12)'!D65+'TY TU(13)'!D65+'KON LING(14)'!D65+'ĐĂK PƠ TRANG(15)'!D65+'KON PIA(16)'!D65+'ĐĂK HÀ(17)'!D65</f>
        <v>34.68</v>
      </c>
      <c r="E64" s="188"/>
      <c r="F64" s="188">
        <f>'TUMO RONG (1)'!E65+'LONG LEO(2)'!E65+'ĐĂK CHUM 1(3)'!E65+'ĐĂK CHUM II(4)'!E65+'TU CẤP(5)'!E65+'ĐĂK KA(6)'!E65+'VĂN SANG(7)'!E65+'ĐĂK NEANG(8)'!E65+'NGỌC LEANG(9)'!E65+'ĐĂK SIÊNG(10)'!E65+'KON TUN(11)'!E65+'MÔ PẢ(12)'!E65+'TY TU(13)'!E65+'KON LING(14)'!E65+'ĐĂK PƠ TRANG(15)'!E65+'KON PIA(16)'!E65+'ĐĂK HÀ(17)'!E65</f>
        <v>34.68</v>
      </c>
      <c r="G64" s="188">
        <f>'TUMO RONG (1)'!F65+'LONG LEO(2)'!F65+'ĐĂK CHUM 1(3)'!F65+'ĐĂK CHUM II(4)'!F65+'TU CẤP(5)'!F65+'ĐĂK KA(6)'!F65+'VĂN SANG(7)'!F65+'ĐĂK NEANG(8)'!F65+'NGỌC LEANG(9)'!F65+'ĐĂK SIÊNG(10)'!F65+'KON TUN(11)'!F65+'MÔ PẢ(12)'!F65+'TY TU(13)'!F65+'KON LING(14)'!F65+'ĐĂK PƠ TRANG(15)'!F65+'KON PIA(16)'!F65+'ĐĂK HÀ(17)'!F65</f>
        <v>34.68</v>
      </c>
      <c r="H64" s="188">
        <f>'TUMO RONG (1)'!G65+'LONG LEO(2)'!G65+'ĐĂK CHUM 1(3)'!G65+'ĐĂK CHUM II(4)'!G65+'TU CẤP(5)'!G65+'ĐĂK KA(6)'!G65+'VĂN SANG(7)'!G65+'ĐĂK NEANG(8)'!G65+'NGỌC LEANG(9)'!G65+'ĐĂK SIÊNG(10)'!G65+'KON TUN(11)'!G65+'MÔ PẢ(12)'!G65+'TY TU(13)'!G65+'KON LING(14)'!G65+'ĐĂK PƠ TRANG(15)'!G65+'KON PIA(16)'!G65+'ĐĂK HÀ(17)'!G65</f>
        <v>34.68</v>
      </c>
      <c r="I64" s="188">
        <f>G64/F64*100</f>
        <v>100</v>
      </c>
      <c r="J64" s="226"/>
      <c r="K64" s="26"/>
    </row>
    <row r="65" spans="1:21" ht="38.450000000000003" customHeight="1" x14ac:dyDescent="0.25">
      <c r="A65" s="233" t="s">
        <v>16</v>
      </c>
      <c r="B65" s="226" t="s">
        <v>29</v>
      </c>
      <c r="C65" s="233" t="s">
        <v>4</v>
      </c>
      <c r="D65" s="188">
        <f>'TUMO RONG (1)'!D66+'LONG LEO(2)'!D66+'ĐĂK CHUM 1(3)'!D66+'ĐĂK CHUM II(4)'!D66+'TU CẤP(5)'!D66+'ĐĂK KA(6)'!D66+'VĂN SANG(7)'!D66+'ĐĂK NEANG(8)'!D66+'NGỌC LEANG(9)'!D66+'ĐĂK SIÊNG(10)'!D66+'KON TUN(11)'!D66+'MÔ PẢ(12)'!D66+'TY TU(13)'!D66+'KON LING(14)'!D66+'ĐĂK PƠ TRANG(15)'!D66+'KON PIA(16)'!D66+'ĐĂK HÀ(17)'!D66</f>
        <v>0</v>
      </c>
      <c r="E65" s="188"/>
      <c r="F65" s="188">
        <f>'TUMO RONG (1)'!E66+'LONG LEO(2)'!E66+'ĐĂK CHUM 1(3)'!E66+'ĐĂK CHUM II(4)'!E66+'TU CẤP(5)'!E66+'ĐĂK KA(6)'!E66+'VĂN SANG(7)'!E66+'ĐĂK NEANG(8)'!E66+'NGỌC LEANG(9)'!E66+'ĐĂK SIÊNG(10)'!E66+'KON TUN(11)'!E66+'MÔ PẢ(12)'!E66+'TY TU(13)'!E66+'KON LING(14)'!E66+'ĐĂK PƠ TRANG(15)'!E66+'KON PIA(16)'!E66+'ĐĂK HÀ(17)'!E66</f>
        <v>0</v>
      </c>
      <c r="G65" s="188">
        <f>'TUMO RONG (1)'!F66+'LONG LEO(2)'!F66+'ĐĂK CHUM 1(3)'!F66+'ĐĂK CHUM II(4)'!F66+'TU CẤP(5)'!F66+'ĐĂK KA(6)'!F66+'VĂN SANG(7)'!F66+'ĐĂK NEANG(8)'!F66+'NGỌC LEANG(9)'!F66+'ĐĂK SIÊNG(10)'!F66+'KON TUN(11)'!F66+'MÔ PẢ(12)'!F66+'TY TU(13)'!F66+'KON LING(14)'!F66+'ĐĂK PƠ TRANG(15)'!F66+'KON PIA(16)'!F66+'ĐĂK HÀ(17)'!F66</f>
        <v>0</v>
      </c>
      <c r="H65" s="188">
        <f>'TUMO RONG (1)'!G66+'LONG LEO(2)'!G66+'ĐĂK CHUM 1(3)'!G66+'ĐĂK CHUM II(4)'!G66+'TU CẤP(5)'!G66+'ĐĂK KA(6)'!G66+'VĂN SANG(7)'!G66+'ĐĂK NEANG(8)'!G66+'NGỌC LEANG(9)'!G66+'ĐĂK SIÊNG(10)'!G66+'KON TUN(11)'!G66+'MÔ PẢ(12)'!G66+'TY TU(13)'!G66+'KON LING(14)'!G66+'ĐĂK PƠ TRANG(15)'!G66+'KON PIA(16)'!G66+'ĐĂK HÀ(17)'!G66</f>
        <v>0</v>
      </c>
      <c r="I65" s="188"/>
      <c r="J65" s="226"/>
      <c r="K65" s="24"/>
    </row>
    <row r="66" spans="1:21" ht="38.450000000000003" customHeight="1" x14ac:dyDescent="0.25">
      <c r="A66" s="222">
        <v>6</v>
      </c>
      <c r="B66" s="223" t="s">
        <v>36</v>
      </c>
      <c r="C66" s="222" t="s">
        <v>4</v>
      </c>
      <c r="D66" s="184">
        <f>D67+D70</f>
        <v>383.70000000000005</v>
      </c>
      <c r="E66" s="184"/>
      <c r="F66" s="184">
        <f>F67+F70</f>
        <v>355.11</v>
      </c>
      <c r="G66" s="184">
        <f t="shared" ref="G66:H66" si="34">G67+G70</f>
        <v>319.49</v>
      </c>
      <c r="H66" s="184">
        <f t="shared" si="34"/>
        <v>319.14</v>
      </c>
      <c r="I66" s="184">
        <f t="shared" ref="I66:I71" si="35">G66/F66*100</f>
        <v>89.969305285686133</v>
      </c>
      <c r="J66" s="226"/>
      <c r="K66" s="24"/>
    </row>
    <row r="67" spans="1:21" s="84" customFormat="1" ht="38.450000000000003" customHeight="1" x14ac:dyDescent="0.25">
      <c r="A67" s="222" t="s">
        <v>166</v>
      </c>
      <c r="B67" s="223" t="s">
        <v>37</v>
      </c>
      <c r="C67" s="222" t="s">
        <v>4</v>
      </c>
      <c r="D67" s="184">
        <f>D68+D69</f>
        <v>3.19</v>
      </c>
      <c r="E67" s="184">
        <f>E68+E69</f>
        <v>30</v>
      </c>
      <c r="F67" s="188">
        <f>F68+F69</f>
        <v>33.19</v>
      </c>
      <c r="G67" s="184">
        <f t="shared" ref="G67:H67" si="36">G68+G69</f>
        <v>3.5400000000000005</v>
      </c>
      <c r="H67" s="184">
        <f t="shared" si="36"/>
        <v>3.1900000000000004</v>
      </c>
      <c r="I67" s="184">
        <f t="shared" si="35"/>
        <v>10.665863211810789</v>
      </c>
      <c r="J67" s="229"/>
      <c r="K67" s="105"/>
      <c r="L67" s="147"/>
      <c r="O67" s="148"/>
    </row>
    <row r="68" spans="1:21" ht="38.450000000000003" customHeight="1" x14ac:dyDescent="0.25">
      <c r="A68" s="233" t="s">
        <v>16</v>
      </c>
      <c r="B68" s="242" t="s">
        <v>126</v>
      </c>
      <c r="C68" s="233" t="s">
        <v>4</v>
      </c>
      <c r="D68" s="188">
        <f>'TUMO RONG (1)'!D69+'LONG LEO(2)'!D69+'ĐĂK CHUM 1(3)'!D69+'ĐĂK CHUM II(4)'!D69+'TU CẤP(5)'!D69+'ĐĂK KA(6)'!D69+'VĂN SANG(7)'!D69+'ĐĂK NEANG(8)'!D69+'NGỌC LEANG(9)'!D69+'ĐĂK SIÊNG(10)'!D69+'KON TUN(11)'!D69+'MÔ PẢ(12)'!D69+'TY TU(13)'!D69+'KON LING(14)'!D69+'ĐĂK PƠ TRANG(15)'!D69+'KON PIA(16)'!D69+'ĐĂK HÀ(17)'!D69</f>
        <v>2.52</v>
      </c>
      <c r="E68" s="188"/>
      <c r="F68" s="188">
        <f>'TUMO RONG (1)'!E69+'LONG LEO(2)'!E69+'ĐĂK CHUM 1(3)'!E69+'ĐĂK CHUM II(4)'!E69+'TU CẤP(5)'!E69+'ĐĂK KA(6)'!E69+'VĂN SANG(7)'!E69+'ĐĂK NEANG(8)'!E69+'NGỌC LEANG(9)'!E69+'ĐĂK SIÊNG(10)'!E69+'KON TUN(11)'!E69+'MÔ PẢ(12)'!E69+'TY TU(13)'!E69+'KON LING(14)'!E69+'ĐĂK PƠ TRANG(15)'!E69+'KON PIA(16)'!E69+'ĐĂK HÀ(17)'!E69</f>
        <v>3.1900000000000004</v>
      </c>
      <c r="G68" s="188">
        <f>'TUMO RONG (1)'!F69+'LONG LEO(2)'!F69+'ĐĂK CHUM 1(3)'!F69+'ĐĂK CHUM II(4)'!F69+'TU CẤP(5)'!F69+'ĐĂK KA(6)'!F69+'VĂN SANG(7)'!F69+'ĐĂK NEANG(8)'!F69+'NGỌC LEANG(9)'!F69+'ĐĂK SIÊNG(10)'!F69+'KON TUN(11)'!F69+'MÔ PẢ(12)'!F69+'TY TU(13)'!F69+'KON LING(14)'!F69+'ĐĂK PƠ TRANG(15)'!F69+'KON PIA(16)'!F69+'ĐĂK HÀ(17)'!F69</f>
        <v>3.1900000000000004</v>
      </c>
      <c r="H68" s="188">
        <f>'TUMO RONG (1)'!G69+'LONG LEO(2)'!G69+'ĐĂK CHUM 1(3)'!G69+'ĐĂK CHUM II(4)'!G69+'TU CẤP(5)'!G69+'ĐĂK KA(6)'!G69+'VĂN SANG(7)'!G69+'ĐĂK NEANG(8)'!G69+'NGỌC LEANG(9)'!G69+'ĐĂK SIÊNG(10)'!G69+'KON TUN(11)'!G69+'MÔ PẢ(12)'!G69+'TY TU(13)'!G69+'KON LING(14)'!G69+'ĐĂK PƠ TRANG(15)'!G69+'KON PIA(16)'!G69+'ĐĂK HÀ(17)'!G69</f>
        <v>3.1900000000000004</v>
      </c>
      <c r="I68" s="188">
        <f t="shared" si="35"/>
        <v>100</v>
      </c>
      <c r="J68" s="226"/>
      <c r="K68" s="26"/>
      <c r="L68" s="27"/>
      <c r="O68" s="57"/>
      <c r="P68" s="81"/>
    </row>
    <row r="69" spans="1:21" ht="38.450000000000003" customHeight="1" x14ac:dyDescent="0.25">
      <c r="A69" s="233" t="s">
        <v>16</v>
      </c>
      <c r="B69" s="242" t="s">
        <v>127</v>
      </c>
      <c r="C69" s="233" t="s">
        <v>4</v>
      </c>
      <c r="D69" s="188">
        <f>'TUMO RONG (1)'!D70+'LONG LEO(2)'!D70+'ĐĂK CHUM 1(3)'!D70+'ĐĂK CHUM II(4)'!D70+'TU CẤP(5)'!D70+'ĐĂK KA(6)'!D70+'VĂN SANG(7)'!D70+'ĐĂK NEANG(8)'!D70+'NGỌC LEANG(9)'!D70+'ĐĂK SIÊNG(10)'!D70+'KON TUN(11)'!D70+'MÔ PẢ(12)'!D70+'TY TU(13)'!D70+'KON LING(14)'!D70+'ĐĂK PƠ TRANG(15)'!D70+'KON PIA(16)'!D70+'ĐĂK HÀ(17)'!D70</f>
        <v>0.67</v>
      </c>
      <c r="E69" s="188">
        <v>30</v>
      </c>
      <c r="F69" s="188">
        <f>'TUMO RONG (1)'!E70+'LONG LEO(2)'!E70+'ĐĂK CHUM 1(3)'!E70+'ĐĂK CHUM II(4)'!E70+'TU CẤP(5)'!E70+'ĐĂK KA(6)'!E70+'VĂN SANG(7)'!E70+'ĐĂK NEANG(8)'!E70+'NGỌC LEANG(9)'!E70+'ĐĂK SIÊNG(10)'!E70+'KON TUN(11)'!E70+'MÔ PẢ(12)'!E70+'TY TU(13)'!E70+'KON LING(14)'!E70+'ĐĂK PƠ TRANG(15)'!E70+'KON PIA(16)'!E70+'ĐĂK HÀ(17)'!E70</f>
        <v>30</v>
      </c>
      <c r="G69" s="396">
        <v>0.35</v>
      </c>
      <c r="H69" s="188">
        <f>'TUMO RONG (1)'!G70+'LONG LEO(2)'!G70+'ĐĂK CHUM 1(3)'!G70+'ĐĂK CHUM II(4)'!G70+'TU CẤP(5)'!G70+'ĐĂK KA(6)'!G70+'VĂN SANG(7)'!G70+'ĐĂK NEANG(8)'!G70+'NGỌC LEANG(9)'!G70+'ĐĂK SIÊNG(10)'!G70+'KON TUN(11)'!G70+'MÔ PẢ(12)'!G70+'TY TU(13)'!G70+'KON LING(14)'!G70+'ĐĂK PƠ TRANG(15)'!G70+'KON PIA(16)'!G70+'ĐĂK HÀ(17)'!G70</f>
        <v>0</v>
      </c>
      <c r="I69" s="188">
        <f t="shared" si="35"/>
        <v>1.1666666666666665</v>
      </c>
      <c r="J69" s="226"/>
      <c r="K69" s="26"/>
      <c r="L69" s="91"/>
      <c r="M69" s="91"/>
      <c r="N69" s="27"/>
      <c r="O69" s="57"/>
    </row>
    <row r="70" spans="1:21" ht="38.450000000000003" customHeight="1" x14ac:dyDescent="0.25">
      <c r="A70" s="222" t="s">
        <v>167</v>
      </c>
      <c r="B70" s="246" t="s">
        <v>39</v>
      </c>
      <c r="C70" s="222" t="s">
        <v>4</v>
      </c>
      <c r="D70" s="184">
        <f>D71+D72</f>
        <v>380.51000000000005</v>
      </c>
      <c r="E70" s="184"/>
      <c r="F70" s="184">
        <f>F71+F72</f>
        <v>321.92</v>
      </c>
      <c r="G70" s="184">
        <f t="shared" ref="G70:H70" si="37">G71+G72</f>
        <v>315.95</v>
      </c>
      <c r="H70" s="184">
        <f t="shared" si="37"/>
        <v>315.95</v>
      </c>
      <c r="I70" s="184">
        <f t="shared" si="35"/>
        <v>98.145501988071558</v>
      </c>
      <c r="J70" s="252"/>
      <c r="K70" s="26"/>
      <c r="L70" s="27"/>
      <c r="M70" s="32"/>
      <c r="N70" s="18"/>
      <c r="O70" s="25"/>
      <c r="P70" s="27"/>
      <c r="Q70" s="18"/>
      <c r="R70" s="27"/>
      <c r="S70" s="18"/>
    </row>
    <row r="71" spans="1:21" ht="38.450000000000003" customHeight="1" x14ac:dyDescent="0.25">
      <c r="A71" s="240" t="s">
        <v>22</v>
      </c>
      <c r="B71" s="246" t="s">
        <v>128</v>
      </c>
      <c r="C71" s="222" t="s">
        <v>4</v>
      </c>
      <c r="D71" s="193">
        <f>D74+D81</f>
        <v>361.55000000000007</v>
      </c>
      <c r="E71" s="193"/>
      <c r="F71" s="193">
        <f>F74+F81</f>
        <v>315.95</v>
      </c>
      <c r="G71" s="193">
        <f t="shared" ref="G71:H71" si="38">G74+G81</f>
        <v>315.95</v>
      </c>
      <c r="H71" s="193">
        <f t="shared" si="38"/>
        <v>315.95</v>
      </c>
      <c r="I71" s="184">
        <f t="shared" si="35"/>
        <v>100</v>
      </c>
      <c r="J71" s="214" t="s">
        <v>161</v>
      </c>
      <c r="K71" s="26"/>
      <c r="O71" s="57"/>
      <c r="P71" s="81"/>
      <c r="R71" s="81"/>
    </row>
    <row r="72" spans="1:21" s="84" customFormat="1" ht="38.450000000000003" customHeight="1" x14ac:dyDescent="0.25">
      <c r="A72" s="240" t="s">
        <v>22</v>
      </c>
      <c r="B72" s="246" t="s">
        <v>40</v>
      </c>
      <c r="C72" s="222" t="s">
        <v>4</v>
      </c>
      <c r="D72" s="184">
        <f>D75+D82</f>
        <v>18.96</v>
      </c>
      <c r="E72" s="184"/>
      <c r="F72" s="184">
        <f>F75+F82</f>
        <v>5.97</v>
      </c>
      <c r="G72" s="184">
        <f t="shared" ref="G72:H72" si="39">G75+G82</f>
        <v>0</v>
      </c>
      <c r="H72" s="184">
        <f t="shared" si="39"/>
        <v>0</v>
      </c>
      <c r="I72" s="184"/>
      <c r="J72" s="223"/>
      <c r="K72" s="168"/>
      <c r="L72" s="150"/>
      <c r="N72" s="147"/>
      <c r="O72" s="149"/>
      <c r="P72" s="150"/>
      <c r="Q72" s="147"/>
      <c r="R72" s="147"/>
      <c r="S72" s="147"/>
      <c r="T72" s="147"/>
    </row>
    <row r="73" spans="1:21" ht="38.450000000000003" customHeight="1" x14ac:dyDescent="0.25">
      <c r="A73" s="253" t="s">
        <v>18</v>
      </c>
      <c r="B73" s="232" t="s">
        <v>130</v>
      </c>
      <c r="C73" s="230" t="s">
        <v>4</v>
      </c>
      <c r="D73" s="195">
        <f>D74+D75</f>
        <v>284.23</v>
      </c>
      <c r="E73" s="195"/>
      <c r="F73" s="195">
        <f>F74+F75</f>
        <v>268.08999999999997</v>
      </c>
      <c r="G73" s="195">
        <f t="shared" ref="G73:H73" si="40">G74+G75</f>
        <v>266.08999999999997</v>
      </c>
      <c r="H73" s="195">
        <f t="shared" si="40"/>
        <v>266.08999999999997</v>
      </c>
      <c r="I73" s="195"/>
      <c r="J73" s="252"/>
      <c r="K73" s="169"/>
      <c r="N73" s="18"/>
      <c r="O73" s="18"/>
      <c r="P73" s="27"/>
      <c r="Q73" s="18"/>
      <c r="R73" s="18"/>
      <c r="S73" s="18"/>
      <c r="T73" s="18"/>
    </row>
    <row r="74" spans="1:21" ht="38.450000000000003" customHeight="1" x14ac:dyDescent="0.25">
      <c r="A74" s="241" t="s">
        <v>22</v>
      </c>
      <c r="B74" s="254" t="s">
        <v>117</v>
      </c>
      <c r="C74" s="233" t="s">
        <v>4</v>
      </c>
      <c r="D74" s="188">
        <f>'TUMO RONG (1)'!D75+'LONG LEO(2)'!D75+'ĐĂK CHUM 1(3)'!D75+'ĐĂK CHUM II(4)'!D75+'TU CẤP(5)'!D75+'ĐĂK KA(6)'!D75+'VĂN SANG(7)'!D75+'ĐĂK NEANG(8)'!D75+'NGỌC LEANG(9)'!D75+'ĐĂK SIÊNG(10)'!D75+'KON TUN(11)'!D75+'MÔ PẢ(12)'!D75+'TY TU(13)'!D75+'KON LING(14)'!D75+'ĐĂK PƠ TRANG(15)'!D75+'KON PIA(16)'!D75+'ĐĂK HÀ(17)'!D75</f>
        <v>274.27000000000004</v>
      </c>
      <c r="E74" s="188"/>
      <c r="F74" s="188">
        <f>'TUMO RONG (1)'!E75+'LONG LEO(2)'!E75+'ĐĂK CHUM 1(3)'!E75+'ĐĂK CHUM II(4)'!E75+'TU CẤP(5)'!E75+'ĐĂK KA(6)'!E75+'VĂN SANG(7)'!E75+'ĐĂK NEANG(8)'!E75+'NGỌC LEANG(9)'!E75+'ĐĂK SIÊNG(10)'!E75+'KON TUN(11)'!E75+'MÔ PẢ(12)'!E75+'TY TU(13)'!E75+'KON LING(14)'!E75+'ĐĂK PƠ TRANG(15)'!E75+'KON PIA(16)'!E75+'ĐĂK HÀ(17)'!E75</f>
        <v>266.08999999999997</v>
      </c>
      <c r="G74" s="188">
        <f>'TUMO RONG (1)'!F75+'LONG LEO(2)'!F75+'ĐĂK CHUM 1(3)'!F75+'ĐĂK CHUM II(4)'!F75+'TU CẤP(5)'!F75+'ĐĂK KA(6)'!F75+'VĂN SANG(7)'!F75+'ĐĂK NEANG(8)'!F75+'NGỌC LEANG(9)'!F75+'ĐĂK SIÊNG(10)'!F75+'KON TUN(11)'!F75+'MÔ PẢ(12)'!F75+'TY TU(13)'!F75+'KON LING(14)'!F75+'ĐĂK PƠ TRANG(15)'!F75+'KON PIA(16)'!F75+'ĐĂK HÀ(17)'!F75</f>
        <v>266.08999999999997</v>
      </c>
      <c r="H74" s="188">
        <f>'TUMO RONG (1)'!G75+'LONG LEO(2)'!G75+'ĐĂK CHUM 1(3)'!G75+'ĐĂK CHUM II(4)'!G75+'TU CẤP(5)'!G75+'ĐĂK KA(6)'!G75+'VĂN SANG(7)'!G75+'ĐĂK NEANG(8)'!G75+'NGỌC LEANG(9)'!G75+'ĐĂK SIÊNG(10)'!G75+'KON TUN(11)'!G75+'MÔ PẢ(12)'!G75+'TY TU(13)'!G75+'KON LING(14)'!G75+'ĐĂK PƠ TRANG(15)'!G75+'KON PIA(16)'!G75+'ĐĂK HÀ(17)'!G75</f>
        <v>266.08999999999997</v>
      </c>
      <c r="I74" s="188"/>
      <c r="J74" s="214" t="s">
        <v>161</v>
      </c>
      <c r="K74" s="169"/>
      <c r="L74" s="27"/>
      <c r="M74" s="81"/>
      <c r="N74" s="18"/>
      <c r="O74" s="18"/>
      <c r="P74" s="27"/>
      <c r="Q74" s="18"/>
      <c r="R74" s="18"/>
      <c r="S74" s="18"/>
      <c r="T74" s="18"/>
    </row>
    <row r="75" spans="1:21" ht="38.450000000000003" customHeight="1" x14ac:dyDescent="0.25">
      <c r="A75" s="241" t="s">
        <v>13</v>
      </c>
      <c r="B75" s="242" t="s">
        <v>131</v>
      </c>
      <c r="C75" s="233" t="s">
        <v>4</v>
      </c>
      <c r="D75" s="199">
        <f>SUM(D76:D79)</f>
        <v>9.9600000000000009</v>
      </c>
      <c r="E75" s="199"/>
      <c r="F75" s="199">
        <f>SUM(F76:F79)</f>
        <v>2</v>
      </c>
      <c r="G75" s="199">
        <f t="shared" ref="G75:H75" si="41">SUM(G76:G79)</f>
        <v>0</v>
      </c>
      <c r="H75" s="199">
        <f t="shared" si="41"/>
        <v>0</v>
      </c>
      <c r="I75" s="199"/>
      <c r="J75" s="226"/>
      <c r="K75" s="24"/>
      <c r="M75" s="81"/>
      <c r="N75" s="18"/>
      <c r="O75" s="18"/>
      <c r="P75" s="27"/>
      <c r="Q75" s="18"/>
      <c r="R75" s="18"/>
      <c r="S75" s="18"/>
      <c r="T75" s="18"/>
    </row>
    <row r="76" spans="1:21" s="41" customFormat="1" ht="38.450000000000003" customHeight="1" x14ac:dyDescent="0.25">
      <c r="A76" s="234" t="s">
        <v>16</v>
      </c>
      <c r="B76" s="255" t="s">
        <v>133</v>
      </c>
      <c r="C76" s="234" t="s">
        <v>4</v>
      </c>
      <c r="D76" s="191">
        <f>'TUMO RONG (1)'!D77+'LONG LEO(2)'!D77+'ĐĂK CHUM 1(3)'!D77+'ĐĂK CHUM II(4)'!D77+'TU CẤP(5)'!D77+'ĐĂK KA(6)'!D77+'VĂN SANG(7)'!D77+'ĐĂK NEANG(8)'!D77+'NGỌC LEANG(9)'!D77+'ĐĂK SIÊNG(10)'!D77+'KON TUN(11)'!D77+'MÔ PẢ(12)'!D77+'TY TU(13)'!D77+'KON LING(14)'!D77+'ĐĂK PƠ TRANG(15)'!D77+'KON PIA(16)'!D77+'ĐĂK HÀ(17)'!D77</f>
        <v>2.8</v>
      </c>
      <c r="E76" s="191"/>
      <c r="F76" s="191">
        <f>'TUMO RONG (1)'!E77+'LONG LEO(2)'!E77+'ĐĂK CHUM 1(3)'!E77+'ĐĂK CHUM II(4)'!E77+'TU CẤP(5)'!E77+'ĐĂK KA(6)'!E77+'VĂN SANG(7)'!E77+'ĐĂK NEANG(8)'!E77+'NGỌC LEANG(9)'!E77+'ĐĂK SIÊNG(10)'!E77+'KON TUN(11)'!E77+'MÔ PẢ(12)'!E77+'TY TU(13)'!E77+'KON LING(14)'!E77+'ĐĂK PƠ TRANG(15)'!E77+'KON PIA(16)'!E77+'ĐĂK HÀ(17)'!E77</f>
        <v>2</v>
      </c>
      <c r="G76" s="191">
        <f>'TUMO RONG (1)'!F77+'LONG LEO(2)'!F77+'ĐĂK CHUM 1(3)'!F77+'ĐĂK CHUM II(4)'!F77+'TU CẤP(5)'!F77+'ĐĂK KA(6)'!F77+'VĂN SANG(7)'!F77+'ĐĂK NEANG(8)'!F77+'NGỌC LEANG(9)'!F77+'ĐĂK SIÊNG(10)'!F77+'KON TUN(11)'!F77+'MÔ PẢ(12)'!F77+'TY TU(13)'!F77+'KON LING(14)'!F77+'ĐĂK PƠ TRANG(15)'!F77+'KON PIA(16)'!F77+'ĐĂK HÀ(17)'!F77</f>
        <v>0</v>
      </c>
      <c r="H76" s="191">
        <f>'TUMO RONG (1)'!G77+'LONG LEO(2)'!G77+'ĐĂK CHUM 1(3)'!G77+'ĐĂK CHUM II(4)'!G77+'TU CẤP(5)'!G77+'ĐĂK KA(6)'!G77+'VĂN SANG(7)'!G77+'ĐĂK NEANG(8)'!G77+'NGỌC LEANG(9)'!G77+'ĐĂK SIÊNG(10)'!G77+'KON TUN(11)'!G77+'MÔ PẢ(12)'!G77+'TY TU(13)'!G77+'KON LING(14)'!G77+'ĐĂK PƠ TRANG(15)'!G77+'KON PIA(16)'!G77+'ĐĂK HÀ(17)'!G77</f>
        <v>0</v>
      </c>
      <c r="I76" s="191"/>
      <c r="J76" s="250"/>
      <c r="K76" s="165"/>
      <c r="L76" s="40"/>
      <c r="N76" s="98"/>
      <c r="O76" s="98"/>
      <c r="P76" s="98"/>
      <c r="Q76" s="98"/>
      <c r="R76" s="98"/>
      <c r="S76" s="98"/>
      <c r="T76" s="98"/>
      <c r="U76" s="98"/>
    </row>
    <row r="77" spans="1:21" s="41" customFormat="1" ht="38.450000000000003" customHeight="1" x14ac:dyDescent="0.25">
      <c r="A77" s="234" t="s">
        <v>16</v>
      </c>
      <c r="B77" s="255" t="s">
        <v>110</v>
      </c>
      <c r="C77" s="234" t="s">
        <v>4</v>
      </c>
      <c r="D77" s="191">
        <f>'TUMO RONG (1)'!D78+'LONG LEO(2)'!D78+'ĐĂK CHUM 1(3)'!D78+'ĐĂK CHUM II(4)'!D78+'TU CẤP(5)'!D78+'ĐĂK KA(6)'!D78+'VĂN SANG(7)'!D78+'ĐĂK NEANG(8)'!D78+'NGỌC LEANG(9)'!D78+'ĐĂK SIÊNG(10)'!D78+'KON TUN(11)'!D78+'MÔ PẢ(12)'!D78+'TY TU(13)'!D78+'KON LING(14)'!D78+'ĐĂK PƠ TRANG(15)'!D78+'KON PIA(16)'!D78+'ĐĂK HÀ(17)'!D78</f>
        <v>2.88</v>
      </c>
      <c r="E77" s="191"/>
      <c r="F77" s="204">
        <f>'TUMO RONG (1)'!E78+'LONG LEO(2)'!E78+'ĐĂK CHUM 1(3)'!E78+'ĐĂK CHUM II(4)'!E78+'TU CẤP(5)'!E78+'ĐĂK KA(6)'!E78+'VĂN SANG(7)'!E78+'ĐĂK NEANG(8)'!E78+'NGỌC LEANG(9)'!E78+'ĐĂK SIÊNG(10)'!E78+'KON TUN(11)'!E78+'MÔ PẢ(12)'!E78+'TY TU(13)'!E78+'KON LING(14)'!E78+'ĐĂK PƠ TRANG(15)'!E78+'KON PIA(16)'!E78+'ĐĂK HÀ(17)'!E78</f>
        <v>0</v>
      </c>
      <c r="G77" s="204">
        <f>'TUMO RONG (1)'!F78+'LONG LEO(2)'!F78+'ĐĂK CHUM 1(3)'!F78+'ĐĂK CHUM II(4)'!F78+'TU CẤP(5)'!F78+'ĐĂK KA(6)'!F78+'VĂN SANG(7)'!F78+'ĐĂK NEANG(8)'!F78+'NGỌC LEANG(9)'!F78+'ĐĂK SIÊNG(10)'!F78+'KON TUN(11)'!F78+'MÔ PẢ(12)'!F78+'TY TU(13)'!F78+'KON LING(14)'!F78+'ĐĂK PƠ TRANG(15)'!F78+'KON PIA(16)'!F78+'ĐĂK HÀ(17)'!F78</f>
        <v>0</v>
      </c>
      <c r="H77" s="204">
        <f>'TUMO RONG (1)'!G78+'LONG LEO(2)'!G78+'ĐĂK CHUM 1(3)'!G78+'ĐĂK CHUM II(4)'!G78+'TU CẤP(5)'!G78+'ĐĂK KA(6)'!G78+'VĂN SANG(7)'!G78+'ĐĂK NEANG(8)'!G78+'NGỌC LEANG(9)'!G78+'ĐĂK SIÊNG(10)'!G78+'KON TUN(11)'!G78+'MÔ PẢ(12)'!G78+'TY TU(13)'!G78+'KON LING(14)'!G78+'ĐĂK PƠ TRANG(15)'!G78+'KON PIA(16)'!G78+'ĐĂK HÀ(17)'!G78</f>
        <v>0</v>
      </c>
      <c r="I77" s="191"/>
      <c r="J77" s="249"/>
      <c r="K77" s="34"/>
      <c r="L77" s="40"/>
      <c r="N77" s="98"/>
      <c r="O77" s="98"/>
      <c r="P77" s="98"/>
      <c r="Q77" s="98"/>
      <c r="R77" s="98"/>
      <c r="S77" s="98"/>
      <c r="T77" s="98"/>
      <c r="U77" s="98"/>
    </row>
    <row r="78" spans="1:21" s="41" customFormat="1" ht="38.450000000000003" customHeight="1" x14ac:dyDescent="0.25">
      <c r="A78" s="234" t="s">
        <v>16</v>
      </c>
      <c r="B78" s="255" t="s">
        <v>111</v>
      </c>
      <c r="C78" s="234" t="s">
        <v>4</v>
      </c>
      <c r="D78" s="191">
        <f>'TUMO RONG (1)'!D79+'LONG LEO(2)'!D79+'ĐĂK CHUM 1(3)'!D79+'ĐĂK CHUM II(4)'!D79+'TU CẤP(5)'!D79+'ĐĂK KA(6)'!D79+'VĂN SANG(7)'!D79+'ĐĂK NEANG(8)'!D79+'NGỌC LEANG(9)'!D79+'ĐĂK SIÊNG(10)'!D79+'KON TUN(11)'!D79+'MÔ PẢ(12)'!D79+'TY TU(13)'!D79+'KON LING(14)'!D79+'ĐĂK PƠ TRANG(15)'!D79+'KON PIA(16)'!D79+'ĐĂK HÀ(17)'!D79</f>
        <v>0.44</v>
      </c>
      <c r="E78" s="191"/>
      <c r="F78" s="204">
        <f>'TUMO RONG (1)'!E79+'LONG LEO(2)'!E79+'ĐĂK CHUM 1(3)'!E79+'ĐĂK CHUM II(4)'!E79+'TU CẤP(5)'!E79+'ĐĂK KA(6)'!E79+'VĂN SANG(7)'!E79+'ĐĂK NEANG(8)'!E79+'NGỌC LEANG(9)'!E79+'ĐĂK SIÊNG(10)'!E79+'KON TUN(11)'!E79+'MÔ PẢ(12)'!E79+'TY TU(13)'!E79+'KON LING(14)'!E79+'ĐĂK PƠ TRANG(15)'!E79+'KON PIA(16)'!E79+'ĐĂK HÀ(17)'!E79</f>
        <v>0</v>
      </c>
      <c r="G78" s="204">
        <f>'TUMO RONG (1)'!F79+'LONG LEO(2)'!F79+'ĐĂK CHUM 1(3)'!F79+'ĐĂK CHUM II(4)'!F79+'TU CẤP(5)'!F79+'ĐĂK KA(6)'!F79+'VĂN SANG(7)'!F79+'ĐĂK NEANG(8)'!F79+'NGỌC LEANG(9)'!F79+'ĐĂK SIÊNG(10)'!F79+'KON TUN(11)'!F79+'MÔ PẢ(12)'!F79+'TY TU(13)'!F79+'KON LING(14)'!F79+'ĐĂK PƠ TRANG(15)'!F79+'KON PIA(16)'!F79+'ĐĂK HÀ(17)'!F79</f>
        <v>0</v>
      </c>
      <c r="H78" s="204">
        <f>'TUMO RONG (1)'!G79+'LONG LEO(2)'!G79+'ĐĂK CHUM 1(3)'!G79+'ĐĂK CHUM II(4)'!G79+'TU CẤP(5)'!G79+'ĐĂK KA(6)'!G79+'VĂN SANG(7)'!G79+'ĐĂK NEANG(8)'!G79+'NGỌC LEANG(9)'!G79+'ĐĂK SIÊNG(10)'!G79+'KON TUN(11)'!G79+'MÔ PẢ(12)'!G79+'TY TU(13)'!G79+'KON LING(14)'!G79+'ĐĂK PƠ TRANG(15)'!G79+'KON PIA(16)'!G79+'ĐĂK HÀ(17)'!G79</f>
        <v>0</v>
      </c>
      <c r="I78" s="191"/>
      <c r="J78" s="249"/>
      <c r="K78" s="34"/>
      <c r="L78" s="40"/>
      <c r="N78" s="98"/>
      <c r="O78" s="98"/>
      <c r="P78" s="98"/>
      <c r="Q78" s="98"/>
      <c r="R78" s="98"/>
      <c r="S78" s="98"/>
      <c r="T78" s="98"/>
      <c r="U78" s="98"/>
    </row>
    <row r="79" spans="1:21" ht="38.450000000000003" customHeight="1" x14ac:dyDescent="0.25">
      <c r="A79" s="234" t="s">
        <v>16</v>
      </c>
      <c r="B79" s="255" t="s">
        <v>129</v>
      </c>
      <c r="C79" s="234" t="s">
        <v>4</v>
      </c>
      <c r="D79" s="188">
        <f>'TUMO RONG (1)'!D80+'LONG LEO(2)'!D80+'ĐĂK CHUM 1(3)'!D80+'ĐĂK CHUM II(4)'!D80+'TU CẤP(5)'!D80+'ĐĂK KA(6)'!D80+'VĂN SANG(7)'!D80+'ĐĂK NEANG(8)'!D80+'NGỌC LEANG(9)'!D80+'ĐĂK SIÊNG(10)'!D80+'KON TUN(11)'!D80+'MÔ PẢ(12)'!D80+'TY TU(13)'!D80+'KON LING(14)'!D80+'ĐĂK PƠ TRANG(15)'!D80+'KON PIA(16)'!D80+'ĐĂK HÀ(17)'!D80</f>
        <v>3.84</v>
      </c>
      <c r="E79" s="188"/>
      <c r="F79" s="184">
        <f>'TUMO RONG (1)'!E80+'LONG LEO(2)'!E80+'ĐĂK CHUM 1(3)'!E80+'ĐĂK CHUM II(4)'!E80+'TU CẤP(5)'!E80+'ĐĂK KA(6)'!E80+'VĂN SANG(7)'!E80+'ĐĂK NEANG(8)'!E80+'NGỌC LEANG(9)'!E80+'ĐĂK SIÊNG(10)'!E80+'KON TUN(11)'!E80+'MÔ PẢ(12)'!E80+'TY TU(13)'!E80+'KON LING(14)'!E80+'ĐĂK PƠ TRANG(15)'!E80+'KON PIA(16)'!E80+'ĐĂK HÀ(17)'!E80</f>
        <v>0</v>
      </c>
      <c r="G79" s="184">
        <f>'TUMO RONG (1)'!F80+'LONG LEO(2)'!F80+'ĐĂK CHUM 1(3)'!F80+'ĐĂK CHUM II(4)'!F80+'TU CẤP(5)'!F80+'ĐĂK KA(6)'!F80+'VĂN SANG(7)'!F80+'ĐĂK NEANG(8)'!F80+'NGỌC LEANG(9)'!F80+'ĐĂK SIÊNG(10)'!F80+'KON TUN(11)'!F80+'MÔ PẢ(12)'!F80+'TY TU(13)'!F80+'KON LING(14)'!F80+'ĐĂK PƠ TRANG(15)'!F80+'KON PIA(16)'!F80+'ĐĂK HÀ(17)'!F80</f>
        <v>0</v>
      </c>
      <c r="H79" s="184">
        <f>'TUMO RONG (1)'!G80+'LONG LEO(2)'!G80+'ĐĂK CHUM 1(3)'!G80+'ĐĂK CHUM II(4)'!G80+'TU CẤP(5)'!G80+'ĐĂK KA(6)'!G80+'VĂN SANG(7)'!G80+'ĐĂK NEANG(8)'!G80+'NGỌC LEANG(9)'!G80+'ĐĂK SIÊNG(10)'!G80+'KON TUN(11)'!G80+'MÔ PẢ(12)'!G80+'TY TU(13)'!G80+'KON LING(14)'!G80+'ĐĂK PƠ TRANG(15)'!G80+'KON PIA(16)'!G80+'ĐĂK HÀ(17)'!G80</f>
        <v>0</v>
      </c>
      <c r="I79" s="188"/>
      <c r="J79" s="249"/>
      <c r="K79" s="34"/>
    </row>
    <row r="80" spans="1:21" s="44" customFormat="1" ht="38.450000000000003" customHeight="1" x14ac:dyDescent="0.3">
      <c r="A80" s="253" t="s">
        <v>20</v>
      </c>
      <c r="B80" s="232" t="s">
        <v>41</v>
      </c>
      <c r="C80" s="230" t="s">
        <v>4</v>
      </c>
      <c r="D80" s="195">
        <f>D81+D82</f>
        <v>96.28</v>
      </c>
      <c r="E80" s="195"/>
      <c r="F80" s="195">
        <f>F81+F82</f>
        <v>53.83</v>
      </c>
      <c r="G80" s="195">
        <f t="shared" ref="G80:H80" si="42">G81+G82</f>
        <v>49.86</v>
      </c>
      <c r="H80" s="195">
        <f t="shared" si="42"/>
        <v>49.86</v>
      </c>
      <c r="I80" s="195"/>
      <c r="J80" s="252"/>
      <c r="K80" s="42"/>
      <c r="L80" s="170"/>
      <c r="O80" s="87"/>
    </row>
    <row r="81" spans="1:22" s="41" customFormat="1" ht="38.450000000000003" customHeight="1" x14ac:dyDescent="0.25">
      <c r="A81" s="241" t="s">
        <v>16</v>
      </c>
      <c r="B81" s="254" t="s">
        <v>109</v>
      </c>
      <c r="C81" s="233" t="s">
        <v>4</v>
      </c>
      <c r="D81" s="188">
        <f>'TUMO RONG (1)'!D82+'LONG LEO(2)'!D82+'ĐĂK CHUM 1(3)'!D82+'ĐĂK CHUM II(4)'!D82+'TU CẤP(5)'!D82+'ĐĂK KA(6)'!D82+'VĂN SANG(7)'!D82+'ĐĂK NEANG(8)'!D82+'NGỌC LEANG(9)'!D82+'ĐĂK SIÊNG(10)'!D82+'KON TUN(11)'!D82+'MÔ PẢ(12)'!D82+'TY TU(13)'!D82+'KON LING(14)'!D82+'ĐĂK PƠ TRANG(15)'!D82+'KON PIA(16)'!D82+'ĐĂK HÀ(17)'!D82</f>
        <v>87.28</v>
      </c>
      <c r="E81" s="188"/>
      <c r="F81" s="188">
        <f>'TUMO RONG (1)'!E82+'LONG LEO(2)'!E82+'ĐĂK CHUM 1(3)'!E82+'ĐĂK CHUM II(4)'!E82+'TU CẤP(5)'!E82+'ĐĂK KA(6)'!E82+'VĂN SANG(7)'!E82+'ĐĂK NEANG(8)'!E82+'NGỌC LEANG(9)'!E82+'ĐĂK SIÊNG(10)'!E82+'KON TUN(11)'!E82+'MÔ PẢ(12)'!E82+'TY TU(13)'!E82+'KON LING(14)'!E82+'ĐĂK PƠ TRANG(15)'!E82+'KON PIA(16)'!E82+'ĐĂK HÀ(17)'!E82</f>
        <v>49.86</v>
      </c>
      <c r="G81" s="188">
        <f>'TUMO RONG (1)'!F82+'LONG LEO(2)'!F82+'ĐĂK CHUM 1(3)'!F82+'ĐĂK CHUM II(4)'!F82+'TU CẤP(5)'!F82+'ĐĂK KA(6)'!F82+'VĂN SANG(7)'!F82+'ĐĂK NEANG(8)'!F82+'NGỌC LEANG(9)'!F82+'ĐĂK SIÊNG(10)'!F82+'KON TUN(11)'!F82+'MÔ PẢ(12)'!F82+'TY TU(13)'!F82+'KON LING(14)'!F82+'ĐĂK PƠ TRANG(15)'!F82+'KON PIA(16)'!F82+'ĐĂK HÀ(17)'!F82</f>
        <v>49.86</v>
      </c>
      <c r="H81" s="188">
        <f>'TUMO RONG (1)'!G82+'LONG LEO(2)'!G82+'ĐĂK CHUM 1(3)'!G82+'ĐĂK CHUM II(4)'!G82+'TU CẤP(5)'!G82+'ĐĂK KA(6)'!G82+'VĂN SANG(7)'!G82+'ĐĂK NEANG(8)'!G82+'NGỌC LEANG(9)'!G82+'ĐĂK SIÊNG(10)'!G82+'KON TUN(11)'!G82+'MÔ PẢ(12)'!G82+'TY TU(13)'!G82+'KON LING(14)'!G82+'ĐĂK PƠ TRANG(15)'!G82+'KON PIA(16)'!G82+'ĐĂK HÀ(17)'!G82</f>
        <v>49.86</v>
      </c>
      <c r="I81" s="188"/>
      <c r="J81" s="214" t="s">
        <v>161</v>
      </c>
      <c r="K81" s="171"/>
      <c r="L81" s="172"/>
      <c r="M81" s="86"/>
      <c r="P81" s="86"/>
      <c r="Q81" s="86"/>
    </row>
    <row r="82" spans="1:22" ht="38.450000000000003" customHeight="1" x14ac:dyDescent="0.25">
      <c r="A82" s="241" t="s">
        <v>13</v>
      </c>
      <c r="B82" s="242" t="s">
        <v>131</v>
      </c>
      <c r="C82" s="233" t="s">
        <v>4</v>
      </c>
      <c r="D82" s="199">
        <f>SUM(D83:D86)</f>
        <v>9</v>
      </c>
      <c r="E82" s="199"/>
      <c r="F82" s="199">
        <f>SUM(F83:F86)</f>
        <v>3.9699999999999998</v>
      </c>
      <c r="G82" s="199">
        <f t="shared" ref="G82:H82" si="43">SUM(G83:G86)</f>
        <v>0</v>
      </c>
      <c r="H82" s="199">
        <f t="shared" si="43"/>
        <v>0</v>
      </c>
      <c r="I82" s="199"/>
      <c r="J82" s="256"/>
      <c r="K82" s="173"/>
      <c r="N82" s="56"/>
      <c r="O82" s="56"/>
      <c r="P82" s="56"/>
      <c r="Q82" s="56"/>
      <c r="R82" s="56"/>
      <c r="S82" s="56"/>
    </row>
    <row r="83" spans="1:22" ht="38.450000000000003" customHeight="1" x14ac:dyDescent="0.25">
      <c r="A83" s="257" t="s">
        <v>16</v>
      </c>
      <c r="B83" s="251" t="s">
        <v>112</v>
      </c>
      <c r="C83" s="234" t="s">
        <v>4</v>
      </c>
      <c r="D83" s="188"/>
      <c r="E83" s="188"/>
      <c r="F83" s="184">
        <f>'TUMO RONG (1)'!E84+'LONG LEO(2)'!E84+'ĐĂK CHUM 1(3)'!E84+'ĐĂK CHUM II(4)'!E84+'TU CẤP(5)'!E84+'ĐĂK KA(6)'!E84+'VĂN SANG(7)'!E84+'ĐĂK NEANG(8)'!E84+'NGỌC LEANG(9)'!E84+'ĐĂK SIÊNG(10)'!E84+'KON TUN(11)'!E84+'MÔ PẢ(12)'!E84+'TY TU(13)'!E84+'KON LING(14)'!E84+'ĐĂK PƠ TRANG(15)'!E84+'KON PIA(16)'!E84+'ĐĂK HÀ(17)'!E84</f>
        <v>0</v>
      </c>
      <c r="G83" s="184">
        <f>'TUMO RONG (1)'!F84+'LONG LEO(2)'!F84+'ĐĂK CHUM 1(3)'!F84+'ĐĂK CHUM II(4)'!F84+'TU CẤP(5)'!F84+'ĐĂK KA(6)'!F84+'VĂN SANG(7)'!F84+'ĐĂK NEANG(8)'!F84+'NGỌC LEANG(9)'!F84+'ĐĂK SIÊNG(10)'!F84+'KON TUN(11)'!F84+'MÔ PẢ(12)'!F84+'TY TU(13)'!F84+'KON LING(14)'!F84+'ĐĂK PƠ TRANG(15)'!F84+'KON PIA(16)'!F84+'ĐĂK HÀ(17)'!F84</f>
        <v>0</v>
      </c>
      <c r="H83" s="184">
        <f>'TUMO RONG (1)'!G84+'LONG LEO(2)'!G84+'ĐĂK CHUM 1(3)'!G84+'ĐĂK CHUM II(4)'!G84+'TU CẤP(5)'!G84+'ĐĂK KA(6)'!G84+'VĂN SANG(7)'!G84+'ĐĂK NEANG(8)'!G84+'NGỌC LEANG(9)'!G84+'ĐĂK SIÊNG(10)'!G84+'KON TUN(11)'!G84+'MÔ PẢ(12)'!G84+'TY TU(13)'!G84+'KON LING(14)'!G84+'ĐĂK PƠ TRANG(15)'!G84+'KON PIA(16)'!G84+'ĐĂK HÀ(17)'!G84</f>
        <v>0</v>
      </c>
      <c r="I83" s="188"/>
      <c r="J83" s="249"/>
      <c r="K83" s="34"/>
      <c r="N83" s="56"/>
      <c r="O83" s="56"/>
      <c r="P83" s="56"/>
      <c r="Q83" s="56"/>
      <c r="R83" s="56"/>
      <c r="S83" s="56"/>
    </row>
    <row r="84" spans="1:22" ht="38.450000000000003" customHeight="1" x14ac:dyDescent="0.25">
      <c r="A84" s="257" t="s">
        <v>16</v>
      </c>
      <c r="B84" s="251" t="s">
        <v>113</v>
      </c>
      <c r="C84" s="234" t="s">
        <v>4</v>
      </c>
      <c r="D84" s="188"/>
      <c r="E84" s="188"/>
      <c r="F84" s="184">
        <f>'TUMO RONG (1)'!E85+'LONG LEO(2)'!E85+'ĐĂK CHUM 1(3)'!E85+'ĐĂK CHUM II(4)'!E85+'TU CẤP(5)'!E85+'ĐĂK KA(6)'!E85+'VĂN SANG(7)'!E85+'ĐĂK NEANG(8)'!E85+'NGỌC LEANG(9)'!E85+'ĐĂK SIÊNG(10)'!E85+'KON TUN(11)'!E85+'MÔ PẢ(12)'!E85+'TY TU(13)'!E85+'KON LING(14)'!E85+'ĐĂK PƠ TRANG(15)'!E85+'KON PIA(16)'!E85+'ĐĂK HÀ(17)'!E85</f>
        <v>0</v>
      </c>
      <c r="G84" s="184">
        <f>'TUMO RONG (1)'!F85+'LONG LEO(2)'!F85+'ĐĂK CHUM 1(3)'!F85+'ĐĂK CHUM II(4)'!F85+'TU CẤP(5)'!F85+'ĐĂK KA(6)'!F85+'VĂN SANG(7)'!F85+'ĐĂK NEANG(8)'!F85+'NGỌC LEANG(9)'!F85+'ĐĂK SIÊNG(10)'!F85+'KON TUN(11)'!F85+'MÔ PẢ(12)'!F85+'TY TU(13)'!F85+'KON LING(14)'!F85+'ĐĂK PƠ TRANG(15)'!F85+'KON PIA(16)'!F85+'ĐĂK HÀ(17)'!F85</f>
        <v>0</v>
      </c>
      <c r="H84" s="184">
        <f>'TUMO RONG (1)'!G85+'LONG LEO(2)'!G85+'ĐĂK CHUM 1(3)'!G85+'ĐĂK CHUM II(4)'!G85+'TU CẤP(5)'!G85+'ĐĂK KA(6)'!G85+'VĂN SANG(7)'!G85+'ĐĂK NEANG(8)'!G85+'NGỌC LEANG(9)'!G85+'ĐĂK SIÊNG(10)'!G85+'KON TUN(11)'!G85+'MÔ PẢ(12)'!G85+'TY TU(13)'!G85+'KON LING(14)'!G85+'ĐĂK PƠ TRANG(15)'!G85+'KON PIA(16)'!G85+'ĐĂK HÀ(17)'!G85</f>
        <v>0</v>
      </c>
      <c r="I84" s="188"/>
      <c r="J84" s="249"/>
      <c r="K84" s="34"/>
      <c r="N84" s="56"/>
      <c r="O84" s="56"/>
      <c r="P84" s="56"/>
      <c r="Q84" s="56"/>
      <c r="R84" s="56"/>
      <c r="S84" s="56"/>
    </row>
    <row r="85" spans="1:22" ht="38.450000000000003" customHeight="1" x14ac:dyDescent="0.25">
      <c r="A85" s="257" t="s">
        <v>16</v>
      </c>
      <c r="B85" s="251" t="s">
        <v>132</v>
      </c>
      <c r="C85" s="234"/>
      <c r="D85" s="188"/>
      <c r="E85" s="188"/>
      <c r="F85" s="184">
        <f>'TUMO RONG (1)'!E86+'LONG LEO(2)'!E86+'ĐĂK CHUM 1(3)'!E86+'ĐĂK CHUM II(4)'!E86+'TU CẤP(5)'!E86+'ĐĂK KA(6)'!E86+'VĂN SANG(7)'!E86+'ĐĂK NEANG(8)'!E86+'NGỌC LEANG(9)'!E86+'ĐĂK SIÊNG(10)'!E86+'KON TUN(11)'!E86+'MÔ PẢ(12)'!E86+'TY TU(13)'!E86+'KON LING(14)'!E86+'ĐĂK PƠ TRANG(15)'!E86+'KON PIA(16)'!E86+'ĐĂK HÀ(17)'!E86</f>
        <v>0</v>
      </c>
      <c r="G85" s="184">
        <f>'TUMO RONG (1)'!F86+'LONG LEO(2)'!F86+'ĐĂK CHUM 1(3)'!F86+'ĐĂK CHUM II(4)'!F86+'TU CẤP(5)'!F86+'ĐĂK KA(6)'!F86+'VĂN SANG(7)'!F86+'ĐĂK NEANG(8)'!F86+'NGỌC LEANG(9)'!F86+'ĐĂK SIÊNG(10)'!F86+'KON TUN(11)'!F86+'MÔ PẢ(12)'!F86+'TY TU(13)'!F86+'KON LING(14)'!F86+'ĐĂK PƠ TRANG(15)'!F86+'KON PIA(16)'!F86+'ĐĂK HÀ(17)'!F86</f>
        <v>0</v>
      </c>
      <c r="H85" s="184">
        <f>'TUMO RONG (1)'!G86+'LONG LEO(2)'!G86+'ĐĂK CHUM 1(3)'!G86+'ĐĂK CHUM II(4)'!G86+'TU CẤP(5)'!G86+'ĐĂK KA(6)'!G86+'VĂN SANG(7)'!G86+'ĐĂK NEANG(8)'!G86+'NGỌC LEANG(9)'!G86+'ĐĂK SIÊNG(10)'!G86+'KON TUN(11)'!G86+'MÔ PẢ(12)'!G86+'TY TU(13)'!G86+'KON LING(14)'!G86+'ĐĂK PƠ TRANG(15)'!G86+'KON PIA(16)'!G86+'ĐĂK HÀ(17)'!G86</f>
        <v>0</v>
      </c>
      <c r="I85" s="188"/>
      <c r="J85" s="249"/>
      <c r="K85" s="34"/>
      <c r="N85" s="56"/>
      <c r="O85" s="56"/>
      <c r="P85" s="56"/>
      <c r="Q85" s="56"/>
      <c r="R85" s="56"/>
      <c r="S85" s="56"/>
    </row>
    <row r="86" spans="1:22" ht="38.450000000000003" customHeight="1" x14ac:dyDescent="0.25">
      <c r="A86" s="257" t="s">
        <v>16</v>
      </c>
      <c r="B86" s="255" t="s">
        <v>114</v>
      </c>
      <c r="C86" s="234" t="s">
        <v>4</v>
      </c>
      <c r="D86" s="188">
        <f>'TUMO RONG (1)'!D87+'LONG LEO(2)'!D87+'ĐĂK CHUM 1(3)'!D87+'ĐĂK CHUM II(4)'!D87+'TU CẤP(5)'!D87+'ĐĂK KA(6)'!D87+'VĂN SANG(7)'!D87+'ĐĂK NEANG(8)'!D87+'NGỌC LEANG(9)'!D87+'ĐĂK SIÊNG(10)'!D87+'KON TUN(11)'!D87+'MÔ PẢ(12)'!D87+'TY TU(13)'!D87+'KON LING(14)'!D87+'ĐĂK PƠ TRANG(15)'!D87+'KON PIA(16)'!D87+'ĐĂK HÀ(17)'!D87</f>
        <v>9</v>
      </c>
      <c r="E86" s="188"/>
      <c r="F86" s="188">
        <f>'TUMO RONG (1)'!E87+'LONG LEO(2)'!E87+'ĐĂK CHUM 1(3)'!E87+'ĐĂK CHUM II(4)'!E87+'TU CẤP(5)'!E87+'ĐĂK KA(6)'!E87+'VĂN SANG(7)'!E87+'ĐĂK NEANG(8)'!E87+'NGỌC LEANG(9)'!E87+'ĐĂK SIÊNG(10)'!E87+'KON TUN(11)'!E87+'MÔ PẢ(12)'!E87+'TY TU(13)'!E87+'KON LING(14)'!E87+'ĐĂK PƠ TRANG(15)'!E87+'KON PIA(16)'!E87+'ĐĂK HÀ(17)'!E87</f>
        <v>3.9699999999999998</v>
      </c>
      <c r="G86" s="188">
        <f>'TUMO RONG (1)'!F87+'LONG LEO(2)'!F87+'ĐĂK CHUM 1(3)'!F87+'ĐĂK CHUM II(4)'!F87+'TU CẤP(5)'!F87+'ĐĂK KA(6)'!F87+'VĂN SANG(7)'!F87+'ĐĂK NEANG(8)'!F87+'NGỌC LEANG(9)'!F87+'ĐĂK SIÊNG(10)'!F87+'KON TUN(11)'!F87+'MÔ PẢ(12)'!F87+'TY TU(13)'!F87+'KON LING(14)'!F87+'ĐĂK PƠ TRANG(15)'!F87+'KON PIA(16)'!F87+'ĐĂK HÀ(17)'!F87</f>
        <v>0</v>
      </c>
      <c r="H86" s="188">
        <f>'TUMO RONG (1)'!G87+'LONG LEO(2)'!G87+'ĐĂK CHUM 1(3)'!G87+'ĐĂK CHUM II(4)'!G87+'TU CẤP(5)'!G87+'ĐĂK KA(6)'!G87+'VĂN SANG(7)'!G87+'ĐĂK NEANG(8)'!G87+'NGỌC LEANG(9)'!G87+'ĐĂK SIÊNG(10)'!G87+'KON TUN(11)'!G87+'MÔ PẢ(12)'!G87+'TY TU(13)'!G87+'KON LING(14)'!G87+'ĐĂK PƠ TRANG(15)'!G87+'KON PIA(16)'!G87+'ĐĂK HÀ(17)'!G87</f>
        <v>0</v>
      </c>
      <c r="I86" s="188"/>
      <c r="J86" s="249"/>
      <c r="K86" s="34"/>
      <c r="N86" s="56"/>
      <c r="O86" s="56"/>
      <c r="P86" s="56"/>
      <c r="Q86" s="56"/>
      <c r="R86" s="56"/>
    </row>
    <row r="87" spans="1:22" ht="38.450000000000003" customHeight="1" x14ac:dyDescent="0.25">
      <c r="A87" s="222" t="s">
        <v>42</v>
      </c>
      <c r="B87" s="246" t="s">
        <v>43</v>
      </c>
      <c r="C87" s="222"/>
      <c r="D87" s="184">
        <f>D88+D89+D91+D93+D94</f>
        <v>9266</v>
      </c>
      <c r="E87" s="184">
        <f>E88+E89+E91+E93+E94</f>
        <v>3245</v>
      </c>
      <c r="F87" s="184">
        <f>F88+F89+F91+F93+F94</f>
        <v>9572</v>
      </c>
      <c r="G87" s="184">
        <f t="shared" ref="G87:H87" si="44">G88+G89+G91+G93+G94</f>
        <v>8423</v>
      </c>
      <c r="H87" s="184">
        <f t="shared" si="44"/>
        <v>8440</v>
      </c>
      <c r="I87" s="184">
        <f>G87/F87*100</f>
        <v>87.996239030505635</v>
      </c>
      <c r="J87" s="233"/>
      <c r="K87" s="29"/>
      <c r="M87" s="81"/>
      <c r="N87" s="81"/>
    </row>
    <row r="88" spans="1:22" s="84" customFormat="1" ht="38.450000000000003" customHeight="1" x14ac:dyDescent="0.25">
      <c r="A88" s="233">
        <v>1</v>
      </c>
      <c r="B88" s="226" t="s">
        <v>44</v>
      </c>
      <c r="C88" s="233" t="s">
        <v>6</v>
      </c>
      <c r="D88" s="394">
        <f>'TUMO RONG (1)'!D89+'LONG LEO(2)'!D89+'ĐĂK CHUM 1(3)'!D89+'ĐĂK CHUM II(4)'!D89+'TU CẤP(5)'!D89+'ĐĂK KA(6)'!D89+'VĂN SANG(7)'!D89+'ĐĂK NEANG(8)'!D89+'NGỌC LEANG(9)'!D89+'ĐĂK SIÊNG(10)'!D89+'KON TUN(11)'!D89+'MÔ PẢ(12)'!D89+'TY TU(13)'!D89+'KON LING(14)'!D89+'ĐĂK PƠ TRANG(15)'!D89+'KON PIA(16)'!D89+'ĐĂK HÀ(17)'!D89</f>
        <v>845</v>
      </c>
      <c r="E88" s="394">
        <v>907</v>
      </c>
      <c r="F88" s="394">
        <f>'TUMO RONG (1)'!E89+'LONG LEO(2)'!E89+'ĐĂK CHUM 1(3)'!E89+'ĐĂK CHUM II(4)'!E89+'TU CẤP(5)'!E89+'ĐĂK KA(6)'!E89+'VĂN SANG(7)'!E89+'ĐĂK NEANG(8)'!E89+'NGỌC LEANG(9)'!E89+'ĐĂK SIÊNG(10)'!E89+'KON TUN(11)'!E89+'MÔ PẢ(12)'!E89+'TY TU(13)'!E89+'KON LING(14)'!E89+'ĐĂK PƠ TRANG(15)'!E89+'KON PIA(16)'!E89+'ĐĂK HÀ(17)'!E89</f>
        <v>907</v>
      </c>
      <c r="G88" s="394">
        <f>'TUMO RONG (1)'!F89+'LONG LEO(2)'!F89+'ĐĂK CHUM 1(3)'!F89+'ĐĂK CHUM II(4)'!F89+'TU CẤP(5)'!F89+'ĐĂK KA(6)'!F89+'VĂN SANG(7)'!F89+'ĐĂK NEANG(8)'!F89+'NGỌC LEANG(9)'!F89+'ĐĂK SIÊNG(10)'!F89+'KON TUN(11)'!F89+'MÔ PẢ(12)'!F89+'TY TU(13)'!F89+'KON LING(14)'!F89+'ĐĂK PƠ TRANG(15)'!F89+'KON PIA(16)'!F89+'ĐĂK HÀ(17)'!F89</f>
        <v>880</v>
      </c>
      <c r="H88" s="394">
        <f>'TUMO RONG (1)'!G89+'LONG LEO(2)'!G89+'ĐĂK CHUM 1(3)'!G89+'ĐĂK CHUM II(4)'!G89+'TU CẤP(5)'!G89+'ĐĂK KA(6)'!G89+'VĂN SANG(7)'!G89+'ĐĂK NEANG(8)'!G89+'NGỌC LEANG(9)'!G89+'ĐĂK SIÊNG(10)'!G89+'KON TUN(11)'!G89+'MÔ PẢ(12)'!G89+'TY TU(13)'!G89+'KON LING(14)'!G89+'ĐĂK PƠ TRANG(15)'!G89+'KON PIA(16)'!G89+'ĐĂK HÀ(17)'!G89</f>
        <v>880</v>
      </c>
      <c r="I88" s="188">
        <f>G88/F88*100</f>
        <v>97.023153252480711</v>
      </c>
      <c r="J88" s="234"/>
      <c r="K88" s="105"/>
      <c r="L88" s="167"/>
      <c r="M88" s="167"/>
      <c r="N88" s="153"/>
      <c r="O88" s="154"/>
      <c r="P88" s="154"/>
      <c r="Q88" s="155"/>
      <c r="R88" s="155"/>
      <c r="S88" s="155"/>
      <c r="T88" s="147"/>
      <c r="U88" s="147"/>
      <c r="V88" s="147"/>
    </row>
    <row r="89" spans="1:22" s="84" customFormat="1" ht="38.450000000000003" customHeight="1" x14ac:dyDescent="0.25">
      <c r="A89" s="233">
        <v>2</v>
      </c>
      <c r="B89" s="226" t="s">
        <v>45</v>
      </c>
      <c r="C89" s="233" t="s">
        <v>6</v>
      </c>
      <c r="D89" s="394">
        <f>'TUMO RONG (1)'!D90+'LONG LEO(2)'!D90+'ĐĂK CHUM 1(3)'!D90+'ĐĂK CHUM II(4)'!D90+'TU CẤP(5)'!D90+'ĐĂK KA(6)'!D90+'VĂN SANG(7)'!D90+'ĐĂK NEANG(8)'!D90+'NGỌC LEANG(9)'!D90+'ĐĂK SIÊNG(10)'!D90+'KON TUN(11)'!D90+'MÔ PẢ(12)'!D90+'TY TU(13)'!D90+'KON LING(14)'!D90+'ĐĂK PƠ TRANG(15)'!D90+'KON PIA(16)'!D90+'ĐĂK HÀ(17)'!D90</f>
        <v>1400</v>
      </c>
      <c r="E89" s="394">
        <v>1474</v>
      </c>
      <c r="F89" s="394">
        <f>'TUMO RONG (1)'!E90+'LONG LEO(2)'!E90+'ĐĂK CHUM 1(3)'!E90+'ĐĂK CHUM II(4)'!E90+'TU CẤP(5)'!E90+'ĐĂK KA(6)'!E90+'VĂN SANG(7)'!E90+'ĐĂK NEANG(8)'!E90+'NGỌC LEANG(9)'!E90+'ĐĂK SIÊNG(10)'!E90+'KON TUN(11)'!E90+'MÔ PẢ(12)'!E90+'TY TU(13)'!E90+'KON LING(14)'!E90+'ĐĂK PƠ TRANG(15)'!E90+'KON PIA(16)'!E90+'ĐĂK HÀ(17)'!E90</f>
        <v>1474</v>
      </c>
      <c r="G89" s="394">
        <f>'TUMO RONG (1)'!F90+'LONG LEO(2)'!F90+'ĐĂK CHUM 1(3)'!F90+'ĐĂK CHUM II(4)'!F90+'TU CẤP(5)'!F90+'ĐĂK KA(6)'!F90+'VĂN SANG(7)'!F90+'ĐĂK NEANG(8)'!F90+'NGỌC LEANG(9)'!F90+'ĐĂK SIÊNG(10)'!F90+'KON TUN(11)'!F90+'MÔ PẢ(12)'!F90+'TY TU(13)'!F90+'KON LING(14)'!F90+'ĐĂK PƠ TRANG(15)'!F90+'KON PIA(16)'!F90+'ĐĂK HÀ(17)'!F90-1</f>
        <v>1432</v>
      </c>
      <c r="H89" s="394">
        <f>'TUMO RONG (1)'!G90+'LONG LEO(2)'!G90+'ĐĂK CHUM 1(3)'!G90+'ĐĂK CHUM II(4)'!G90+'TU CẤP(5)'!G90+'ĐĂK KA(6)'!G90+'VĂN SANG(7)'!G90+'ĐĂK NEANG(8)'!G90+'NGỌC LEANG(9)'!G90+'ĐĂK SIÊNG(10)'!G90+'KON TUN(11)'!G90+'MÔ PẢ(12)'!G90+'TY TU(13)'!G90+'KON LING(14)'!G90+'ĐĂK PƠ TRANG(15)'!G90+'KON PIA(16)'!G90+'ĐĂK HÀ(17)'!G90-1</f>
        <v>1432</v>
      </c>
      <c r="I89" s="188">
        <f t="shared" ref="I89:I96" si="45">G89/F89*100</f>
        <v>97.150610583446408</v>
      </c>
      <c r="J89" s="234"/>
      <c r="K89" s="121"/>
      <c r="L89" s="167"/>
      <c r="M89" s="167"/>
      <c r="N89" s="153"/>
      <c r="O89" s="154"/>
      <c r="P89" s="154"/>
      <c r="Q89" s="159"/>
      <c r="R89" s="155"/>
      <c r="S89" s="155"/>
      <c r="T89" s="147"/>
      <c r="U89" s="147"/>
      <c r="V89" s="147"/>
    </row>
    <row r="90" spans="1:22" s="41" customFormat="1" ht="38.450000000000003" customHeight="1" x14ac:dyDescent="0.25">
      <c r="A90" s="234"/>
      <c r="B90" s="249" t="s">
        <v>172</v>
      </c>
      <c r="C90" s="234" t="s">
        <v>7</v>
      </c>
      <c r="D90" s="395">
        <v>50</v>
      </c>
      <c r="E90" s="395">
        <v>50</v>
      </c>
      <c r="F90" s="395">
        <v>50</v>
      </c>
      <c r="G90" s="395">
        <v>50</v>
      </c>
      <c r="H90" s="395">
        <v>50</v>
      </c>
      <c r="I90" s="188">
        <f>G90/F90*100</f>
        <v>100</v>
      </c>
      <c r="J90" s="234"/>
      <c r="K90" s="34"/>
      <c r="L90" s="172"/>
      <c r="M90" s="81"/>
      <c r="N90" s="151"/>
      <c r="O90" s="152"/>
      <c r="P90" s="152"/>
      <c r="Q90" s="93"/>
      <c r="R90" s="93"/>
      <c r="S90" s="93"/>
      <c r="T90" s="40"/>
      <c r="U90" s="40"/>
      <c r="V90" s="40"/>
    </row>
    <row r="91" spans="1:22" s="84" customFormat="1" ht="38.450000000000003" customHeight="1" x14ac:dyDescent="0.25">
      <c r="A91" s="233">
        <v>3</v>
      </c>
      <c r="B91" s="226" t="s">
        <v>46</v>
      </c>
      <c r="C91" s="233" t="s">
        <v>6</v>
      </c>
      <c r="D91" s="394">
        <f>'TUMO RONG (1)'!D91+'LONG LEO(2)'!D91+'ĐĂK CHUM 1(3)'!D91+'ĐĂK CHUM II(4)'!D91+'TU CẤP(5)'!D91+'ĐĂK KA(6)'!D91+'VĂN SANG(7)'!D91+'ĐĂK NEANG(8)'!D91+'NGỌC LEANG(9)'!D91+'ĐĂK SIÊNG(10)'!D91+'KON TUN(11)'!D91+'MÔ PẢ(12)'!D91+'TY TU(13)'!D91+'KON LING(14)'!D91+'ĐĂK PƠ TRANG(15)'!D91+'KON PIA(16)'!D91+'ĐĂK HÀ(17)'!D91</f>
        <v>800</v>
      </c>
      <c r="E91" s="394">
        <v>864</v>
      </c>
      <c r="F91" s="394">
        <f>'TUMO RONG (1)'!E91+'LONG LEO(2)'!E91+'ĐĂK CHUM 1(3)'!E91+'ĐĂK CHUM II(4)'!E91+'TU CẤP(5)'!E91+'ĐĂK KA(6)'!E91+'VĂN SANG(7)'!E91+'ĐĂK NEANG(8)'!E91+'NGỌC LEANG(9)'!E91+'ĐĂK SIÊNG(10)'!E91+'KON TUN(11)'!E91+'MÔ PẢ(12)'!E91+'TY TU(13)'!E91+'KON LING(14)'!E91+'ĐĂK PƠ TRANG(15)'!E91+'KON PIA(16)'!E91+'ĐĂK HÀ(17)'!E91</f>
        <v>864</v>
      </c>
      <c r="G91" s="394">
        <f>'TUMO RONG (1)'!F91+'LONG LEO(2)'!F91+'ĐĂK CHUM 1(3)'!F91+'ĐĂK CHUM II(4)'!F91+'TU CẤP(5)'!F91+'ĐĂK KA(6)'!F91+'VĂN SANG(7)'!F91+'ĐĂK NEANG(8)'!F91+'NGỌC LEANG(9)'!F91+'ĐĂK SIÊNG(10)'!F91+'KON TUN(11)'!F91+'MÔ PẢ(12)'!F91+'TY TU(13)'!F91+'KON LING(14)'!F91+'ĐĂK PƠ TRANG(15)'!F91+'KON PIA(16)'!F91+'ĐĂK HÀ(17)'!F91-2</f>
        <v>773</v>
      </c>
      <c r="H91" s="394">
        <f>'TUMO RONG (1)'!G91+'LONG LEO(2)'!G91+'ĐĂK CHUM 1(3)'!G91+'ĐĂK CHUM II(4)'!G91+'TU CẤP(5)'!G91+'ĐĂK KA(6)'!G91+'VĂN SANG(7)'!G91+'ĐĂK NEANG(8)'!G91+'NGỌC LEANG(9)'!G91+'ĐĂK SIÊNG(10)'!G91+'KON TUN(11)'!G91+'MÔ PẢ(12)'!G91+'TY TU(13)'!G91+'KON LING(14)'!G91+'ĐĂK PƠ TRANG(15)'!G91+'KON PIA(16)'!G91+'ĐĂK HÀ(17)'!G91+8</f>
        <v>783</v>
      </c>
      <c r="I91" s="188">
        <f t="shared" si="45"/>
        <v>89.467592592592595</v>
      </c>
      <c r="J91" s="234"/>
      <c r="K91" s="121"/>
      <c r="L91" s="167"/>
      <c r="M91" s="167"/>
      <c r="N91" s="153"/>
      <c r="O91" s="154"/>
      <c r="P91" s="153"/>
      <c r="Q91" s="155"/>
      <c r="R91" s="155"/>
      <c r="S91" s="155"/>
      <c r="T91" s="147"/>
      <c r="U91" s="147"/>
      <c r="V91" s="147"/>
    </row>
    <row r="92" spans="1:22" s="41" customFormat="1" ht="38.450000000000003" customHeight="1" x14ac:dyDescent="0.25">
      <c r="A92" s="234"/>
      <c r="B92" s="249" t="s">
        <v>173</v>
      </c>
      <c r="C92" s="234" t="s">
        <v>15</v>
      </c>
      <c r="D92" s="395">
        <v>545</v>
      </c>
      <c r="E92" s="395">
        <v>630</v>
      </c>
      <c r="F92" s="395">
        <v>630</v>
      </c>
      <c r="G92" s="395"/>
      <c r="H92" s="395"/>
      <c r="I92" s="188"/>
      <c r="J92" s="234"/>
      <c r="K92" s="34"/>
      <c r="L92" s="172"/>
      <c r="N92" s="151"/>
      <c r="O92" s="152"/>
      <c r="P92" s="152"/>
      <c r="Q92" s="93"/>
      <c r="R92" s="93"/>
      <c r="S92" s="93"/>
      <c r="T92" s="40"/>
      <c r="U92" s="40"/>
      <c r="V92" s="40"/>
    </row>
    <row r="93" spans="1:22" s="84" customFormat="1" ht="38.450000000000003" customHeight="1" x14ac:dyDescent="0.25">
      <c r="A93" s="233">
        <v>4</v>
      </c>
      <c r="B93" s="226" t="s">
        <v>47</v>
      </c>
      <c r="C93" s="233" t="s">
        <v>6</v>
      </c>
      <c r="D93" s="394">
        <f>'TUMO RONG (1)'!D92+'LONG LEO(2)'!D92+'ĐĂK CHUM 1(3)'!D92+'ĐĂK CHUM II(4)'!D92+'TU CẤP(5)'!D92+'ĐĂK KA(6)'!D92+'VĂN SANG(7)'!D92+'ĐĂK NEANG(8)'!D92+'NGỌC LEANG(9)'!D92+'ĐĂK SIÊNG(10)'!D92+'KON TUN(11)'!D92+'MÔ PẢ(12)'!D92+'TY TU(13)'!D92+'KON LING(14)'!D92+'ĐĂK PƠ TRANG(15)'!D92+'KON PIA(16)'!D92+'ĐĂK HÀ(17)'!D92</f>
        <v>80</v>
      </c>
      <c r="E93" s="394"/>
      <c r="F93" s="394">
        <f>'TUMO RONG (1)'!E92+'LONG LEO(2)'!E92+'ĐĂK CHUM 1(3)'!E92+'ĐĂK CHUM II(4)'!E92+'TU CẤP(5)'!E92+'ĐĂK KA(6)'!E92+'VĂN SANG(7)'!E92+'ĐĂK NEANG(8)'!E92+'NGỌC LEANG(9)'!E92+'ĐĂK SIÊNG(10)'!E92+'KON TUN(11)'!E92+'MÔ PẢ(12)'!E92+'TY TU(13)'!E92+'KON LING(14)'!E92+'ĐĂK PƠ TRANG(15)'!E92+'KON PIA(16)'!E92+'ĐĂK HÀ(17)'!E92</f>
        <v>98</v>
      </c>
      <c r="G93" s="394">
        <f>'TUMO RONG (1)'!F92+'LONG LEO(2)'!F92+'ĐĂK CHUM 1(3)'!F92+'ĐĂK CHUM II(4)'!F92+'TU CẤP(5)'!F92+'ĐĂK KA(6)'!F92+'VĂN SANG(7)'!F92+'ĐĂK NEANG(8)'!F92+'NGỌC LEANG(9)'!F92+'ĐĂK SIÊNG(10)'!F92+'KON TUN(11)'!F92+'MÔ PẢ(12)'!F92+'TY TU(13)'!F92+'KON LING(14)'!F92+'ĐĂK PƠ TRANG(15)'!F92+'KON PIA(16)'!F92+'ĐĂK HÀ(17)'!F92-4</f>
        <v>83</v>
      </c>
      <c r="H93" s="394">
        <v>90</v>
      </c>
      <c r="I93" s="188">
        <f>G93/F93*100</f>
        <v>84.693877551020407</v>
      </c>
      <c r="J93" s="226"/>
      <c r="K93" s="121"/>
      <c r="L93" s="160"/>
      <c r="M93" s="160"/>
      <c r="N93" s="153"/>
      <c r="O93" s="153"/>
      <c r="P93" s="153"/>
      <c r="Q93" s="159"/>
      <c r="R93" s="155"/>
      <c r="S93" s="155"/>
      <c r="T93" s="147"/>
      <c r="U93" s="147"/>
      <c r="V93" s="147"/>
    </row>
    <row r="94" spans="1:22" s="84" customFormat="1" ht="38.450000000000003" customHeight="1" x14ac:dyDescent="0.25">
      <c r="A94" s="233">
        <v>5</v>
      </c>
      <c r="B94" s="226" t="s">
        <v>48</v>
      </c>
      <c r="C94" s="233" t="s">
        <v>6</v>
      </c>
      <c r="D94" s="394">
        <f>'TUMO RONG (1)'!D93+'LONG LEO(2)'!D93+'ĐĂK CHUM 1(3)'!D93+'ĐĂK CHUM II(4)'!D93+'TU CẤP(5)'!D93+'ĐĂK KA(6)'!D93+'VĂN SANG(7)'!D93+'ĐĂK NEANG(8)'!D93+'NGỌC LEANG(9)'!D93+'ĐĂK SIÊNG(10)'!D93+'KON TUN(11)'!D93+'MÔ PẢ(12)'!D93+'TY TU(13)'!D93+'KON LING(14)'!D93+'ĐĂK PƠ TRANG(15)'!D93+'KON PIA(16)'!D93+'ĐĂK HÀ(17)'!D93</f>
        <v>6141</v>
      </c>
      <c r="E94" s="394"/>
      <c r="F94" s="394">
        <f>'TUMO RONG (1)'!E93+'LONG LEO(2)'!E93+'ĐĂK CHUM 1(3)'!E93+'ĐĂK CHUM II(4)'!E93+'TU CẤP(5)'!E93+'ĐĂK KA(6)'!E93+'VĂN SANG(7)'!E93+'ĐĂK NEANG(8)'!E93+'NGỌC LEANG(9)'!E93+'ĐĂK SIÊNG(10)'!E93+'KON TUN(11)'!E93+'MÔ PẢ(12)'!E93+'TY TU(13)'!E93+'KON LING(14)'!E93+'ĐĂK PƠ TRANG(15)'!E93+'KON PIA(16)'!E93+'ĐĂK HÀ(17)'!E93</f>
        <v>6229</v>
      </c>
      <c r="G94" s="394">
        <f>'TUMO RONG (1)'!F93+'LONG LEO(2)'!F93+'ĐĂK CHUM 1(3)'!F93+'ĐĂK CHUM II(4)'!F93+'TU CẤP(5)'!F93+'ĐĂK KA(6)'!F93+'VĂN SANG(7)'!F93+'ĐĂK NEANG(8)'!F93+'NGỌC LEANG(9)'!F93+'ĐĂK SIÊNG(10)'!F93+'KON TUN(11)'!F93+'MÔ PẢ(12)'!F93+'TY TU(13)'!F93+'KON LING(14)'!F93+'ĐĂK PƠ TRANG(15)'!F93+'KON PIA(16)'!F93+'ĐĂK HÀ(17)'!F93+50</f>
        <v>5255</v>
      </c>
      <c r="H94" s="394">
        <f>'TUMO RONG (1)'!G93+'LONG LEO(2)'!G93+'ĐĂK CHUM 1(3)'!G93+'ĐĂK CHUM II(4)'!G93+'TU CẤP(5)'!G93+'ĐĂK KA(6)'!G93+'VĂN SANG(7)'!G93+'ĐĂK NEANG(8)'!G93+'NGỌC LEANG(9)'!G93+'ĐĂK SIÊNG(10)'!G93+'KON TUN(11)'!G93+'MÔ PẢ(12)'!G93+'TY TU(13)'!G93+'KON LING(14)'!G93+'ĐĂK PƠ TRANG(15)'!G93+'KON PIA(16)'!G93+'ĐĂK HÀ(17)'!G93+50</f>
        <v>5255</v>
      </c>
      <c r="I94" s="188">
        <f t="shared" si="45"/>
        <v>84.363461229731897</v>
      </c>
      <c r="J94" s="233"/>
      <c r="K94" s="174"/>
      <c r="L94" s="175"/>
      <c r="M94" s="160"/>
      <c r="N94" s="153"/>
      <c r="O94" s="154"/>
      <c r="P94" s="154"/>
      <c r="Q94" s="155"/>
      <c r="R94" s="155"/>
      <c r="S94" s="155"/>
      <c r="T94" s="147"/>
      <c r="U94" s="147"/>
      <c r="V94" s="147"/>
    </row>
    <row r="95" spans="1:22" s="23" customFormat="1" ht="38.450000000000003" customHeight="1" x14ac:dyDescent="0.25">
      <c r="A95" s="222" t="s">
        <v>49</v>
      </c>
      <c r="B95" s="223" t="s">
        <v>50</v>
      </c>
      <c r="C95" s="222" t="s">
        <v>4</v>
      </c>
      <c r="D95" s="184">
        <f>D96</f>
        <v>7.9</v>
      </c>
      <c r="E95" s="184">
        <v>7.5</v>
      </c>
      <c r="F95" s="184">
        <f>F96</f>
        <v>8.4</v>
      </c>
      <c r="G95" s="184">
        <f t="shared" ref="G95:H95" si="46">G96</f>
        <v>8.4</v>
      </c>
      <c r="H95" s="184">
        <f t="shared" si="46"/>
        <v>8.4</v>
      </c>
      <c r="I95" s="184">
        <f t="shared" si="45"/>
        <v>100</v>
      </c>
      <c r="J95" s="226"/>
      <c r="K95" s="125"/>
      <c r="L95" s="99"/>
      <c r="M95" s="163"/>
    </row>
    <row r="96" spans="1:22" s="161" customFormat="1" ht="38.450000000000003" customHeight="1" x14ac:dyDescent="0.25">
      <c r="A96" s="234" t="s">
        <v>16</v>
      </c>
      <c r="B96" s="251" t="s">
        <v>51</v>
      </c>
      <c r="C96" s="234" t="s">
        <v>4</v>
      </c>
      <c r="D96" s="191">
        <f>'TUMO RONG (1)'!D95+'LONG LEO(2)'!D95+'ĐĂK CHUM 1(3)'!D95+'ĐĂK CHUM II(4)'!D95+'TU CẤP(5)'!D95+'ĐĂK KA(6)'!D95+'VĂN SANG(7)'!D95+'ĐĂK NEANG(8)'!D95+'NGỌC LEANG(9)'!D95+'ĐĂK SIÊNG(10)'!D95+'KON TUN(11)'!D95+'MÔ PẢ(12)'!D95+'TY TU(13)'!D95+'KON LING(14)'!D95+'ĐĂK PƠ TRANG(15)'!D95+'KON PIA(16)'!D95+'ĐĂK HÀ(17)'!D95</f>
        <v>7.9</v>
      </c>
      <c r="E96" s="191">
        <v>7.5</v>
      </c>
      <c r="F96" s="191">
        <f>'TUMO RONG (1)'!E95+'LONG LEO(2)'!E95+'ĐĂK CHUM 1(3)'!E95+'ĐĂK CHUM II(4)'!E95+'TU CẤP(5)'!E95+'ĐĂK KA(6)'!E95+'VĂN SANG(7)'!E95+'ĐĂK NEANG(8)'!E95+'NGỌC LEANG(9)'!E95+'ĐĂK SIÊNG(10)'!E95+'KON TUN(11)'!E95+'MÔ PẢ(12)'!E95+'TY TU(13)'!E95+'KON LING(14)'!E95+'ĐĂK PƠ TRANG(15)'!E95+'KON PIA(16)'!E95+'ĐĂK HÀ(17)'!E95</f>
        <v>8.4</v>
      </c>
      <c r="G96" s="191">
        <f>'TUMO RONG (1)'!F95+'LONG LEO(2)'!F95+'ĐĂK CHUM 1(3)'!F95+'ĐĂK CHUM II(4)'!F95+'TU CẤP(5)'!F95+'ĐĂK KA(6)'!F95+'VĂN SANG(7)'!F95+'ĐĂK NEANG(8)'!F95+'NGỌC LEANG(9)'!F95+'ĐĂK SIÊNG(10)'!F95+'KON TUN(11)'!F95+'MÔ PẢ(12)'!F95+'TY TU(13)'!F95+'KON LING(14)'!F95+'ĐĂK PƠ TRANG(15)'!F95+'KON PIA(16)'!F95+'ĐĂK HÀ(17)'!F95</f>
        <v>8.4</v>
      </c>
      <c r="H96" s="191">
        <f>'TUMO RONG (1)'!G95+'LONG LEO(2)'!G95+'ĐĂK CHUM 1(3)'!G95+'ĐĂK CHUM II(4)'!G95+'TU CẤP(5)'!G95+'ĐĂK KA(6)'!G95+'VĂN SANG(7)'!G95+'ĐĂK NEANG(8)'!G95+'NGỌC LEANG(9)'!G95+'ĐĂK SIÊNG(10)'!G95+'KON TUN(11)'!G95+'MÔ PẢ(12)'!G95+'TY TU(13)'!G95+'KON LING(14)'!G95+'ĐĂK PƠ TRANG(15)'!G95+'KON PIA(16)'!G95+'ĐĂK HÀ(17)'!G95</f>
        <v>8.4</v>
      </c>
      <c r="I96" s="191">
        <f t="shared" si="45"/>
        <v>100</v>
      </c>
      <c r="J96" s="249"/>
      <c r="K96" s="176"/>
      <c r="L96" s="177"/>
      <c r="M96" s="178"/>
    </row>
    <row r="97" spans="1:19" ht="38.450000000000003" customHeight="1" x14ac:dyDescent="0.25">
      <c r="A97" s="234" t="s">
        <v>16</v>
      </c>
      <c r="B97" s="242" t="s">
        <v>164</v>
      </c>
      <c r="C97" s="233" t="s">
        <v>15</v>
      </c>
      <c r="D97" s="188">
        <v>27.6</v>
      </c>
      <c r="E97" s="188">
        <v>29.3</v>
      </c>
      <c r="F97" s="188">
        <v>29.3</v>
      </c>
      <c r="G97" s="188"/>
      <c r="H97" s="188"/>
      <c r="I97" s="188"/>
      <c r="J97" s="226"/>
      <c r="K97" s="24"/>
    </row>
    <row r="98" spans="1:19" ht="38.450000000000003" customHeight="1" x14ac:dyDescent="0.25">
      <c r="A98" s="222" t="s">
        <v>52</v>
      </c>
      <c r="B98" s="223" t="s">
        <v>53</v>
      </c>
      <c r="C98" s="222" t="s">
        <v>4</v>
      </c>
      <c r="D98" s="184">
        <f t="shared" ref="D98:H98" si="47">D99+D102</f>
        <v>28</v>
      </c>
      <c r="E98" s="184">
        <f t="shared" si="47"/>
        <v>5</v>
      </c>
      <c r="F98" s="184">
        <f>F99+F102</f>
        <v>15</v>
      </c>
      <c r="G98" s="184">
        <f t="shared" si="47"/>
        <v>0</v>
      </c>
      <c r="H98" s="184">
        <f t="shared" si="47"/>
        <v>0</v>
      </c>
      <c r="I98" s="184"/>
      <c r="J98" s="233"/>
      <c r="K98" s="29"/>
      <c r="N98" s="85"/>
      <c r="O98" s="85"/>
      <c r="P98" s="18"/>
      <c r="Q98" s="18"/>
      <c r="R98" s="18"/>
      <c r="S98" s="18"/>
    </row>
    <row r="99" spans="1:19" ht="38.450000000000003" customHeight="1" x14ac:dyDescent="0.25">
      <c r="A99" s="233" t="s">
        <v>16</v>
      </c>
      <c r="B99" s="254" t="s">
        <v>171</v>
      </c>
      <c r="C99" s="234" t="s">
        <v>4</v>
      </c>
      <c r="D99" s="188">
        <f>'TUMO RONG (1)'!D97+'LONG LEO(2)'!D97+'ĐĂK CHUM 1(3)'!D97+'ĐĂK CHUM II(4)'!D97+'TU CẤP(5)'!D97+'ĐĂK KA(6)'!D97+'VĂN SANG(7)'!D97+'ĐĂK NEANG(8)'!D97+'NGỌC LEANG(9)'!D97+'ĐĂK SIÊNG(10)'!D97+'KON TUN(11)'!D97+'MÔ PẢ(12)'!D97+'TY TU(13)'!D97+'KON LING(14)'!D97+'ĐĂK PƠ TRANG(15)'!D97+'KON PIA(16)'!D97+'ĐĂK HÀ(17)'!D97</f>
        <v>0</v>
      </c>
      <c r="E99" s="188">
        <f>E100+E101</f>
        <v>5</v>
      </c>
      <c r="F99" s="188">
        <f>'TUMO RONG (1)'!E97+'LONG LEO(2)'!E97+'ĐĂK CHUM 1(3)'!E97+'ĐĂK CHUM II(4)'!E97+'TU CẤP(5)'!E97+'ĐĂK KA(6)'!E97+'VĂN SANG(7)'!E97+'ĐĂK NEANG(8)'!E97+'NGỌC LEANG(9)'!E97+'ĐĂK SIÊNG(10)'!E97+'KON TUN(11)'!E97+'MÔ PẢ(12)'!E97+'TY TU(13)'!E97+'KON LING(14)'!E97+'ĐĂK PƠ TRANG(15)'!E97+'KON PIA(16)'!E97+'ĐĂK HÀ(17)'!E97</f>
        <v>5.0000000000000009</v>
      </c>
      <c r="G99" s="188">
        <f>'TUMO RONG (1)'!F97+'LONG LEO(2)'!F97+'ĐĂK CHUM 1(3)'!F97+'ĐĂK CHUM II(4)'!F97+'TU CẤP(5)'!F97+'ĐĂK KA(6)'!F97+'VĂN SANG(7)'!F97+'ĐĂK NEANG(8)'!F97+'NGỌC LEANG(9)'!F97+'ĐĂK SIÊNG(10)'!F97+'KON TUN(11)'!F97+'MÔ PẢ(12)'!F97+'TY TU(13)'!F97+'KON LING(14)'!F97+'ĐĂK PƠ TRANG(15)'!F97+'KON PIA(16)'!F97+'ĐĂK HÀ(17)'!F97</f>
        <v>0</v>
      </c>
      <c r="H99" s="188">
        <f>'TUMO RONG (1)'!G97+'LONG LEO(2)'!G97+'ĐĂK CHUM 1(3)'!G97+'ĐĂK CHUM II(4)'!G97+'TU CẤP(5)'!G97+'ĐĂK KA(6)'!G97+'VĂN SANG(7)'!G97+'ĐĂK NEANG(8)'!G97+'NGỌC LEANG(9)'!G97+'ĐĂK SIÊNG(10)'!G97+'KON TUN(11)'!G97+'MÔ PẢ(12)'!G97+'TY TU(13)'!G97+'KON LING(14)'!G97+'ĐĂK PƠ TRANG(15)'!G97+'KON PIA(16)'!G97+'ĐĂK HÀ(17)'!G97</f>
        <v>0</v>
      </c>
      <c r="I99" s="188"/>
      <c r="J99" s="234"/>
      <c r="K99" s="24"/>
      <c r="L99" s="179"/>
      <c r="M99" s="179"/>
      <c r="N99" s="18"/>
      <c r="O99" s="18"/>
      <c r="P99" s="27"/>
      <c r="Q99" s="27"/>
      <c r="R99" s="18"/>
      <c r="S99" s="18"/>
    </row>
    <row r="100" spans="1:19" ht="38.450000000000003" customHeight="1" x14ac:dyDescent="0.25">
      <c r="A100" s="233"/>
      <c r="B100" s="258" t="s">
        <v>169</v>
      </c>
      <c r="C100" s="234" t="s">
        <v>4</v>
      </c>
      <c r="D100" s="191"/>
      <c r="E100" s="191"/>
      <c r="F100" s="191"/>
      <c r="G100" s="191"/>
      <c r="H100" s="191"/>
      <c r="I100" s="191"/>
      <c r="J100" s="234"/>
      <c r="K100" s="24"/>
      <c r="N100" s="18"/>
      <c r="O100" s="18"/>
      <c r="P100" s="27"/>
      <c r="Q100" s="27"/>
      <c r="R100" s="18"/>
      <c r="S100" s="18"/>
    </row>
    <row r="101" spans="1:19" ht="38.450000000000003" customHeight="1" x14ac:dyDescent="0.25">
      <c r="A101" s="233"/>
      <c r="B101" s="258" t="s">
        <v>170</v>
      </c>
      <c r="C101" s="234" t="s">
        <v>4</v>
      </c>
      <c r="D101" s="191"/>
      <c r="E101" s="191">
        <v>5</v>
      </c>
      <c r="F101" s="191">
        <v>5</v>
      </c>
      <c r="G101" s="191"/>
      <c r="H101" s="191"/>
      <c r="I101" s="191"/>
      <c r="J101" s="234"/>
      <c r="K101" s="24"/>
      <c r="N101" s="18"/>
      <c r="O101" s="18"/>
      <c r="P101" s="27"/>
      <c r="Q101" s="27"/>
      <c r="R101" s="18"/>
      <c r="S101" s="18"/>
    </row>
    <row r="102" spans="1:19" ht="38.450000000000003" customHeight="1" x14ac:dyDescent="0.25">
      <c r="A102" s="259" t="s">
        <v>16</v>
      </c>
      <c r="B102" s="254" t="s">
        <v>54</v>
      </c>
      <c r="C102" s="234" t="s">
        <v>4</v>
      </c>
      <c r="D102" s="188">
        <f>'TUMO RONG (1)'!D98+'LONG LEO(2)'!D98+'ĐĂK CHUM 1(3)'!D98+'ĐĂK CHUM II(4)'!D98+'TU CẤP(5)'!D98+'ĐĂK KA(6)'!D98+'VĂN SANG(7)'!D98+'ĐĂK NEANG(8)'!D98+'NGỌC LEANG(9)'!D98+'ĐĂK SIÊNG(10)'!D98+'KON TUN(11)'!D98+'MÔ PẢ(12)'!D98+'TY TU(13)'!D98+'KON LING(14)'!D98+'ĐĂK PƠ TRANG(15)'!D98+'KON PIA(16)'!D98+'ĐĂK HÀ(17)'!D98</f>
        <v>28</v>
      </c>
      <c r="E102" s="188">
        <v>0</v>
      </c>
      <c r="F102" s="188">
        <f>'TUMO RONG (1)'!E98+'LONG LEO(2)'!E98+'ĐĂK CHUM 1(3)'!E98+'ĐĂK CHUM II(4)'!E98+'TU CẤP(5)'!E98+'ĐĂK KA(6)'!E98+'VĂN SANG(7)'!E98+'ĐĂK NEANG(8)'!E98+'NGỌC LEANG(9)'!E98+'ĐĂK SIÊNG(10)'!E98+'KON TUN(11)'!E98+'MÔ PẢ(12)'!E98+'TY TU(13)'!E98+'KON LING(14)'!E98+'ĐĂK PƠ TRANG(15)'!E98+'KON PIA(16)'!E98+'ĐĂK HÀ(17)'!E98</f>
        <v>10</v>
      </c>
      <c r="G102" s="188">
        <f>'TUMO RONG (1)'!F98+'LONG LEO(2)'!F98+'ĐĂK CHUM 1(3)'!F98+'ĐĂK CHUM II(4)'!F98+'TU CẤP(5)'!F98+'ĐĂK KA(6)'!F98+'VĂN SANG(7)'!F98+'ĐĂK NEANG(8)'!F98+'NGỌC LEANG(9)'!F98+'ĐĂK SIÊNG(10)'!F98+'KON TUN(11)'!F98+'MÔ PẢ(12)'!F98+'TY TU(13)'!F98+'KON LING(14)'!F98+'ĐĂK PƠ TRANG(15)'!F98+'KON PIA(16)'!F98+'ĐĂK HÀ(17)'!F98</f>
        <v>0</v>
      </c>
      <c r="H102" s="188">
        <f>'TUMO RONG (1)'!G98+'LONG LEO(2)'!G98+'ĐĂK CHUM 1(3)'!G98+'ĐĂK CHUM II(4)'!G98+'TU CẤP(5)'!G98+'ĐĂK KA(6)'!G98+'VĂN SANG(7)'!G98+'ĐĂK NEANG(8)'!G98+'NGỌC LEANG(9)'!G98+'ĐĂK SIÊNG(10)'!G98+'KON TUN(11)'!G98+'MÔ PẢ(12)'!G98+'TY TU(13)'!G98+'KON LING(14)'!G98+'ĐĂK PƠ TRANG(15)'!G98+'KON PIA(16)'!G98+'ĐĂK HÀ(17)'!G98</f>
        <v>0</v>
      </c>
      <c r="I102" s="188"/>
      <c r="J102" s="226"/>
      <c r="K102" s="24"/>
      <c r="N102" s="180"/>
      <c r="O102" s="80"/>
      <c r="P102" s="27"/>
      <c r="Q102" s="27"/>
      <c r="R102" s="18"/>
      <c r="S102" s="18"/>
    </row>
    <row r="103" spans="1:19" ht="38.450000000000003" customHeight="1" x14ac:dyDescent="0.25">
      <c r="A103" s="259" t="s">
        <v>16</v>
      </c>
      <c r="B103" s="226" t="s">
        <v>168</v>
      </c>
      <c r="C103" s="234" t="s">
        <v>4</v>
      </c>
      <c r="D103" s="188">
        <f>D104+D105</f>
        <v>9940</v>
      </c>
      <c r="E103" s="188">
        <f t="shared" ref="E103:H103" si="48">E104+E105</f>
        <v>9940</v>
      </c>
      <c r="F103" s="188">
        <f t="shared" si="48"/>
        <v>9940</v>
      </c>
      <c r="G103" s="188">
        <f t="shared" si="48"/>
        <v>0</v>
      </c>
      <c r="H103" s="188">
        <f t="shared" si="48"/>
        <v>0</v>
      </c>
      <c r="I103" s="260"/>
      <c r="J103" s="226"/>
      <c r="K103" s="20"/>
    </row>
    <row r="104" spans="1:19" ht="38.450000000000003" customHeight="1" x14ac:dyDescent="0.25">
      <c r="A104" s="261"/>
      <c r="B104" s="258" t="s">
        <v>169</v>
      </c>
      <c r="C104" s="234" t="s">
        <v>59</v>
      </c>
      <c r="D104" s="191">
        <v>2805</v>
      </c>
      <c r="E104" s="191">
        <v>2805</v>
      </c>
      <c r="F104" s="191">
        <v>2805</v>
      </c>
      <c r="G104" s="251"/>
      <c r="H104" s="251"/>
      <c r="I104" s="251"/>
      <c r="J104" s="249"/>
      <c r="K104" s="20"/>
    </row>
    <row r="105" spans="1:19" ht="38.450000000000003" customHeight="1" x14ac:dyDescent="0.25">
      <c r="A105" s="261"/>
      <c r="B105" s="258" t="s">
        <v>170</v>
      </c>
      <c r="C105" s="234" t="s">
        <v>59</v>
      </c>
      <c r="D105" s="191">
        <v>7135</v>
      </c>
      <c r="E105" s="191">
        <v>7135</v>
      </c>
      <c r="F105" s="191">
        <v>7135</v>
      </c>
      <c r="G105" s="251"/>
      <c r="H105" s="251"/>
      <c r="I105" s="251"/>
      <c r="J105" s="249"/>
      <c r="K105" s="20"/>
    </row>
    <row r="106" spans="1:19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264"/>
      <c r="K106" s="20"/>
    </row>
    <row r="107" spans="1:19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264"/>
      <c r="K107" s="20"/>
    </row>
    <row r="108" spans="1:19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264"/>
      <c r="K108" s="20"/>
    </row>
    <row r="109" spans="1:19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264"/>
      <c r="K109" s="20"/>
    </row>
    <row r="110" spans="1:19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264"/>
      <c r="K110" s="20"/>
    </row>
    <row r="111" spans="1:19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264"/>
      <c r="K111" s="20"/>
    </row>
    <row r="112" spans="1:19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264"/>
      <c r="K112" s="20"/>
    </row>
    <row r="113" spans="1:11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264"/>
      <c r="K113" s="20"/>
    </row>
    <row r="114" spans="1:11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264"/>
      <c r="K114" s="20"/>
    </row>
    <row r="115" spans="1:11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264"/>
      <c r="K115" s="20"/>
    </row>
    <row r="116" spans="1:11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264"/>
      <c r="K116" s="20"/>
    </row>
    <row r="117" spans="1:11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264"/>
      <c r="K117" s="20"/>
    </row>
    <row r="118" spans="1:11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264"/>
      <c r="K118" s="20"/>
    </row>
    <row r="119" spans="1:11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264"/>
      <c r="K119" s="20"/>
    </row>
    <row r="120" spans="1:11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264"/>
      <c r="K120" s="20"/>
    </row>
    <row r="121" spans="1:11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264"/>
      <c r="K121" s="20"/>
    </row>
    <row r="122" spans="1:11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264"/>
      <c r="K122" s="20"/>
    </row>
    <row r="123" spans="1:11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264"/>
      <c r="K123" s="20"/>
    </row>
    <row r="124" spans="1:11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264"/>
      <c r="K124" s="20"/>
    </row>
    <row r="125" spans="1:11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264"/>
      <c r="K125" s="20"/>
    </row>
    <row r="126" spans="1:11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264"/>
      <c r="K126" s="20"/>
    </row>
    <row r="127" spans="1:11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264"/>
      <c r="K127" s="20"/>
    </row>
    <row r="128" spans="1:11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264"/>
      <c r="K128" s="20"/>
    </row>
    <row r="129" spans="1:11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264"/>
      <c r="K129" s="20"/>
    </row>
    <row r="130" spans="1:11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264"/>
      <c r="K130" s="20"/>
    </row>
    <row r="131" spans="1:11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264"/>
      <c r="K131" s="20"/>
    </row>
    <row r="132" spans="1:11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264"/>
      <c r="K132" s="20"/>
    </row>
    <row r="133" spans="1:11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264"/>
      <c r="K133" s="20"/>
    </row>
    <row r="134" spans="1:11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264"/>
      <c r="K134" s="20"/>
    </row>
    <row r="135" spans="1:11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264"/>
      <c r="K135" s="20"/>
    </row>
    <row r="136" spans="1:11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264"/>
      <c r="K136" s="20"/>
    </row>
    <row r="137" spans="1:11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264"/>
      <c r="K137" s="20"/>
    </row>
    <row r="138" spans="1:11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264"/>
      <c r="K138" s="20"/>
    </row>
    <row r="139" spans="1:11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264"/>
      <c r="K139" s="20"/>
    </row>
    <row r="140" spans="1:11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264"/>
      <c r="K140" s="20"/>
    </row>
    <row r="141" spans="1:11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264"/>
      <c r="K141" s="20"/>
    </row>
    <row r="142" spans="1:11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264"/>
      <c r="K142" s="20"/>
    </row>
    <row r="143" spans="1:11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264"/>
      <c r="K143" s="20"/>
    </row>
    <row r="144" spans="1:11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264"/>
      <c r="K144" s="20"/>
    </row>
    <row r="145" spans="1:11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264"/>
      <c r="K145" s="20"/>
    </row>
    <row r="146" spans="1:11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264"/>
      <c r="K146" s="20"/>
    </row>
    <row r="147" spans="1:11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264"/>
      <c r="K147" s="20"/>
    </row>
    <row r="148" spans="1:11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264"/>
      <c r="K148" s="20"/>
    </row>
    <row r="149" spans="1:11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264"/>
      <c r="K149" s="20"/>
    </row>
    <row r="150" spans="1:11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264"/>
      <c r="K150" s="20"/>
    </row>
    <row r="151" spans="1:11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264"/>
      <c r="K151" s="20"/>
    </row>
    <row r="152" spans="1:11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264"/>
      <c r="K152" s="20"/>
    </row>
    <row r="153" spans="1:11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264"/>
      <c r="K153" s="20"/>
    </row>
    <row r="154" spans="1:11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264"/>
      <c r="K154" s="20"/>
    </row>
    <row r="155" spans="1:11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264"/>
      <c r="K155" s="20"/>
    </row>
    <row r="156" spans="1:11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264"/>
      <c r="K156" s="20"/>
    </row>
    <row r="157" spans="1:11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264"/>
      <c r="K157" s="20"/>
    </row>
    <row r="158" spans="1:11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264"/>
      <c r="K158" s="20"/>
    </row>
    <row r="159" spans="1:11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264"/>
      <c r="K159" s="20"/>
    </row>
    <row r="160" spans="1:11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264"/>
      <c r="K160" s="20"/>
    </row>
    <row r="161" spans="1:11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264"/>
      <c r="K161" s="20"/>
    </row>
    <row r="162" spans="1:11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264"/>
      <c r="K162" s="20"/>
    </row>
    <row r="163" spans="1:11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264"/>
      <c r="K163" s="20"/>
    </row>
    <row r="164" spans="1:11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264"/>
      <c r="K164" s="20"/>
    </row>
    <row r="165" spans="1:11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264"/>
      <c r="K165" s="20"/>
    </row>
    <row r="166" spans="1:11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264"/>
      <c r="K166" s="20"/>
    </row>
    <row r="167" spans="1:11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264"/>
      <c r="K167" s="20"/>
    </row>
    <row r="168" spans="1:11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264"/>
      <c r="K168" s="20"/>
    </row>
    <row r="169" spans="1:11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264"/>
      <c r="K169" s="20"/>
    </row>
    <row r="170" spans="1:11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264"/>
      <c r="K170" s="20"/>
    </row>
    <row r="171" spans="1:11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264"/>
      <c r="K171" s="20"/>
    </row>
    <row r="172" spans="1:11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264"/>
      <c r="K172" s="20"/>
    </row>
    <row r="173" spans="1:11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264"/>
      <c r="K173" s="20"/>
    </row>
    <row r="174" spans="1:11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264"/>
      <c r="K174" s="20"/>
    </row>
    <row r="175" spans="1:11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264"/>
      <c r="K175" s="20"/>
    </row>
    <row r="176" spans="1:11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264"/>
      <c r="K176" s="20"/>
    </row>
    <row r="177" spans="1:11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264"/>
      <c r="K177" s="20"/>
    </row>
    <row r="178" spans="1:11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264"/>
      <c r="K178" s="20"/>
    </row>
    <row r="179" spans="1:11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264"/>
      <c r="K179" s="20"/>
    </row>
    <row r="180" spans="1:11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264"/>
      <c r="K180" s="20"/>
    </row>
    <row r="181" spans="1:11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264"/>
      <c r="K181" s="20"/>
    </row>
    <row r="182" spans="1:11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264"/>
      <c r="K182" s="20"/>
    </row>
    <row r="183" spans="1:11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264"/>
      <c r="K183" s="20"/>
    </row>
    <row r="184" spans="1:11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264"/>
      <c r="K184" s="20"/>
    </row>
    <row r="185" spans="1:11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264"/>
      <c r="K185" s="20"/>
    </row>
    <row r="186" spans="1:11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264"/>
      <c r="K186" s="20"/>
    </row>
    <row r="187" spans="1:11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264"/>
      <c r="K187" s="20"/>
    </row>
    <row r="188" spans="1:11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264"/>
      <c r="K188" s="20"/>
    </row>
    <row r="189" spans="1:11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264"/>
      <c r="K189" s="20"/>
    </row>
    <row r="190" spans="1:11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264"/>
      <c r="K190" s="20"/>
    </row>
    <row r="191" spans="1:11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264"/>
      <c r="K191" s="20"/>
    </row>
    <row r="192" spans="1:11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264"/>
      <c r="K192" s="20"/>
    </row>
    <row r="193" spans="1:11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264"/>
      <c r="K193" s="20"/>
    </row>
    <row r="194" spans="1:11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264"/>
      <c r="K194" s="20"/>
    </row>
    <row r="195" spans="1:11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264"/>
      <c r="K195" s="20"/>
    </row>
    <row r="196" spans="1:11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264"/>
      <c r="K196" s="20"/>
    </row>
    <row r="197" spans="1:11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264"/>
      <c r="K197" s="20"/>
    </row>
    <row r="198" spans="1:11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264"/>
      <c r="K198" s="20"/>
    </row>
    <row r="199" spans="1:11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264"/>
      <c r="K199" s="20"/>
    </row>
    <row r="200" spans="1:11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264"/>
      <c r="K200" s="20"/>
    </row>
    <row r="201" spans="1:11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264"/>
      <c r="K201" s="20"/>
    </row>
    <row r="202" spans="1:11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264"/>
      <c r="K202" s="20"/>
    </row>
    <row r="203" spans="1:11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264"/>
      <c r="K203" s="20"/>
    </row>
    <row r="204" spans="1:11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264"/>
      <c r="K204" s="20"/>
    </row>
    <row r="205" spans="1:11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264"/>
      <c r="K205" s="20"/>
    </row>
    <row r="206" spans="1:11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264"/>
      <c r="K206" s="20"/>
    </row>
    <row r="207" spans="1:11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264"/>
      <c r="K207" s="20"/>
    </row>
    <row r="208" spans="1:11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264"/>
      <c r="K208" s="20"/>
    </row>
    <row r="209" spans="1:11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264"/>
      <c r="K209" s="20"/>
    </row>
    <row r="210" spans="1:11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264"/>
      <c r="K210" s="20"/>
    </row>
    <row r="211" spans="1:11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264"/>
      <c r="K211" s="20"/>
    </row>
    <row r="212" spans="1:11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264"/>
      <c r="K212" s="20"/>
    </row>
    <row r="213" spans="1:11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264"/>
      <c r="K213" s="20"/>
    </row>
    <row r="214" spans="1:11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264"/>
      <c r="K214" s="20"/>
    </row>
    <row r="215" spans="1:11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264"/>
      <c r="K215" s="20"/>
    </row>
    <row r="216" spans="1:11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264"/>
      <c r="K216" s="20"/>
    </row>
    <row r="217" spans="1:11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264"/>
      <c r="K217" s="20"/>
    </row>
    <row r="218" spans="1:11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264"/>
      <c r="K218" s="20"/>
    </row>
    <row r="219" spans="1:11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264"/>
      <c r="K219" s="20"/>
    </row>
    <row r="220" spans="1:11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264"/>
      <c r="K220" s="20"/>
    </row>
    <row r="221" spans="1:11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264"/>
      <c r="K221" s="20"/>
    </row>
    <row r="222" spans="1:11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264"/>
      <c r="K222" s="20"/>
    </row>
    <row r="223" spans="1:11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264"/>
      <c r="K223" s="20"/>
    </row>
    <row r="224" spans="1:11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264"/>
      <c r="K224" s="20"/>
    </row>
    <row r="225" spans="1:11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264"/>
      <c r="K225" s="20"/>
    </row>
    <row r="226" spans="1:11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264"/>
      <c r="K226" s="20"/>
    </row>
    <row r="227" spans="1:11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264"/>
      <c r="K227" s="20"/>
    </row>
    <row r="228" spans="1:11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264"/>
      <c r="K228" s="20"/>
    </row>
    <row r="229" spans="1:11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264"/>
      <c r="K229" s="20"/>
    </row>
    <row r="230" spans="1:11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264"/>
      <c r="K230" s="20"/>
    </row>
    <row r="231" spans="1:11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264"/>
      <c r="K231" s="20"/>
    </row>
    <row r="232" spans="1:11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264"/>
      <c r="K232" s="20"/>
    </row>
    <row r="233" spans="1:11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264"/>
      <c r="K233" s="20"/>
    </row>
    <row r="234" spans="1:11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264"/>
      <c r="K234" s="20"/>
    </row>
    <row r="235" spans="1:11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264"/>
      <c r="K235" s="20"/>
    </row>
    <row r="236" spans="1:11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264"/>
      <c r="K236" s="20"/>
    </row>
    <row r="237" spans="1:11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264"/>
      <c r="K237" s="20"/>
    </row>
    <row r="238" spans="1:11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264"/>
      <c r="K238" s="20"/>
    </row>
    <row r="239" spans="1:11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264"/>
      <c r="K239" s="20"/>
    </row>
    <row r="240" spans="1:11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264"/>
      <c r="K240" s="20"/>
    </row>
    <row r="241" spans="1:11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264"/>
      <c r="K241" s="20"/>
    </row>
    <row r="242" spans="1:11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264"/>
      <c r="K242" s="20"/>
    </row>
    <row r="243" spans="1:11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264"/>
      <c r="K243" s="20"/>
    </row>
    <row r="244" spans="1:11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264"/>
      <c r="K244" s="20"/>
    </row>
    <row r="245" spans="1:11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264"/>
      <c r="K245" s="20"/>
    </row>
    <row r="246" spans="1:11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264"/>
      <c r="K246" s="20"/>
    </row>
    <row r="247" spans="1:11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264"/>
      <c r="K247" s="20"/>
    </row>
    <row r="248" spans="1:11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264"/>
      <c r="K248" s="20"/>
    </row>
    <row r="249" spans="1:11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264"/>
      <c r="K249" s="20"/>
    </row>
    <row r="250" spans="1:11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264"/>
      <c r="K250" s="20"/>
    </row>
    <row r="251" spans="1:11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264"/>
      <c r="K251" s="20"/>
    </row>
    <row r="252" spans="1:11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264"/>
      <c r="K252" s="20"/>
    </row>
    <row r="253" spans="1:11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264"/>
      <c r="K253" s="20"/>
    </row>
    <row r="254" spans="1:11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264"/>
      <c r="K254" s="20"/>
    </row>
    <row r="255" spans="1:11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264"/>
      <c r="K255" s="20"/>
    </row>
    <row r="256" spans="1:11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264"/>
      <c r="K256" s="20"/>
    </row>
    <row r="257" spans="1:11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264"/>
      <c r="K257" s="20"/>
    </row>
    <row r="258" spans="1:11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264"/>
      <c r="K258" s="20"/>
    </row>
    <row r="259" spans="1:11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264"/>
      <c r="K259" s="20"/>
    </row>
    <row r="260" spans="1:11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264"/>
      <c r="K260" s="20"/>
    </row>
    <row r="261" spans="1:11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264"/>
      <c r="K261" s="20"/>
    </row>
    <row r="262" spans="1:11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264"/>
      <c r="K262" s="20"/>
    </row>
    <row r="263" spans="1:11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264"/>
      <c r="K263" s="20"/>
    </row>
    <row r="264" spans="1:11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264"/>
      <c r="K264" s="20"/>
    </row>
    <row r="265" spans="1:11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264"/>
      <c r="K265" s="20"/>
    </row>
    <row r="266" spans="1:11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264"/>
      <c r="K266" s="20"/>
    </row>
    <row r="267" spans="1:11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264"/>
      <c r="K267" s="20"/>
    </row>
    <row r="268" spans="1:11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264"/>
      <c r="K268" s="20"/>
    </row>
    <row r="269" spans="1:11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264"/>
      <c r="K269" s="20"/>
    </row>
    <row r="270" spans="1:11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264"/>
      <c r="K270" s="20"/>
    </row>
    <row r="271" spans="1:11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264"/>
      <c r="K271" s="20"/>
    </row>
    <row r="272" spans="1:11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264"/>
      <c r="K272" s="20"/>
    </row>
    <row r="273" spans="1:11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264"/>
      <c r="K273" s="20"/>
    </row>
    <row r="274" spans="1:11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264"/>
      <c r="K274" s="20"/>
    </row>
    <row r="275" spans="1:11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264"/>
      <c r="K275" s="20"/>
    </row>
    <row r="276" spans="1:11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264"/>
      <c r="K276" s="20"/>
    </row>
    <row r="277" spans="1:11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264"/>
      <c r="K277" s="20"/>
    </row>
    <row r="278" spans="1:11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264"/>
      <c r="K278" s="20"/>
    </row>
    <row r="279" spans="1:11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264"/>
      <c r="K279" s="20"/>
    </row>
    <row r="280" spans="1:11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264"/>
      <c r="K280" s="20"/>
    </row>
    <row r="281" spans="1:11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264"/>
      <c r="K281" s="20"/>
    </row>
    <row r="282" spans="1:11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264"/>
      <c r="K282" s="20"/>
    </row>
    <row r="283" spans="1:11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264"/>
      <c r="K283" s="20"/>
    </row>
    <row r="284" spans="1:11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264"/>
      <c r="K284" s="20"/>
    </row>
    <row r="285" spans="1:11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264"/>
      <c r="K285" s="20"/>
    </row>
    <row r="286" spans="1:11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264"/>
      <c r="K286" s="20"/>
    </row>
    <row r="287" spans="1:11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264"/>
      <c r="K287" s="20"/>
    </row>
    <row r="288" spans="1:11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264"/>
      <c r="K288" s="20"/>
    </row>
    <row r="289" spans="1:11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264"/>
      <c r="K289" s="20"/>
    </row>
    <row r="290" spans="1:11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264"/>
      <c r="K290" s="20"/>
    </row>
    <row r="291" spans="1:11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264"/>
      <c r="K291" s="20"/>
    </row>
    <row r="292" spans="1:11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264"/>
      <c r="K292" s="20"/>
    </row>
    <row r="293" spans="1:11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264"/>
      <c r="K293" s="20"/>
    </row>
    <row r="294" spans="1:11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264"/>
      <c r="K294" s="20"/>
    </row>
    <row r="295" spans="1:11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264"/>
      <c r="K295" s="20"/>
    </row>
    <row r="296" spans="1:11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264"/>
      <c r="K296" s="20"/>
    </row>
    <row r="297" spans="1:11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264"/>
      <c r="K297" s="20"/>
    </row>
    <row r="298" spans="1:11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264"/>
      <c r="K298" s="20"/>
    </row>
    <row r="299" spans="1:11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264"/>
      <c r="K299" s="20"/>
    </row>
    <row r="300" spans="1:11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264"/>
      <c r="K300" s="20"/>
    </row>
    <row r="301" spans="1:11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264"/>
      <c r="K301" s="20"/>
    </row>
    <row r="302" spans="1:11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264"/>
      <c r="K302" s="20"/>
    </row>
    <row r="303" spans="1:11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264"/>
      <c r="K303" s="20"/>
    </row>
    <row r="304" spans="1:11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264"/>
      <c r="K304" s="20"/>
    </row>
    <row r="305" spans="1:11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264"/>
      <c r="K305" s="20"/>
    </row>
    <row r="306" spans="1:11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264"/>
      <c r="K306" s="20"/>
    </row>
    <row r="307" spans="1:11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264"/>
      <c r="K307" s="20"/>
    </row>
    <row r="308" spans="1:11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264"/>
      <c r="K308" s="20"/>
    </row>
    <row r="309" spans="1:11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264"/>
      <c r="K309" s="20"/>
    </row>
    <row r="310" spans="1:11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264"/>
      <c r="K310" s="20"/>
    </row>
    <row r="311" spans="1:11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264"/>
      <c r="K311" s="20"/>
    </row>
    <row r="312" spans="1:11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264"/>
      <c r="K312" s="20"/>
    </row>
    <row r="313" spans="1:11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264"/>
      <c r="K313" s="20"/>
    </row>
    <row r="314" spans="1:11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264"/>
      <c r="K314" s="20"/>
    </row>
    <row r="315" spans="1:11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264"/>
      <c r="K315" s="20"/>
    </row>
    <row r="316" spans="1:11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264"/>
      <c r="K316" s="20"/>
    </row>
    <row r="317" spans="1:11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264"/>
      <c r="K317" s="20"/>
    </row>
    <row r="318" spans="1:11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264"/>
      <c r="K318" s="20"/>
    </row>
    <row r="319" spans="1:11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264"/>
      <c r="K319" s="20"/>
    </row>
    <row r="320" spans="1:11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264"/>
      <c r="K320" s="20"/>
    </row>
    <row r="321" spans="1:11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264"/>
      <c r="K321" s="20"/>
    </row>
    <row r="322" spans="1:11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264"/>
      <c r="K322" s="20"/>
    </row>
    <row r="323" spans="1:11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264"/>
      <c r="K323" s="20"/>
    </row>
    <row r="324" spans="1:11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264"/>
      <c r="K324" s="20"/>
    </row>
    <row r="325" spans="1:11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264"/>
      <c r="K325" s="20"/>
    </row>
    <row r="326" spans="1:11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264"/>
      <c r="K326" s="20"/>
    </row>
    <row r="327" spans="1:11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264"/>
      <c r="K327" s="20"/>
    </row>
    <row r="328" spans="1:11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264"/>
      <c r="K328" s="20"/>
    </row>
    <row r="329" spans="1:11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264"/>
      <c r="K329" s="20"/>
    </row>
    <row r="330" spans="1:11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264"/>
      <c r="K330" s="20"/>
    </row>
    <row r="331" spans="1:11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264"/>
      <c r="K331" s="20"/>
    </row>
    <row r="332" spans="1:11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264"/>
      <c r="K332" s="20"/>
    </row>
    <row r="333" spans="1:11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264"/>
      <c r="K333" s="20"/>
    </row>
    <row r="334" spans="1:11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264"/>
      <c r="K334" s="20"/>
    </row>
    <row r="335" spans="1:11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264"/>
      <c r="K335" s="20"/>
    </row>
    <row r="336" spans="1:11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264"/>
      <c r="K336" s="20"/>
    </row>
    <row r="337" spans="1:11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264"/>
      <c r="K337" s="20"/>
    </row>
    <row r="338" spans="1:11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264"/>
      <c r="K338" s="20"/>
    </row>
    <row r="339" spans="1:11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264"/>
      <c r="K339" s="20"/>
    </row>
    <row r="340" spans="1:11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264"/>
      <c r="K340" s="20"/>
    </row>
    <row r="341" spans="1:11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264"/>
      <c r="K341" s="20"/>
    </row>
    <row r="342" spans="1:11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264"/>
      <c r="K342" s="20"/>
    </row>
    <row r="343" spans="1:11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264"/>
      <c r="K343" s="20"/>
    </row>
    <row r="344" spans="1:11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264"/>
      <c r="K344" s="20"/>
    </row>
    <row r="345" spans="1:11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264"/>
      <c r="K345" s="20"/>
    </row>
    <row r="346" spans="1:11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264"/>
      <c r="K346" s="20"/>
    </row>
    <row r="347" spans="1:11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264"/>
      <c r="K347" s="20"/>
    </row>
    <row r="348" spans="1:11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264"/>
      <c r="K348" s="20"/>
    </row>
    <row r="349" spans="1:11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264"/>
      <c r="K349" s="20"/>
    </row>
    <row r="350" spans="1:11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264"/>
      <c r="K350" s="20"/>
    </row>
    <row r="351" spans="1:11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264"/>
      <c r="K351" s="20"/>
    </row>
    <row r="352" spans="1:11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264"/>
      <c r="K352" s="20"/>
    </row>
    <row r="353" spans="1:11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264"/>
      <c r="K353" s="20"/>
    </row>
    <row r="354" spans="1:11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264"/>
      <c r="K354" s="20"/>
    </row>
    <row r="355" spans="1:11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264"/>
      <c r="K355" s="20"/>
    </row>
    <row r="356" spans="1:11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264"/>
      <c r="K356" s="20"/>
    </row>
    <row r="357" spans="1:11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264"/>
      <c r="K357" s="20"/>
    </row>
    <row r="358" spans="1:11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264"/>
      <c r="K358" s="20"/>
    </row>
    <row r="359" spans="1:11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264"/>
      <c r="K359" s="20"/>
    </row>
    <row r="360" spans="1:11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264"/>
      <c r="K360" s="20"/>
    </row>
    <row r="361" spans="1:11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264"/>
      <c r="K361" s="20"/>
    </row>
    <row r="362" spans="1:11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264"/>
      <c r="K362" s="20"/>
    </row>
    <row r="363" spans="1:11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264"/>
      <c r="K363" s="20"/>
    </row>
    <row r="364" spans="1:11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264"/>
      <c r="K364" s="20"/>
    </row>
    <row r="365" spans="1:11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264"/>
      <c r="K365" s="20"/>
    </row>
    <row r="366" spans="1:11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264"/>
      <c r="K366" s="20"/>
    </row>
    <row r="367" spans="1:11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264"/>
      <c r="K367" s="20"/>
    </row>
    <row r="368" spans="1:11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264"/>
      <c r="K368" s="20"/>
    </row>
    <row r="369" spans="1:11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264"/>
      <c r="K369" s="20"/>
    </row>
    <row r="370" spans="1:11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264"/>
      <c r="K370" s="20"/>
    </row>
    <row r="371" spans="1:11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264"/>
      <c r="K371" s="20"/>
    </row>
    <row r="372" spans="1:11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264"/>
      <c r="K372" s="20"/>
    </row>
    <row r="373" spans="1:11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264"/>
      <c r="K373" s="20"/>
    </row>
    <row r="374" spans="1:11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264"/>
      <c r="K374" s="20"/>
    </row>
    <row r="375" spans="1:11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264"/>
      <c r="K375" s="20"/>
    </row>
    <row r="376" spans="1:11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264"/>
      <c r="K376" s="20"/>
    </row>
    <row r="377" spans="1:11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264"/>
      <c r="K377" s="20"/>
    </row>
    <row r="378" spans="1:11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264"/>
      <c r="K378" s="20"/>
    </row>
    <row r="379" spans="1:11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264"/>
      <c r="K379" s="20"/>
    </row>
    <row r="380" spans="1:11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264"/>
      <c r="K380" s="20"/>
    </row>
    <row r="381" spans="1:11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264"/>
      <c r="K381" s="20"/>
    </row>
    <row r="382" spans="1:11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264"/>
      <c r="K382" s="20"/>
    </row>
    <row r="383" spans="1:11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264"/>
      <c r="K383" s="20"/>
    </row>
    <row r="384" spans="1:11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264"/>
      <c r="K384" s="20"/>
    </row>
    <row r="385" spans="1:11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264"/>
      <c r="K385" s="20"/>
    </row>
    <row r="386" spans="1:11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264"/>
      <c r="K386" s="20"/>
    </row>
    <row r="387" spans="1:11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264"/>
      <c r="K387" s="20"/>
    </row>
    <row r="388" spans="1:11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264"/>
      <c r="K388" s="20"/>
    </row>
    <row r="389" spans="1:11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264"/>
      <c r="K389" s="20"/>
    </row>
    <row r="390" spans="1:11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264"/>
      <c r="K390" s="20"/>
    </row>
    <row r="391" spans="1:11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264"/>
      <c r="K391" s="20"/>
    </row>
    <row r="392" spans="1:11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264"/>
      <c r="K392" s="20"/>
    </row>
    <row r="393" spans="1:11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264"/>
      <c r="K393" s="20"/>
    </row>
    <row r="394" spans="1:11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264"/>
      <c r="K394" s="20"/>
    </row>
    <row r="395" spans="1:11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264"/>
      <c r="K395" s="20"/>
    </row>
    <row r="396" spans="1:11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264"/>
      <c r="K396" s="20"/>
    </row>
    <row r="397" spans="1:11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264"/>
      <c r="K397" s="20"/>
    </row>
    <row r="398" spans="1:11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264"/>
      <c r="K398" s="20"/>
    </row>
    <row r="399" spans="1:11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264"/>
      <c r="K399" s="20"/>
    </row>
    <row r="400" spans="1:11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264"/>
      <c r="K400" s="20"/>
    </row>
    <row r="401" spans="1:11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264"/>
      <c r="K401" s="20"/>
    </row>
    <row r="402" spans="1:11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264"/>
      <c r="K402" s="20"/>
    </row>
    <row r="403" spans="1:11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264"/>
      <c r="K403" s="20"/>
    </row>
    <row r="404" spans="1:11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264"/>
      <c r="K404" s="20"/>
    </row>
    <row r="405" spans="1:11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264"/>
      <c r="K405" s="20"/>
    </row>
    <row r="406" spans="1:11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264"/>
      <c r="K406" s="20"/>
    </row>
    <row r="407" spans="1:11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264"/>
      <c r="K407" s="20"/>
    </row>
    <row r="408" spans="1:11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264"/>
      <c r="K408" s="20"/>
    </row>
    <row r="409" spans="1:11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264"/>
      <c r="K409" s="20"/>
    </row>
    <row r="410" spans="1:11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264"/>
      <c r="K410" s="20"/>
    </row>
    <row r="411" spans="1:11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264"/>
      <c r="K411" s="20"/>
    </row>
    <row r="412" spans="1:11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264"/>
      <c r="K412" s="20"/>
    </row>
    <row r="413" spans="1:11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264"/>
      <c r="K413" s="20"/>
    </row>
    <row r="414" spans="1:11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264"/>
      <c r="K414" s="20"/>
    </row>
    <row r="415" spans="1:11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264"/>
      <c r="K415" s="20"/>
    </row>
    <row r="416" spans="1:11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264"/>
      <c r="K416" s="20"/>
    </row>
    <row r="417" spans="1:11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264"/>
      <c r="K417" s="20"/>
    </row>
    <row r="418" spans="1:11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264"/>
      <c r="K418" s="20"/>
    </row>
    <row r="419" spans="1:11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264"/>
      <c r="K419" s="20"/>
    </row>
    <row r="420" spans="1:11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264"/>
      <c r="K420" s="20"/>
    </row>
    <row r="421" spans="1:11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264"/>
      <c r="K421" s="20"/>
    </row>
    <row r="422" spans="1:11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264"/>
      <c r="K422" s="20"/>
    </row>
    <row r="423" spans="1:11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264"/>
      <c r="K423" s="20"/>
    </row>
    <row r="424" spans="1:11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264"/>
      <c r="K424" s="20"/>
    </row>
    <row r="425" spans="1:11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264"/>
      <c r="K425" s="20"/>
    </row>
    <row r="426" spans="1:11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264"/>
      <c r="K426" s="20"/>
    </row>
    <row r="427" spans="1:11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264"/>
      <c r="K427" s="20"/>
    </row>
    <row r="428" spans="1:11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264"/>
      <c r="K428" s="20"/>
    </row>
    <row r="429" spans="1:11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264"/>
      <c r="K429" s="20"/>
    </row>
    <row r="430" spans="1:11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264"/>
      <c r="K430" s="20"/>
    </row>
    <row r="431" spans="1:11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264"/>
      <c r="K431" s="20"/>
    </row>
    <row r="432" spans="1:11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264"/>
      <c r="K432" s="20"/>
    </row>
    <row r="433" spans="1:11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264"/>
      <c r="K433" s="20"/>
    </row>
    <row r="434" spans="1:11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264"/>
      <c r="K434" s="20"/>
    </row>
    <row r="435" spans="1:11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264"/>
      <c r="K435" s="20"/>
    </row>
    <row r="436" spans="1:11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264"/>
      <c r="K436" s="20"/>
    </row>
    <row r="437" spans="1:11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264"/>
      <c r="K437" s="20"/>
    </row>
    <row r="438" spans="1:11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264"/>
      <c r="K438" s="20"/>
    </row>
    <row r="439" spans="1:11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264"/>
      <c r="K439" s="20"/>
    </row>
    <row r="440" spans="1:11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264"/>
      <c r="K440" s="20"/>
    </row>
    <row r="441" spans="1:11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264"/>
      <c r="K441" s="20"/>
    </row>
    <row r="442" spans="1:11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264"/>
      <c r="K442" s="20"/>
    </row>
    <row r="443" spans="1:11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264"/>
      <c r="K443" s="20"/>
    </row>
    <row r="444" spans="1:11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264"/>
      <c r="K444" s="20"/>
    </row>
    <row r="445" spans="1:11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264"/>
      <c r="K445" s="20"/>
    </row>
    <row r="446" spans="1:11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264"/>
      <c r="K446" s="20"/>
    </row>
    <row r="447" spans="1:11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264"/>
      <c r="K447" s="20"/>
    </row>
    <row r="448" spans="1:11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264"/>
      <c r="K448" s="20"/>
    </row>
    <row r="449" spans="1:11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264"/>
      <c r="K449" s="20"/>
    </row>
    <row r="450" spans="1:11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264"/>
      <c r="K450" s="20"/>
    </row>
    <row r="451" spans="1:11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264"/>
      <c r="K451" s="20"/>
    </row>
    <row r="452" spans="1:11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264"/>
      <c r="K452" s="20"/>
    </row>
    <row r="453" spans="1:11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264"/>
      <c r="K453" s="20"/>
    </row>
    <row r="454" spans="1:11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264"/>
      <c r="K454" s="20"/>
    </row>
    <row r="455" spans="1:11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264"/>
      <c r="K455" s="20"/>
    </row>
    <row r="456" spans="1:11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264"/>
      <c r="K456" s="20"/>
    </row>
    <row r="457" spans="1:11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264"/>
      <c r="K457" s="20"/>
    </row>
    <row r="458" spans="1:11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264"/>
      <c r="K458" s="20"/>
    </row>
    <row r="459" spans="1:11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264"/>
      <c r="K459" s="20"/>
    </row>
    <row r="460" spans="1:11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264"/>
      <c r="K460" s="20"/>
    </row>
    <row r="461" spans="1:11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264"/>
      <c r="K461" s="20"/>
    </row>
    <row r="462" spans="1:11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264"/>
      <c r="K462" s="20"/>
    </row>
    <row r="463" spans="1:11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264"/>
      <c r="K463" s="20"/>
    </row>
    <row r="464" spans="1:11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264"/>
      <c r="K464" s="20"/>
    </row>
    <row r="465" spans="1:11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264"/>
      <c r="K465" s="20"/>
    </row>
    <row r="466" spans="1:11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264"/>
      <c r="K466" s="20"/>
    </row>
    <row r="467" spans="1:11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264"/>
      <c r="K467" s="20"/>
    </row>
    <row r="468" spans="1:11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264"/>
      <c r="K468" s="20"/>
    </row>
    <row r="469" spans="1:11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264"/>
      <c r="K469" s="20"/>
    </row>
    <row r="470" spans="1:11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264"/>
      <c r="K470" s="20"/>
    </row>
    <row r="471" spans="1:11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264"/>
      <c r="K471" s="20"/>
    </row>
    <row r="472" spans="1:11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264"/>
      <c r="K472" s="20"/>
    </row>
    <row r="473" spans="1:11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264"/>
      <c r="K473" s="20"/>
    </row>
    <row r="474" spans="1:11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264"/>
      <c r="K474" s="20"/>
    </row>
    <row r="475" spans="1:11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264"/>
      <c r="K475" s="20"/>
    </row>
    <row r="476" spans="1:11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264"/>
      <c r="K476" s="20"/>
    </row>
    <row r="477" spans="1:11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264"/>
      <c r="K477" s="20"/>
    </row>
    <row r="478" spans="1:11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264"/>
      <c r="K478" s="20"/>
    </row>
    <row r="479" spans="1:11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264"/>
      <c r="K479" s="20"/>
    </row>
    <row r="480" spans="1:11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264"/>
      <c r="K480" s="20"/>
    </row>
    <row r="481" spans="1:11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264"/>
      <c r="K481" s="20"/>
    </row>
    <row r="482" spans="1:11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264"/>
      <c r="K482" s="20"/>
    </row>
    <row r="483" spans="1:11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264"/>
      <c r="K483" s="20"/>
    </row>
    <row r="484" spans="1:11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264"/>
      <c r="K484" s="20"/>
    </row>
    <row r="485" spans="1:11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264"/>
      <c r="K485" s="20"/>
    </row>
    <row r="486" spans="1:11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264"/>
      <c r="K486" s="20"/>
    </row>
    <row r="487" spans="1:11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264"/>
      <c r="K487" s="20"/>
    </row>
    <row r="488" spans="1:11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264"/>
      <c r="K488" s="20"/>
    </row>
    <row r="489" spans="1:11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264"/>
      <c r="K489" s="20"/>
    </row>
    <row r="490" spans="1:11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264"/>
      <c r="K490" s="20"/>
    </row>
    <row r="491" spans="1:11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264"/>
      <c r="K491" s="20"/>
    </row>
    <row r="492" spans="1:11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264"/>
      <c r="K492" s="20"/>
    </row>
    <row r="493" spans="1:11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264"/>
      <c r="K493" s="20"/>
    </row>
    <row r="494" spans="1:11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264"/>
      <c r="K494" s="20"/>
    </row>
    <row r="495" spans="1:11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264"/>
      <c r="K495" s="20"/>
    </row>
    <row r="496" spans="1:11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264"/>
      <c r="K496" s="20"/>
    </row>
    <row r="497" spans="1:11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264"/>
      <c r="K497" s="20"/>
    </row>
    <row r="498" spans="1:11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264"/>
      <c r="K498" s="20"/>
    </row>
    <row r="499" spans="1:11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264"/>
      <c r="K499" s="20"/>
    </row>
    <row r="500" spans="1:11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264"/>
      <c r="K500" s="20"/>
    </row>
    <row r="501" spans="1:11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264"/>
      <c r="K501" s="20"/>
    </row>
    <row r="502" spans="1:11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264"/>
      <c r="K502" s="20"/>
    </row>
    <row r="503" spans="1:11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264"/>
      <c r="K503" s="20"/>
    </row>
    <row r="504" spans="1:11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264"/>
      <c r="K504" s="20"/>
    </row>
    <row r="505" spans="1:11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264"/>
      <c r="K505" s="20"/>
    </row>
    <row r="506" spans="1:11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264"/>
      <c r="K506" s="20"/>
    </row>
    <row r="507" spans="1:11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264"/>
      <c r="K507" s="20"/>
    </row>
    <row r="508" spans="1:11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264"/>
      <c r="K508" s="20"/>
    </row>
    <row r="509" spans="1:11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264"/>
      <c r="K509" s="20"/>
    </row>
    <row r="510" spans="1:11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264"/>
      <c r="K510" s="20"/>
    </row>
    <row r="511" spans="1:11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264"/>
      <c r="K511" s="20"/>
    </row>
    <row r="512" spans="1:11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264"/>
      <c r="K512" s="20"/>
    </row>
    <row r="513" spans="1:11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264"/>
      <c r="K513" s="20"/>
    </row>
    <row r="514" spans="1:11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264"/>
      <c r="K514" s="20"/>
    </row>
    <row r="515" spans="1:11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264"/>
      <c r="K515" s="20"/>
    </row>
    <row r="516" spans="1:11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264"/>
      <c r="K516" s="20"/>
    </row>
    <row r="517" spans="1:11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264"/>
      <c r="K517" s="20"/>
    </row>
    <row r="518" spans="1:11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264"/>
      <c r="K518" s="20"/>
    </row>
    <row r="519" spans="1:11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264"/>
      <c r="K519" s="20"/>
    </row>
    <row r="520" spans="1:11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264"/>
      <c r="K520" s="20"/>
    </row>
    <row r="521" spans="1:11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264"/>
      <c r="K521" s="20"/>
    </row>
    <row r="522" spans="1:11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264"/>
      <c r="K522" s="20"/>
    </row>
    <row r="523" spans="1:11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264"/>
      <c r="K523" s="20"/>
    </row>
    <row r="524" spans="1:11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264"/>
      <c r="K524" s="20"/>
    </row>
    <row r="525" spans="1:11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264"/>
      <c r="K525" s="20"/>
    </row>
    <row r="526" spans="1:11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264"/>
      <c r="K526" s="20"/>
    </row>
    <row r="527" spans="1:11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264"/>
      <c r="K527" s="20"/>
    </row>
    <row r="528" spans="1:11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264"/>
      <c r="K528" s="20"/>
    </row>
    <row r="529" spans="1:11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264"/>
      <c r="K529" s="20"/>
    </row>
    <row r="530" spans="1:11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264"/>
      <c r="K530" s="20"/>
    </row>
    <row r="531" spans="1:11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264"/>
      <c r="K531" s="20"/>
    </row>
    <row r="532" spans="1:11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264"/>
      <c r="K532" s="20"/>
    </row>
    <row r="533" spans="1:11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264"/>
      <c r="K533" s="20"/>
    </row>
    <row r="534" spans="1:11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264"/>
      <c r="K534" s="20"/>
    </row>
    <row r="535" spans="1:11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264"/>
      <c r="K535" s="20"/>
    </row>
    <row r="536" spans="1:11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264"/>
      <c r="K536" s="20"/>
    </row>
    <row r="537" spans="1:11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264"/>
      <c r="K537" s="20"/>
    </row>
    <row r="538" spans="1:11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264"/>
      <c r="K538" s="20"/>
    </row>
    <row r="539" spans="1:11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264"/>
      <c r="K539" s="20"/>
    </row>
    <row r="540" spans="1:11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264"/>
      <c r="K540" s="20"/>
    </row>
    <row r="541" spans="1:11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264"/>
      <c r="K541" s="20"/>
    </row>
    <row r="542" spans="1:11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264"/>
      <c r="K542" s="20"/>
    </row>
    <row r="543" spans="1:11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264"/>
      <c r="K543" s="20"/>
    </row>
    <row r="544" spans="1:11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264"/>
      <c r="K544" s="20"/>
    </row>
    <row r="545" spans="1:11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264"/>
      <c r="K545" s="20"/>
    </row>
    <row r="546" spans="1:11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264"/>
      <c r="K546" s="20"/>
    </row>
    <row r="547" spans="1:11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264"/>
      <c r="K547" s="20"/>
    </row>
    <row r="548" spans="1:11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264"/>
      <c r="K548" s="20"/>
    </row>
    <row r="549" spans="1:11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264"/>
      <c r="K549" s="20"/>
    </row>
    <row r="550" spans="1:11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264"/>
      <c r="K550" s="20"/>
    </row>
    <row r="551" spans="1:11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264"/>
      <c r="K551" s="20"/>
    </row>
    <row r="552" spans="1:11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264"/>
      <c r="K552" s="20"/>
    </row>
    <row r="553" spans="1:11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264"/>
      <c r="K553" s="20"/>
    </row>
    <row r="554" spans="1:11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264"/>
      <c r="K554" s="20"/>
    </row>
    <row r="555" spans="1:11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264"/>
      <c r="K555" s="20"/>
    </row>
    <row r="556" spans="1:11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264"/>
      <c r="K556" s="20"/>
    </row>
    <row r="557" spans="1:11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264"/>
      <c r="K557" s="20"/>
    </row>
    <row r="558" spans="1:11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264"/>
      <c r="K558" s="20"/>
    </row>
    <row r="559" spans="1:11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264"/>
      <c r="K559" s="20"/>
    </row>
    <row r="560" spans="1:11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264"/>
      <c r="K560" s="20"/>
    </row>
    <row r="561" spans="1:11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264"/>
      <c r="K561" s="20"/>
    </row>
    <row r="562" spans="1:11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264"/>
      <c r="K562" s="20"/>
    </row>
    <row r="563" spans="1:11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264"/>
      <c r="K563" s="20"/>
    </row>
    <row r="564" spans="1:11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264"/>
      <c r="K564" s="20"/>
    </row>
    <row r="565" spans="1:11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264"/>
      <c r="K565" s="20"/>
    </row>
    <row r="566" spans="1:11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264"/>
      <c r="K566" s="20"/>
    </row>
    <row r="567" spans="1:11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264"/>
      <c r="K567" s="20"/>
    </row>
    <row r="568" spans="1:11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264"/>
      <c r="K568" s="20"/>
    </row>
    <row r="569" spans="1:11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264"/>
      <c r="K569" s="20"/>
    </row>
    <row r="570" spans="1:11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264"/>
      <c r="K570" s="20"/>
    </row>
    <row r="571" spans="1:11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264"/>
      <c r="K571" s="20"/>
    </row>
    <row r="572" spans="1:11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264"/>
      <c r="K572" s="20"/>
    </row>
    <row r="573" spans="1:11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264"/>
      <c r="K573" s="20"/>
    </row>
    <row r="574" spans="1:11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264"/>
      <c r="K574" s="20"/>
    </row>
  </sheetData>
  <mergeCells count="10">
    <mergeCell ref="F1:J1"/>
    <mergeCell ref="J4:J5"/>
    <mergeCell ref="A4:A5"/>
    <mergeCell ref="B4:B5"/>
    <mergeCell ref="C4:C5"/>
    <mergeCell ref="D4:D5"/>
    <mergeCell ref="A2:J2"/>
    <mergeCell ref="A3:J3"/>
    <mergeCell ref="E4:E5"/>
    <mergeCell ref="F4:I4"/>
  </mergeCells>
  <pageMargins left="0.55118110236220474" right="0.27559055118110237" top="0.35433070866141736" bottom="0.35433070866141736" header="0" footer="0"/>
  <pageSetup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109375" style="220" customWidth="1"/>
    <col min="2" max="2" width="29.33203125" style="220" customWidth="1"/>
    <col min="3" max="3" width="9.21875" style="220" customWidth="1"/>
    <col min="4" max="4" width="17.88671875" style="220" customWidth="1"/>
    <col min="5" max="5" width="18.21875" style="220" customWidth="1"/>
    <col min="6" max="9" width="12.6640625" style="220" customWidth="1"/>
    <col min="10" max="10" width="8.88671875" style="17" customWidth="1"/>
    <col min="11" max="11" width="21.664062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151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'VĂN SANG(7)'!A5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9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44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250</v>
      </c>
      <c r="M8" s="19"/>
      <c r="N8" s="19"/>
    </row>
    <row r="9" spans="1:18" s="23" customFormat="1" ht="31.15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47.019999999999996</v>
      </c>
      <c r="E9" s="181">
        <f t="shared" ref="E9:G9" si="0">E13+E28+E37+E43+E46+E67</f>
        <v>65.540000000000006</v>
      </c>
      <c r="F9" s="181">
        <f t="shared" si="0"/>
        <v>51.01</v>
      </c>
      <c r="G9" s="181">
        <f t="shared" si="0"/>
        <v>50.809999999999995</v>
      </c>
      <c r="H9" s="181">
        <f>F9/E9*100</f>
        <v>77.830332621299959</v>
      </c>
      <c r="I9" s="181"/>
      <c r="J9" s="103"/>
      <c r="K9" s="103"/>
      <c r="L9" s="103"/>
      <c r="M9" s="103"/>
      <c r="N9" s="103"/>
    </row>
    <row r="10" spans="1:18" s="23" customFormat="1" ht="31.15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8.25</v>
      </c>
      <c r="F10" s="181">
        <f t="shared" si="1"/>
        <v>2.38</v>
      </c>
      <c r="G10" s="181">
        <f t="shared" si="1"/>
        <v>2.38</v>
      </c>
      <c r="H10" s="181">
        <f t="shared" ref="H10:H73" si="2">F10/E10*100</f>
        <v>28.848484848484844</v>
      </c>
      <c r="I10" s="181"/>
      <c r="J10" s="103"/>
      <c r="K10" s="103"/>
      <c r="L10" s="103"/>
      <c r="M10" s="103"/>
      <c r="N10" s="103"/>
    </row>
    <row r="11" spans="1:18" s="23" customFormat="1" ht="31.15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22.782875000000001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18" s="23" customFormat="1" ht="31.15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19.092874999999999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03"/>
      <c r="M12" s="103"/>
      <c r="N12" s="103"/>
    </row>
    <row r="13" spans="1:18" ht="31.15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7.25</v>
      </c>
      <c r="F13" s="181">
        <f t="shared" si="5"/>
        <v>1.38</v>
      </c>
      <c r="G13" s="181">
        <f t="shared" si="5"/>
        <v>1.38</v>
      </c>
      <c r="H13" s="181">
        <f t="shared" si="2"/>
        <v>19.034482758620687</v>
      </c>
      <c r="I13" s="181"/>
      <c r="J13" s="19"/>
      <c r="K13" s="124"/>
      <c r="L13" s="124"/>
      <c r="M13" s="124"/>
      <c r="N13" s="19"/>
    </row>
    <row r="14" spans="1:18" ht="31.15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26.335000000000001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8" ht="31.15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19.092874999999999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18" ht="31.15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1.38</v>
      </c>
      <c r="F16" s="181">
        <v>1.38</v>
      </c>
      <c r="G16" s="181">
        <v>1.38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2" ht="31.15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2" ht="31.15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4.6229999999999993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2" ht="31.15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5.87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113"/>
      <c r="O19" s="25"/>
      <c r="P19" s="25"/>
      <c r="Q19" s="25"/>
      <c r="R19" s="25"/>
      <c r="S19" s="25"/>
      <c r="T19" s="25"/>
      <c r="U19" s="25"/>
      <c r="V19" s="25"/>
    </row>
    <row r="20" spans="1:22" ht="31.15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19.170000000000002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113"/>
      <c r="O20" s="25"/>
      <c r="P20" s="25"/>
      <c r="Q20" s="25"/>
      <c r="R20" s="25"/>
      <c r="S20" s="25"/>
      <c r="T20" s="25"/>
      <c r="U20" s="25"/>
      <c r="V20" s="25"/>
    </row>
    <row r="21" spans="1:22" ht="31.15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11.252790000000001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113"/>
      <c r="O21" s="25"/>
      <c r="P21" s="25"/>
      <c r="Q21" s="25"/>
      <c r="R21" s="25"/>
      <c r="S21" s="25"/>
      <c r="T21" s="25"/>
      <c r="U21" s="25"/>
      <c r="V21" s="25"/>
    </row>
    <row r="22" spans="1:22" ht="31.15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5.87</v>
      </c>
      <c r="F22" s="186">
        <v>0</v>
      </c>
      <c r="G22" s="181">
        <v>0</v>
      </c>
      <c r="H22" s="181">
        <f t="shared" si="2"/>
        <v>0</v>
      </c>
      <c r="I22" s="186"/>
      <c r="J22" s="13"/>
      <c r="K22" s="13"/>
      <c r="L22" s="13"/>
      <c r="M22" s="13"/>
      <c r="N22" s="37"/>
      <c r="O22" s="38"/>
      <c r="P22" s="38"/>
      <c r="Q22" s="38"/>
      <c r="R22" s="38"/>
      <c r="S22" s="38"/>
      <c r="T22" s="38"/>
      <c r="U22" s="38"/>
      <c r="V22" s="25"/>
    </row>
    <row r="23" spans="1:22" ht="31.15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37"/>
      <c r="O23" s="38"/>
      <c r="P23" s="38"/>
      <c r="Q23" s="38"/>
      <c r="R23" s="38"/>
      <c r="S23" s="38"/>
      <c r="T23" s="38"/>
      <c r="U23" s="38"/>
      <c r="V23" s="25"/>
    </row>
    <row r="24" spans="1:22" ht="31.15" customHeight="1" x14ac:dyDescent="0.25">
      <c r="A24" s="269"/>
      <c r="B24" s="227" t="s">
        <v>141</v>
      </c>
      <c r="C24" s="4" t="s">
        <v>15</v>
      </c>
      <c r="D24" s="186"/>
      <c r="E24" s="186"/>
      <c r="F24" s="186"/>
      <c r="G24" s="186"/>
      <c r="H24" s="181"/>
      <c r="I24" s="186"/>
      <c r="J24" s="13"/>
      <c r="K24" s="13"/>
      <c r="L24" s="13"/>
      <c r="M24" s="13"/>
      <c r="N24" s="37"/>
      <c r="O24" s="38"/>
      <c r="P24" s="38"/>
      <c r="Q24" s="38"/>
      <c r="R24" s="38"/>
      <c r="S24" s="38"/>
      <c r="T24" s="38"/>
      <c r="U24" s="38"/>
      <c r="V24" s="25"/>
    </row>
    <row r="25" spans="1:22" ht="31.15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6">
        <v>0</v>
      </c>
      <c r="G25" s="186"/>
      <c r="H25" s="181"/>
      <c r="I25" s="186"/>
      <c r="J25" s="13"/>
      <c r="K25" s="13"/>
      <c r="L25" s="13"/>
      <c r="M25" s="13"/>
      <c r="N25" s="13"/>
      <c r="O25" s="14"/>
      <c r="P25" s="14"/>
      <c r="Q25" s="15"/>
      <c r="R25" s="15"/>
      <c r="S25" s="15"/>
      <c r="T25" s="15"/>
      <c r="U25" s="15"/>
    </row>
    <row r="26" spans="1:22" ht="31.15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0</v>
      </c>
      <c r="F26" s="186"/>
      <c r="G26" s="186"/>
      <c r="H26" s="181"/>
      <c r="I26" s="186"/>
      <c r="J26" s="13"/>
      <c r="K26" s="13"/>
      <c r="L26" s="13"/>
      <c r="M26" s="13"/>
      <c r="N26" s="13"/>
      <c r="O26" s="14"/>
      <c r="P26" s="14"/>
      <c r="Q26" s="15"/>
      <c r="R26" s="15"/>
      <c r="S26" s="15"/>
      <c r="T26" s="15"/>
      <c r="U26" s="15"/>
    </row>
    <row r="27" spans="1:22" ht="31.15" customHeight="1" x14ac:dyDescent="0.25">
      <c r="A27" s="269"/>
      <c r="B27" s="227" t="s">
        <v>141</v>
      </c>
      <c r="C27" s="4" t="s">
        <v>15</v>
      </c>
      <c r="D27" s="186"/>
      <c r="E27" s="186"/>
      <c r="F27" s="186"/>
      <c r="G27" s="186"/>
      <c r="H27" s="181"/>
      <c r="I27" s="186"/>
      <c r="J27" s="13"/>
      <c r="K27" s="13"/>
      <c r="L27" s="13"/>
      <c r="M27" s="13"/>
      <c r="N27" s="13"/>
      <c r="O27" s="14"/>
      <c r="P27" s="14"/>
      <c r="Q27" s="15"/>
      <c r="R27" s="15"/>
      <c r="S27" s="15"/>
      <c r="T27" s="15"/>
      <c r="U27" s="15"/>
    </row>
    <row r="28" spans="1:22" ht="31.15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2">D31+D34</f>
        <v>1</v>
      </c>
      <c r="E28" s="181">
        <f t="shared" si="12"/>
        <v>1</v>
      </c>
      <c r="F28" s="181">
        <f t="shared" si="12"/>
        <v>1</v>
      </c>
      <c r="G28" s="181">
        <f t="shared" si="12"/>
        <v>1</v>
      </c>
      <c r="H28" s="181">
        <f t="shared" si="2"/>
        <v>100</v>
      </c>
      <c r="I28" s="181"/>
      <c r="J28" s="13"/>
      <c r="K28" s="13"/>
      <c r="L28" s="13"/>
      <c r="M28" s="13"/>
      <c r="N28" s="13"/>
      <c r="O28" s="14"/>
      <c r="P28" s="14"/>
      <c r="Q28" s="15"/>
      <c r="R28" s="15"/>
      <c r="S28" s="15"/>
      <c r="T28" s="15"/>
      <c r="U28" s="15"/>
    </row>
    <row r="29" spans="1:22" ht="31.15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>E35</f>
        <v>36.9</v>
      </c>
      <c r="F29" s="186">
        <f t="shared" ref="F29:G29" si="13">F35</f>
        <v>0</v>
      </c>
      <c r="G29" s="186">
        <f t="shared" si="13"/>
        <v>0</v>
      </c>
      <c r="H29" s="181">
        <f t="shared" si="2"/>
        <v>0</v>
      </c>
      <c r="I29" s="186"/>
      <c r="J29" s="13"/>
      <c r="K29" s="13"/>
      <c r="L29" s="13"/>
      <c r="M29" s="13"/>
      <c r="N29" s="13"/>
      <c r="O29" s="14"/>
      <c r="P29" s="14"/>
      <c r="Q29" s="15"/>
      <c r="R29" s="15"/>
      <c r="S29" s="15"/>
      <c r="T29" s="15"/>
      <c r="U29" s="15"/>
    </row>
    <row r="30" spans="1:22" ht="31.15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4">E28*E29/10</f>
        <v>3.69</v>
      </c>
      <c r="F30" s="186">
        <f t="shared" si="14"/>
        <v>0</v>
      </c>
      <c r="G30" s="186">
        <f t="shared" si="14"/>
        <v>0</v>
      </c>
      <c r="H30" s="181">
        <f t="shared" si="2"/>
        <v>0</v>
      </c>
      <c r="I30" s="186"/>
      <c r="J30" s="13"/>
      <c r="K30" s="13"/>
      <c r="L30" s="13"/>
      <c r="M30" s="13"/>
      <c r="N30" s="13"/>
      <c r="O30" s="14"/>
      <c r="P30" s="14"/>
      <c r="Q30" s="15"/>
      <c r="R30" s="15"/>
      <c r="S30" s="15"/>
      <c r="T30" s="15"/>
      <c r="U30" s="15"/>
    </row>
    <row r="31" spans="1:22" ht="31.15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3"/>
      <c r="K31" s="94"/>
      <c r="L31" s="62"/>
      <c r="M31" s="62"/>
      <c r="N31" s="62"/>
      <c r="O31" s="62"/>
      <c r="P31" s="14"/>
      <c r="Q31" s="15"/>
      <c r="R31" s="15"/>
      <c r="S31" s="15"/>
      <c r="T31" s="15"/>
      <c r="U31" s="15"/>
    </row>
    <row r="32" spans="1:22" ht="31.15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3"/>
      <c r="K32" s="94"/>
      <c r="L32" s="62"/>
      <c r="M32" s="62"/>
      <c r="N32" s="62"/>
      <c r="O32" s="62"/>
      <c r="P32" s="14"/>
      <c r="Q32" s="15"/>
      <c r="R32" s="15"/>
      <c r="S32" s="15"/>
      <c r="T32" s="15"/>
      <c r="U32" s="15"/>
    </row>
    <row r="33" spans="1:25" ht="31.15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3"/>
      <c r="K33" s="94"/>
      <c r="L33" s="62"/>
      <c r="M33" s="62"/>
      <c r="N33" s="62"/>
      <c r="O33" s="62"/>
      <c r="P33" s="14"/>
      <c r="Q33" s="15"/>
      <c r="R33" s="15"/>
      <c r="S33" s="15"/>
      <c r="T33" s="15"/>
      <c r="U33" s="15"/>
    </row>
    <row r="34" spans="1:25" ht="31.15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203"/>
      <c r="J34" s="16"/>
      <c r="K34" s="29"/>
      <c r="L34" s="29"/>
      <c r="M34" s="29"/>
      <c r="N34" s="29"/>
      <c r="O34" s="29"/>
      <c r="P34" s="15"/>
      <c r="Q34" s="15"/>
      <c r="R34" s="15"/>
      <c r="S34" s="15"/>
      <c r="T34" s="15"/>
      <c r="U34" s="15"/>
    </row>
    <row r="35" spans="1:25" s="69" customFormat="1" ht="31.15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29"/>
      <c r="L35" s="126"/>
      <c r="M35" s="126"/>
      <c r="N35" s="126"/>
      <c r="O35" s="126"/>
      <c r="P35" s="76"/>
      <c r="Q35" s="76"/>
      <c r="R35" s="76"/>
      <c r="S35" s="76"/>
      <c r="T35" s="76"/>
      <c r="U35" s="76"/>
    </row>
    <row r="36" spans="1:25" s="69" customFormat="1" ht="31.15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5">E34*E35/10</f>
        <v>3.69</v>
      </c>
      <c r="F36" s="186">
        <f t="shared" si="15"/>
        <v>0</v>
      </c>
      <c r="G36" s="186">
        <f t="shared" si="15"/>
        <v>0</v>
      </c>
      <c r="H36" s="181">
        <f t="shared" si="2"/>
        <v>0</v>
      </c>
      <c r="I36" s="186"/>
      <c r="J36" s="16"/>
      <c r="K36" s="29"/>
      <c r="L36" s="126"/>
      <c r="M36" s="126"/>
      <c r="N36" s="126"/>
      <c r="O36" s="126"/>
      <c r="P36" s="76"/>
      <c r="Q36" s="76"/>
      <c r="R36" s="76"/>
      <c r="S36" s="76"/>
      <c r="T36" s="76"/>
      <c r="U36" s="76"/>
    </row>
    <row r="37" spans="1:25" ht="31.15" customHeight="1" x14ac:dyDescent="0.25">
      <c r="A37" s="2">
        <v>2</v>
      </c>
      <c r="B37" s="225" t="s">
        <v>28</v>
      </c>
      <c r="C37" s="2" t="s">
        <v>4</v>
      </c>
      <c r="D37" s="181">
        <v>16</v>
      </c>
      <c r="E37" s="181">
        <v>21.14</v>
      </c>
      <c r="F37" s="181">
        <v>21.14</v>
      </c>
      <c r="G37" s="181">
        <v>21.14</v>
      </c>
      <c r="H37" s="181">
        <f t="shared" si="2"/>
        <v>100</v>
      </c>
      <c r="I37" s="186"/>
      <c r="J37" s="13"/>
      <c r="K37" s="101"/>
      <c r="L37" s="101"/>
      <c r="M37" s="101"/>
      <c r="N37" s="101"/>
      <c r="O37" s="9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s="69" customFormat="1" ht="31.15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9"/>
      <c r="L38" s="77"/>
      <c r="M38" s="77"/>
      <c r="N38" s="77"/>
      <c r="O38" s="77"/>
      <c r="P38" s="78"/>
      <c r="Q38" s="78"/>
      <c r="R38" s="78"/>
      <c r="S38" s="78"/>
      <c r="T38" s="78"/>
      <c r="U38" s="78"/>
      <c r="V38" s="78"/>
      <c r="W38" s="78"/>
      <c r="X38" s="78"/>
      <c r="Y38" s="78"/>
    </row>
    <row r="39" spans="1:25" s="69" customFormat="1" ht="31.15" customHeight="1" x14ac:dyDescent="0.25">
      <c r="A39" s="2"/>
      <c r="B39" s="227" t="s">
        <v>141</v>
      </c>
      <c r="C39" s="4" t="s">
        <v>15</v>
      </c>
      <c r="D39" s="186">
        <f>D37*D38/10</f>
        <v>220</v>
      </c>
      <c r="E39" s="186">
        <f t="shared" ref="E39:G39" si="16">E37*E38/10</f>
        <v>295.95999999999998</v>
      </c>
      <c r="F39" s="186">
        <f t="shared" si="16"/>
        <v>0</v>
      </c>
      <c r="G39" s="186">
        <f t="shared" si="16"/>
        <v>0</v>
      </c>
      <c r="H39" s="181">
        <f t="shared" si="2"/>
        <v>0</v>
      </c>
      <c r="I39" s="186"/>
      <c r="J39" s="13"/>
      <c r="K39" s="9"/>
      <c r="L39" s="77"/>
      <c r="M39" s="77"/>
      <c r="N39" s="77"/>
      <c r="O39" s="77"/>
      <c r="P39" s="78"/>
      <c r="Q39" s="78"/>
      <c r="R39" s="78"/>
      <c r="S39" s="78"/>
      <c r="T39" s="78"/>
      <c r="U39" s="78"/>
      <c r="V39" s="78"/>
      <c r="W39" s="78"/>
      <c r="X39" s="78"/>
      <c r="Y39" s="78"/>
    </row>
    <row r="40" spans="1:25" s="69" customFormat="1" ht="31.15" customHeight="1" x14ac:dyDescent="0.25">
      <c r="A40" s="2">
        <v>3</v>
      </c>
      <c r="B40" s="223" t="s">
        <v>162</v>
      </c>
      <c r="C40" s="222" t="s">
        <v>4</v>
      </c>
      <c r="D40" s="184"/>
      <c r="E40" s="184">
        <v>0.5</v>
      </c>
      <c r="F40" s="184">
        <v>0</v>
      </c>
      <c r="G40" s="184">
        <v>0</v>
      </c>
      <c r="H40" s="181">
        <f t="shared" si="2"/>
        <v>0</v>
      </c>
      <c r="I40" s="186"/>
      <c r="J40" s="13"/>
      <c r="K40" s="9"/>
      <c r="L40" s="77"/>
      <c r="M40" s="77"/>
      <c r="N40" s="77"/>
      <c r="O40" s="77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1:25" s="69" customFormat="1" ht="31.15" customHeight="1" x14ac:dyDescent="0.25">
      <c r="A41" s="2"/>
      <c r="B41" s="226" t="s">
        <v>139</v>
      </c>
      <c r="C41" s="233" t="s">
        <v>140</v>
      </c>
      <c r="D41" s="188"/>
      <c r="E41" s="188">
        <v>24.1</v>
      </c>
      <c r="F41" s="186"/>
      <c r="G41" s="186"/>
      <c r="H41" s="181">
        <f t="shared" si="2"/>
        <v>0</v>
      </c>
      <c r="I41" s="186"/>
      <c r="J41" s="13"/>
      <c r="K41" s="9"/>
      <c r="L41" s="77"/>
      <c r="M41" s="77"/>
      <c r="N41" s="77"/>
      <c r="O41" s="77"/>
      <c r="P41" s="78"/>
      <c r="Q41" s="78"/>
      <c r="R41" s="78"/>
      <c r="S41" s="78"/>
      <c r="T41" s="78"/>
      <c r="U41" s="78"/>
      <c r="V41" s="78"/>
      <c r="W41" s="78"/>
      <c r="X41" s="78"/>
      <c r="Y41" s="78"/>
    </row>
    <row r="42" spans="1:25" s="69" customFormat="1" ht="31.15" customHeight="1" x14ac:dyDescent="0.25">
      <c r="A42" s="2"/>
      <c r="B42" s="226" t="s">
        <v>141</v>
      </c>
      <c r="C42" s="233" t="s">
        <v>15</v>
      </c>
      <c r="D42" s="188"/>
      <c r="E42" s="188">
        <f>E40*E41/10</f>
        <v>1.2050000000000001</v>
      </c>
      <c r="F42" s="188">
        <f t="shared" ref="F42:G42" si="17">F40*F41/10</f>
        <v>0</v>
      </c>
      <c r="G42" s="188">
        <f t="shared" si="17"/>
        <v>0</v>
      </c>
      <c r="H42" s="181">
        <f t="shared" si="2"/>
        <v>0</v>
      </c>
      <c r="I42" s="186"/>
      <c r="J42" s="13"/>
      <c r="K42" s="9"/>
      <c r="L42" s="77"/>
      <c r="M42" s="77"/>
      <c r="N42" s="77"/>
      <c r="O42" s="77"/>
      <c r="P42" s="78"/>
      <c r="Q42" s="78"/>
      <c r="R42" s="78"/>
      <c r="S42" s="78"/>
      <c r="T42" s="78"/>
      <c r="U42" s="78"/>
      <c r="V42" s="78"/>
      <c r="W42" s="78"/>
      <c r="X42" s="78"/>
      <c r="Y42" s="78"/>
    </row>
    <row r="43" spans="1:25" ht="31.15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60"/>
      <c r="L43" s="127"/>
      <c r="M43" s="127"/>
      <c r="N43" s="127"/>
      <c r="O43" s="127"/>
    </row>
    <row r="44" spans="1:25" ht="31.15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14"/>
      <c r="L44" s="19"/>
      <c r="M44" s="19"/>
      <c r="N44" s="19"/>
    </row>
    <row r="45" spans="1:25" ht="31.15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8">F43*F44/10</f>
        <v>0</v>
      </c>
      <c r="G45" s="186">
        <f t="shared" si="18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5" ht="31.15" customHeight="1" x14ac:dyDescent="0.25">
      <c r="A46" s="2">
        <v>5</v>
      </c>
      <c r="B46" s="225" t="s">
        <v>30</v>
      </c>
      <c r="C46" s="2" t="s">
        <v>4</v>
      </c>
      <c r="D46" s="181">
        <f>D47+D55+D64</f>
        <v>17.04</v>
      </c>
      <c r="E46" s="181">
        <f t="shared" ref="E46:G46" si="19">E47+E55+E64</f>
        <v>25.84</v>
      </c>
      <c r="F46" s="181">
        <f t="shared" si="19"/>
        <v>17.54</v>
      </c>
      <c r="G46" s="181">
        <f t="shared" si="19"/>
        <v>17.34</v>
      </c>
      <c r="H46" s="181">
        <f t="shared" si="2"/>
        <v>67.879256965944265</v>
      </c>
      <c r="I46" s="181"/>
      <c r="J46" s="19"/>
      <c r="K46" s="19"/>
      <c r="L46" s="19"/>
      <c r="M46" s="19"/>
      <c r="N46" s="19"/>
    </row>
    <row r="47" spans="1:25" ht="31.15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12.54</v>
      </c>
      <c r="E47" s="181">
        <f t="shared" ref="E47:G47" si="20">E48+E49</f>
        <v>20.54</v>
      </c>
      <c r="F47" s="181">
        <f t="shared" si="20"/>
        <v>12.739999999999998</v>
      </c>
      <c r="G47" s="181">
        <f t="shared" si="20"/>
        <v>12.54</v>
      </c>
      <c r="H47" s="181">
        <f t="shared" si="2"/>
        <v>62.025316455696199</v>
      </c>
      <c r="I47" s="181"/>
      <c r="J47" s="19"/>
      <c r="K47" s="19"/>
      <c r="L47" s="19"/>
      <c r="M47" s="19"/>
      <c r="N47" s="19"/>
    </row>
    <row r="48" spans="1:25" ht="31.15" customHeight="1" x14ac:dyDescent="0.25">
      <c r="A48" s="5" t="s">
        <v>22</v>
      </c>
      <c r="B48" s="273" t="s">
        <v>117</v>
      </c>
      <c r="C48" s="274" t="s">
        <v>4</v>
      </c>
      <c r="D48" s="186">
        <v>5.7</v>
      </c>
      <c r="E48" s="186">
        <f>D48+D49</f>
        <v>12.54</v>
      </c>
      <c r="F48" s="186">
        <v>12.54</v>
      </c>
      <c r="G48" s="186">
        <v>12.54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  <c r="Q48" s="14"/>
    </row>
    <row r="49" spans="1:18" s="23" customFormat="1" ht="31.15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6.84</v>
      </c>
      <c r="E49" s="181">
        <f t="shared" ref="E49:G49" si="21">E50+E51</f>
        <v>8</v>
      </c>
      <c r="F49" s="181">
        <f t="shared" si="21"/>
        <v>0.2</v>
      </c>
      <c r="G49" s="181">
        <f t="shared" si="21"/>
        <v>0</v>
      </c>
      <c r="H49" s="181">
        <f t="shared" si="2"/>
        <v>2.5</v>
      </c>
      <c r="I49" s="181"/>
      <c r="J49" s="103"/>
      <c r="K49" s="103"/>
      <c r="L49" s="103"/>
      <c r="M49" s="103"/>
      <c r="N49" s="103"/>
    </row>
    <row r="50" spans="1:18" ht="31.15" customHeight="1" x14ac:dyDescent="0.25">
      <c r="A50" s="274" t="s">
        <v>16</v>
      </c>
      <c r="B50" s="276" t="s">
        <v>115</v>
      </c>
      <c r="C50" s="274" t="s">
        <v>4</v>
      </c>
      <c r="D50" s="186">
        <v>6.84</v>
      </c>
      <c r="E50" s="186">
        <v>8</v>
      </c>
      <c r="F50" s="186">
        <v>0.2</v>
      </c>
      <c r="G50" s="186">
        <v>0</v>
      </c>
      <c r="H50" s="181">
        <f t="shared" si="2"/>
        <v>2.5</v>
      </c>
      <c r="I50" s="186"/>
      <c r="J50" s="104"/>
      <c r="K50" s="19"/>
      <c r="L50" s="19"/>
      <c r="M50" s="19"/>
      <c r="N50" s="19"/>
    </row>
    <row r="51" spans="1:18" ht="31.15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1"/>
      <c r="I51" s="186"/>
      <c r="J51" s="19"/>
      <c r="K51" s="19"/>
      <c r="L51" s="19"/>
      <c r="M51" s="19"/>
      <c r="N51" s="19"/>
    </row>
    <row r="52" spans="1:18" s="23" customFormat="1" ht="31.15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5.71</v>
      </c>
      <c r="E52" s="181">
        <f t="shared" ref="E52:G52" si="22">E53+E54</f>
        <v>4.8449999999999998</v>
      </c>
      <c r="F52" s="181">
        <f t="shared" si="22"/>
        <v>4.84</v>
      </c>
      <c r="G52" s="181">
        <f t="shared" si="22"/>
        <v>4.84</v>
      </c>
      <c r="H52" s="181">
        <f t="shared" si="2"/>
        <v>99.896800825593402</v>
      </c>
      <c r="I52" s="181"/>
      <c r="J52" s="103"/>
      <c r="K52" s="103"/>
      <c r="L52" s="103"/>
      <c r="M52" s="103"/>
      <c r="N52" s="103"/>
    </row>
    <row r="53" spans="1:18" ht="31.15" customHeight="1" x14ac:dyDescent="0.25">
      <c r="A53" s="277" t="s">
        <v>16</v>
      </c>
      <c r="B53" s="276" t="s">
        <v>119</v>
      </c>
      <c r="C53" s="4" t="s">
        <v>4</v>
      </c>
      <c r="D53" s="186">
        <v>3.71</v>
      </c>
      <c r="E53" s="186">
        <f>D48*85%</f>
        <v>4.8449999999999998</v>
      </c>
      <c r="F53" s="186">
        <v>4.84</v>
      </c>
      <c r="G53" s="186">
        <v>4.84</v>
      </c>
      <c r="H53" s="186">
        <f t="shared" si="2"/>
        <v>99.896800825593402</v>
      </c>
      <c r="I53" s="186"/>
      <c r="J53" s="19"/>
      <c r="K53" s="19"/>
      <c r="L53" s="19"/>
      <c r="M53" s="114"/>
      <c r="N53" s="19"/>
    </row>
    <row r="54" spans="1:18" ht="31.15" customHeight="1" x14ac:dyDescent="0.25">
      <c r="A54" s="4"/>
      <c r="B54" s="276" t="s">
        <v>120</v>
      </c>
      <c r="C54" s="4" t="s">
        <v>4</v>
      </c>
      <c r="D54" s="186">
        <v>2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8" ht="31.15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 t="shared" ref="E55:G55" si="23">E56+E57</f>
        <v>5.3</v>
      </c>
      <c r="F55" s="181">
        <f t="shared" si="23"/>
        <v>4.8</v>
      </c>
      <c r="G55" s="181">
        <f t="shared" si="23"/>
        <v>4.8</v>
      </c>
      <c r="H55" s="181">
        <f t="shared" si="2"/>
        <v>90.566037735849065</v>
      </c>
      <c r="I55" s="181"/>
      <c r="J55" s="19"/>
      <c r="K55" s="19"/>
      <c r="L55" s="19"/>
      <c r="M55" s="19"/>
      <c r="N55" s="19"/>
    </row>
    <row r="56" spans="1:18" ht="31.15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v>4.8</v>
      </c>
      <c r="G56" s="186">
        <v>4.8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8" ht="31.15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4">E58+E61</f>
        <v>0.5</v>
      </c>
      <c r="F57" s="186">
        <f t="shared" si="24"/>
        <v>0</v>
      </c>
      <c r="G57" s="186">
        <f t="shared" si="24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8" s="41" customFormat="1" ht="31.15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5">E59+E60</f>
        <v>0.30000000000000004</v>
      </c>
      <c r="F58" s="189">
        <f t="shared" si="25"/>
        <v>0</v>
      </c>
      <c r="G58" s="189">
        <f t="shared" si="25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  <c r="R58" s="48"/>
    </row>
    <row r="59" spans="1:18" ht="31.15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1">
        <f t="shared" si="2"/>
        <v>0</v>
      </c>
      <c r="I59" s="186"/>
      <c r="J59" s="114"/>
      <c r="K59" s="6"/>
      <c r="L59" s="6"/>
      <c r="M59" s="6"/>
      <c r="N59" s="6"/>
      <c r="O59" s="6"/>
      <c r="P59" s="30"/>
      <c r="Q59" s="30"/>
      <c r="R59" s="30"/>
    </row>
    <row r="60" spans="1:18" ht="31.15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1">
        <f t="shared" si="2"/>
        <v>0</v>
      </c>
      <c r="I60" s="186"/>
      <c r="J60" s="114"/>
      <c r="K60" s="6"/>
      <c r="L60" s="6"/>
      <c r="M60" s="6"/>
      <c r="N60" s="6"/>
      <c r="O60" s="6"/>
      <c r="P60" s="30"/>
      <c r="Q60" s="30"/>
      <c r="R60" s="30"/>
    </row>
    <row r="61" spans="1:18" s="41" customFormat="1" ht="31.15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6">E62+E63</f>
        <v>0.2</v>
      </c>
      <c r="F61" s="189">
        <f t="shared" si="26"/>
        <v>0</v>
      </c>
      <c r="G61" s="189">
        <f t="shared" si="26"/>
        <v>0</v>
      </c>
      <c r="H61" s="181">
        <f t="shared" si="2"/>
        <v>0</v>
      </c>
      <c r="I61" s="189"/>
      <c r="J61" s="114"/>
      <c r="K61" s="34"/>
      <c r="L61" s="108"/>
      <c r="M61" s="108"/>
      <c r="N61" s="108"/>
      <c r="O61" s="48"/>
      <c r="P61" s="48"/>
      <c r="Q61" s="48"/>
      <c r="R61" s="48"/>
    </row>
    <row r="62" spans="1:18" ht="31.15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0.1</v>
      </c>
      <c r="F62" s="186">
        <v>0</v>
      </c>
      <c r="G62" s="186">
        <v>0</v>
      </c>
      <c r="H62" s="181">
        <f t="shared" si="2"/>
        <v>0</v>
      </c>
      <c r="I62" s="186"/>
      <c r="J62" s="114"/>
      <c r="K62" s="6"/>
      <c r="L62" s="6"/>
      <c r="M62" s="6"/>
      <c r="N62" s="6"/>
      <c r="O62" s="6"/>
      <c r="P62" s="30"/>
      <c r="Q62" s="30"/>
      <c r="R62" s="30"/>
    </row>
    <row r="63" spans="1:18" ht="31.15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14"/>
      <c r="K63" s="6"/>
      <c r="L63" s="6"/>
      <c r="M63" s="6"/>
      <c r="N63" s="6"/>
      <c r="O63" s="6"/>
      <c r="P63" s="30"/>
      <c r="Q63" s="30"/>
      <c r="R63" s="30"/>
    </row>
    <row r="64" spans="1:18" ht="31.15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F64" si="27">E65+E66</f>
        <v>0</v>
      </c>
      <c r="F64" s="181">
        <f t="shared" si="27"/>
        <v>0</v>
      </c>
      <c r="G64" s="181"/>
      <c r="H64" s="181"/>
      <c r="I64" s="181"/>
      <c r="J64" s="114"/>
      <c r="K64" s="47"/>
      <c r="L64" s="47"/>
      <c r="M64" s="47"/>
      <c r="N64" s="47"/>
      <c r="O64" s="30"/>
      <c r="P64" s="30"/>
      <c r="Q64" s="30"/>
      <c r="R64" s="30"/>
    </row>
    <row r="65" spans="1:17" ht="31.15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14"/>
      <c r="K65" s="19"/>
      <c r="L65" s="19"/>
      <c r="M65" s="19"/>
      <c r="N65" s="19"/>
    </row>
    <row r="66" spans="1:17" ht="31.15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1.15" customHeight="1" x14ac:dyDescent="0.25">
      <c r="A67" s="2">
        <v>6</v>
      </c>
      <c r="B67" s="225" t="s">
        <v>36</v>
      </c>
      <c r="C67" s="2" t="s">
        <v>4</v>
      </c>
      <c r="D67" s="181">
        <f>D68+D71</f>
        <v>12.479999999999999</v>
      </c>
      <c r="E67" s="181">
        <f t="shared" ref="E67:G67" si="28">E68+E71</f>
        <v>9.81</v>
      </c>
      <c r="F67" s="181">
        <f t="shared" si="28"/>
        <v>9.68</v>
      </c>
      <c r="G67" s="181">
        <f t="shared" si="28"/>
        <v>9.68</v>
      </c>
      <c r="H67" s="181">
        <f t="shared" si="2"/>
        <v>98.674821610601413</v>
      </c>
      <c r="I67" s="181"/>
      <c r="J67" s="19"/>
      <c r="K67" s="19"/>
      <c r="L67" s="19"/>
      <c r="M67" s="19"/>
      <c r="N67" s="19"/>
    </row>
    <row r="68" spans="1:17" ht="31.15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F68" si="29">E69+E70</f>
        <v>0</v>
      </c>
      <c r="F68" s="181">
        <f t="shared" si="29"/>
        <v>0</v>
      </c>
      <c r="G68" s="181"/>
      <c r="H68" s="181"/>
      <c r="I68" s="181"/>
      <c r="J68" s="19"/>
      <c r="K68" s="19"/>
      <c r="L68" s="19"/>
      <c r="M68" s="19"/>
      <c r="N68" s="19"/>
    </row>
    <row r="69" spans="1:17" ht="31.15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19"/>
      <c r="L69" s="19"/>
      <c r="M69" s="19"/>
      <c r="N69" s="19"/>
    </row>
    <row r="70" spans="1:17" ht="31.15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1"/>
      <c r="I70" s="186"/>
      <c r="J70" s="19"/>
      <c r="K70" s="19"/>
      <c r="L70" s="19"/>
      <c r="M70" s="19"/>
      <c r="N70" s="19"/>
    </row>
    <row r="71" spans="1:17" ht="31.15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12.479999999999999</v>
      </c>
      <c r="E71" s="181">
        <f t="shared" ref="E71:G71" si="30">E72+E73</f>
        <v>9.81</v>
      </c>
      <c r="F71" s="181">
        <f t="shared" si="30"/>
        <v>9.68</v>
      </c>
      <c r="G71" s="181">
        <f t="shared" si="30"/>
        <v>9.68</v>
      </c>
      <c r="H71" s="181">
        <f t="shared" si="2"/>
        <v>98.674821610601413</v>
      </c>
      <c r="I71" s="181"/>
      <c r="J71" s="19"/>
      <c r="K71" s="19"/>
      <c r="L71" s="19"/>
      <c r="M71" s="19"/>
      <c r="N71" s="19"/>
    </row>
    <row r="72" spans="1:17" ht="31.15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11.54</v>
      </c>
      <c r="E72" s="192">
        <f t="shared" ref="E72:G73" si="31">E75+E82</f>
        <v>9.68</v>
      </c>
      <c r="F72" s="192">
        <f t="shared" si="31"/>
        <v>9.68</v>
      </c>
      <c r="G72" s="192">
        <f t="shared" si="31"/>
        <v>9.68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17" ht="31.15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0.94</v>
      </c>
      <c r="E73" s="181">
        <f t="shared" si="31"/>
        <v>0.13</v>
      </c>
      <c r="F73" s="181">
        <f t="shared" si="31"/>
        <v>0</v>
      </c>
      <c r="G73" s="181">
        <f t="shared" si="31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1.15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9.18</v>
      </c>
      <c r="E74" s="194">
        <f t="shared" ref="E74:G74" si="32">E75+E76</f>
        <v>9.18</v>
      </c>
      <c r="F74" s="194">
        <f t="shared" si="32"/>
        <v>9.18</v>
      </c>
      <c r="G74" s="194">
        <f t="shared" si="32"/>
        <v>9.18</v>
      </c>
      <c r="H74" s="181">
        <f t="shared" ref="H74:H98" si="33">F74/E74*100</f>
        <v>100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1.15" customHeight="1" x14ac:dyDescent="0.25">
      <c r="A75" s="5" t="s">
        <v>22</v>
      </c>
      <c r="B75" s="281" t="s">
        <v>117</v>
      </c>
      <c r="C75" s="4" t="s">
        <v>4</v>
      </c>
      <c r="D75" s="196">
        <f>7.74+1</f>
        <v>8.74</v>
      </c>
      <c r="E75" s="196">
        <f>D75+D76</f>
        <v>9.18</v>
      </c>
      <c r="F75" s="186">
        <v>9.18</v>
      </c>
      <c r="G75" s="186">
        <v>9.18</v>
      </c>
      <c r="H75" s="186">
        <f t="shared" si="33"/>
        <v>100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17" ht="31.15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0.44</v>
      </c>
      <c r="E76" s="197">
        <f>SUM(E77:E80)</f>
        <v>0</v>
      </c>
      <c r="F76" s="197">
        <f t="shared" ref="F76:G76" si="34">SUM(F77:F80)</f>
        <v>0</v>
      </c>
      <c r="G76" s="197">
        <f t="shared" si="34"/>
        <v>0</v>
      </c>
      <c r="H76" s="181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1.15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7"/>
      <c r="L77" s="109"/>
      <c r="M77" s="110"/>
      <c r="N77" s="110"/>
      <c r="O77" s="18"/>
      <c r="P77" s="56"/>
      <c r="Q77" s="56"/>
    </row>
    <row r="78" spans="1:17" ht="31.15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1.15" customHeight="1" x14ac:dyDescent="0.25">
      <c r="A79" s="3" t="s">
        <v>16</v>
      </c>
      <c r="B79" s="283" t="s">
        <v>111</v>
      </c>
      <c r="C79" s="3" t="s">
        <v>4</v>
      </c>
      <c r="D79" s="186">
        <v>0.44</v>
      </c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1.15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19" s="44" customFormat="1" ht="31.15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3.3</v>
      </c>
      <c r="E81" s="194">
        <f>E82+E83</f>
        <v>0.63</v>
      </c>
      <c r="F81" s="194">
        <f t="shared" ref="F81:G81" si="35">F82+F83</f>
        <v>0.5</v>
      </c>
      <c r="G81" s="194">
        <f t="shared" si="35"/>
        <v>0.5</v>
      </c>
      <c r="H81" s="181">
        <f t="shared" si="33"/>
        <v>79.365079365079367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19" s="41" customFormat="1" ht="31.15" customHeight="1" x14ac:dyDescent="0.25">
      <c r="A82" s="282" t="s">
        <v>16</v>
      </c>
      <c r="B82" s="283" t="s">
        <v>109</v>
      </c>
      <c r="C82" s="3" t="s">
        <v>4</v>
      </c>
      <c r="D82" s="189">
        <v>2.8</v>
      </c>
      <c r="E82" s="189">
        <v>0.5</v>
      </c>
      <c r="F82" s="189">
        <v>0.5</v>
      </c>
      <c r="G82" s="189">
        <v>0.5</v>
      </c>
      <c r="H82" s="189">
        <f t="shared" si="33"/>
        <v>100</v>
      </c>
      <c r="I82" s="189"/>
      <c r="J82" s="107"/>
      <c r="K82" s="128"/>
      <c r="L82" s="110"/>
      <c r="M82" s="109"/>
      <c r="N82" s="109"/>
      <c r="O82" s="40"/>
      <c r="P82" s="40"/>
      <c r="Q82" s="40"/>
    </row>
    <row r="83" spans="1:19" ht="31.15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6">SUM(D84:D87)</f>
        <v>0.5</v>
      </c>
      <c r="E83" s="196">
        <f>SUM(E84:E87)</f>
        <v>0.13</v>
      </c>
      <c r="F83" s="196">
        <f t="shared" ref="F83:G83" si="37">SUM(F84:F87)</f>
        <v>0</v>
      </c>
      <c r="G83" s="196">
        <f t="shared" si="37"/>
        <v>0</v>
      </c>
      <c r="H83" s="181">
        <f t="shared" si="33"/>
        <v>0</v>
      </c>
      <c r="I83" s="196"/>
      <c r="J83" s="107"/>
      <c r="K83" s="107"/>
      <c r="L83" s="109"/>
      <c r="M83" s="109"/>
      <c r="N83" s="109"/>
      <c r="O83" s="18"/>
      <c r="P83" s="18"/>
      <c r="Q83" s="18"/>
    </row>
    <row r="84" spans="1:19" ht="31.15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6"/>
      <c r="I84" s="186"/>
      <c r="J84" s="109"/>
      <c r="K84" s="109"/>
      <c r="L84" s="109"/>
      <c r="M84" s="109"/>
      <c r="N84" s="109"/>
    </row>
    <row r="85" spans="1:19" ht="31.15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6"/>
      <c r="I85" s="186"/>
      <c r="J85" s="109"/>
      <c r="K85" s="109"/>
      <c r="L85" s="109"/>
      <c r="M85" s="109"/>
      <c r="N85" s="109"/>
    </row>
    <row r="86" spans="1:19" ht="31.15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6"/>
      <c r="I86" s="186"/>
      <c r="J86" s="109"/>
      <c r="K86" s="109"/>
      <c r="L86" s="109"/>
      <c r="M86" s="109"/>
      <c r="N86" s="18"/>
      <c r="O86" s="18"/>
      <c r="P86" s="18"/>
      <c r="Q86" s="18"/>
    </row>
    <row r="87" spans="1:19" ht="31.15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0.13</v>
      </c>
      <c r="F87" s="186">
        <v>0</v>
      </c>
      <c r="G87" s="186">
        <v>0</v>
      </c>
      <c r="H87" s="181">
        <f t="shared" si="33"/>
        <v>0</v>
      </c>
      <c r="I87" s="186"/>
      <c r="J87" s="109"/>
      <c r="K87" s="109"/>
      <c r="L87" s="109"/>
      <c r="M87" s="58"/>
      <c r="N87" s="58"/>
      <c r="O87" s="14"/>
      <c r="P87" s="14"/>
      <c r="Q87" s="14"/>
      <c r="R87" s="15"/>
      <c r="S87" s="15"/>
    </row>
    <row r="88" spans="1:19" ht="31.15" customHeight="1" x14ac:dyDescent="0.25">
      <c r="A88" s="2" t="s">
        <v>42</v>
      </c>
      <c r="B88" s="224" t="s">
        <v>43</v>
      </c>
      <c r="C88" s="2"/>
      <c r="D88" s="181">
        <f>SUM(D89:D93)</f>
        <v>344</v>
      </c>
      <c r="E88" s="181">
        <f t="shared" ref="E88:G88" si="38">SUM(E89:E93)</f>
        <v>328</v>
      </c>
      <c r="F88" s="181">
        <f t="shared" si="38"/>
        <v>275</v>
      </c>
      <c r="G88" s="181">
        <f t="shared" si="38"/>
        <v>275</v>
      </c>
      <c r="H88" s="181">
        <f t="shared" si="33"/>
        <v>83.841463414634148</v>
      </c>
      <c r="I88" s="181"/>
      <c r="J88" s="20"/>
      <c r="K88" s="20"/>
      <c r="L88" s="28"/>
      <c r="M88" s="28"/>
      <c r="N88" s="20"/>
    </row>
    <row r="89" spans="1:19" s="84" customFormat="1" ht="31.15" customHeight="1" x14ac:dyDescent="0.25">
      <c r="A89" s="4">
        <v>1</v>
      </c>
      <c r="B89" s="227" t="s">
        <v>44</v>
      </c>
      <c r="C89" s="4" t="s">
        <v>6</v>
      </c>
      <c r="D89" s="186">
        <f>29+5</f>
        <v>34</v>
      </c>
      <c r="E89" s="186">
        <f>30+16</f>
        <v>46</v>
      </c>
      <c r="F89" s="186">
        <v>44</v>
      </c>
      <c r="G89" s="186">
        <f>F89</f>
        <v>44</v>
      </c>
      <c r="H89" s="186">
        <f t="shared" si="33"/>
        <v>95.652173913043484</v>
      </c>
      <c r="I89" s="186"/>
      <c r="J89" s="112"/>
      <c r="K89" s="102"/>
      <c r="L89" s="208"/>
      <c r="M89" s="209"/>
      <c r="N89" s="112"/>
    </row>
    <row r="90" spans="1:19" s="84" customFormat="1" ht="31.15" customHeight="1" x14ac:dyDescent="0.25">
      <c r="A90" s="4">
        <v>2</v>
      </c>
      <c r="B90" s="227" t="s">
        <v>45</v>
      </c>
      <c r="C90" s="4" t="s">
        <v>6</v>
      </c>
      <c r="D90" s="186">
        <f>49+5</f>
        <v>54</v>
      </c>
      <c r="E90" s="186">
        <f>50+8</f>
        <v>58</v>
      </c>
      <c r="F90" s="186">
        <v>56</v>
      </c>
      <c r="G90" s="186">
        <f>F90</f>
        <v>56</v>
      </c>
      <c r="H90" s="186">
        <f t="shared" si="33"/>
        <v>96.551724137931032</v>
      </c>
      <c r="I90" s="186"/>
      <c r="J90" s="112"/>
      <c r="K90" s="102"/>
      <c r="L90" s="208"/>
      <c r="M90" s="209"/>
      <c r="N90" s="112"/>
    </row>
    <row r="91" spans="1:19" s="84" customFormat="1" ht="31.15" customHeight="1" x14ac:dyDescent="0.25">
      <c r="A91" s="4">
        <v>3</v>
      </c>
      <c r="B91" s="227" t="s">
        <v>46</v>
      </c>
      <c r="C91" s="4" t="s">
        <v>6</v>
      </c>
      <c r="D91" s="186">
        <f>33-5</f>
        <v>28</v>
      </c>
      <c r="E91" s="186">
        <f>29+9</f>
        <v>38</v>
      </c>
      <c r="F91" s="186">
        <v>32</v>
      </c>
      <c r="G91" s="186">
        <f>F91</f>
        <v>32</v>
      </c>
      <c r="H91" s="186">
        <f t="shared" si="33"/>
        <v>84.210526315789465</v>
      </c>
      <c r="I91" s="186"/>
      <c r="J91" s="112"/>
      <c r="K91" s="157"/>
      <c r="L91" s="208"/>
      <c r="M91" s="209"/>
      <c r="N91" s="112"/>
    </row>
    <row r="92" spans="1:19" ht="31.15" customHeight="1" x14ac:dyDescent="0.25">
      <c r="A92" s="4">
        <v>4</v>
      </c>
      <c r="B92" s="227" t="s">
        <v>47</v>
      </c>
      <c r="C92" s="4" t="s">
        <v>6</v>
      </c>
      <c r="D92" s="186"/>
      <c r="E92" s="186"/>
      <c r="F92" s="186"/>
      <c r="G92" s="186"/>
      <c r="H92" s="181"/>
      <c r="I92" s="186"/>
      <c r="J92" s="20"/>
      <c r="K92" s="20"/>
      <c r="L92" s="210"/>
      <c r="M92" s="209"/>
      <c r="N92" s="20"/>
    </row>
    <row r="93" spans="1:19" s="84" customFormat="1" ht="31.15" customHeight="1" x14ac:dyDescent="0.25">
      <c r="A93" s="4">
        <v>5</v>
      </c>
      <c r="B93" s="227" t="s">
        <v>48</v>
      </c>
      <c r="C93" s="4" t="s">
        <v>6</v>
      </c>
      <c r="D93" s="186">
        <f>213+15</f>
        <v>228</v>
      </c>
      <c r="E93" s="186">
        <f>206-20</f>
        <v>186</v>
      </c>
      <c r="F93" s="186">
        <v>143</v>
      </c>
      <c r="G93" s="186">
        <f>F93</f>
        <v>143</v>
      </c>
      <c r="H93" s="186">
        <f t="shared" si="33"/>
        <v>76.881720430107521</v>
      </c>
      <c r="I93" s="186"/>
      <c r="J93" s="157"/>
      <c r="K93" s="157"/>
      <c r="L93" s="210"/>
      <c r="M93" s="209"/>
      <c r="N93" s="112"/>
    </row>
    <row r="94" spans="1:19" s="23" customFormat="1" ht="31.15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39">E95</f>
        <v>0</v>
      </c>
      <c r="F94" s="181">
        <f t="shared" si="39"/>
        <v>0</v>
      </c>
      <c r="G94" s="181">
        <f t="shared" si="39"/>
        <v>0</v>
      </c>
      <c r="H94" s="181"/>
      <c r="I94" s="181"/>
      <c r="J94" s="22"/>
      <c r="K94" s="211"/>
      <c r="L94" s="22"/>
      <c r="M94" s="22"/>
      <c r="N94" s="22"/>
    </row>
    <row r="95" spans="1:19" ht="31.15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1"/>
      <c r="I95" s="186"/>
      <c r="J95" s="20"/>
      <c r="K95" s="20"/>
      <c r="L95" s="20"/>
      <c r="M95" s="20"/>
      <c r="N95" s="20"/>
    </row>
    <row r="96" spans="1:19" ht="31.15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2.8</v>
      </c>
      <c r="E96" s="181">
        <f t="shared" ref="E96:G96" si="40">E97+E98</f>
        <v>2.75</v>
      </c>
      <c r="F96" s="181">
        <f t="shared" si="40"/>
        <v>0</v>
      </c>
      <c r="G96" s="181">
        <f t="shared" si="40"/>
        <v>0</v>
      </c>
      <c r="H96" s="181">
        <f t="shared" si="33"/>
        <v>0</v>
      </c>
      <c r="I96" s="181"/>
      <c r="J96" s="20"/>
      <c r="K96" s="20"/>
      <c r="L96" s="20"/>
      <c r="M96" s="20"/>
      <c r="N96" s="20"/>
    </row>
    <row r="97" spans="1:14" ht="31.15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2.1</v>
      </c>
      <c r="F97" s="186"/>
      <c r="G97" s="186"/>
      <c r="H97" s="181">
        <f t="shared" si="33"/>
        <v>0</v>
      </c>
      <c r="I97" s="186"/>
      <c r="J97" s="20"/>
      <c r="K97" s="116"/>
      <c r="L97" s="104"/>
      <c r="M97" s="20"/>
      <c r="N97" s="20"/>
    </row>
    <row r="98" spans="1:14" ht="31.15" customHeight="1" x14ac:dyDescent="0.25">
      <c r="A98" s="285" t="s">
        <v>16</v>
      </c>
      <c r="B98" s="281" t="s">
        <v>54</v>
      </c>
      <c r="C98" s="3" t="s">
        <v>4</v>
      </c>
      <c r="D98" s="186">
        <v>2.8</v>
      </c>
      <c r="E98" s="186">
        <f>1.9-1.25</f>
        <v>0.64999999999999991</v>
      </c>
      <c r="F98" s="186"/>
      <c r="G98" s="186"/>
      <c r="H98" s="181">
        <f t="shared" si="33"/>
        <v>0</v>
      </c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5000000000000004" bottom="0.46" header="0" footer="0"/>
  <pageSetup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21875" style="220" customWidth="1"/>
    <col min="2" max="2" width="30.5546875" style="220" customWidth="1"/>
    <col min="3" max="3" width="10.21875" style="220" customWidth="1"/>
    <col min="4" max="5" width="16.77734375" style="220" customWidth="1"/>
    <col min="6" max="9" width="12.6640625" style="220" customWidth="1"/>
    <col min="10" max="10" width="8.88671875" style="17" customWidth="1"/>
    <col min="11" max="11" width="21.2187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152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'ĐĂK NEANG(8)'!A5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117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850</v>
      </c>
      <c r="M8" s="19"/>
      <c r="N8" s="19"/>
    </row>
    <row r="9" spans="1:18" s="23" customFormat="1" ht="33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185.26</v>
      </c>
      <c r="E9" s="181">
        <f t="shared" ref="E9:G9" si="0">E13+E28+E37+E43+E46+E67</f>
        <v>191.57999999999998</v>
      </c>
      <c r="F9" s="181">
        <f t="shared" si="0"/>
        <v>155.47</v>
      </c>
      <c r="G9" s="181">
        <f t="shared" si="0"/>
        <v>155.47</v>
      </c>
      <c r="H9" s="181">
        <f>F9/E9*100</f>
        <v>81.151477189685778</v>
      </c>
      <c r="I9" s="181"/>
      <c r="J9" s="103"/>
      <c r="K9" s="103"/>
      <c r="L9" s="103"/>
      <c r="M9" s="103"/>
      <c r="N9" s="103"/>
    </row>
    <row r="10" spans="1:18" s="23" customFormat="1" ht="33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27.1</v>
      </c>
      <c r="F10" s="181">
        <f t="shared" si="1"/>
        <v>3.08</v>
      </c>
      <c r="G10" s="181">
        <f t="shared" si="1"/>
        <v>3.08</v>
      </c>
      <c r="H10" s="181">
        <f t="shared" ref="H10:H73" si="2">F10/E10*100</f>
        <v>11.365313653136532</v>
      </c>
      <c r="I10" s="181"/>
      <c r="J10" s="103"/>
      <c r="K10" s="103"/>
      <c r="L10" s="103"/>
      <c r="M10" s="103"/>
      <c r="N10" s="103"/>
    </row>
    <row r="11" spans="1:18" s="23" customFormat="1" ht="33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72.424350000000004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18" s="23" customFormat="1" ht="33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68.734350000000006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03"/>
      <c r="M12" s="103"/>
      <c r="N12" s="103"/>
    </row>
    <row r="13" spans="1:18" ht="33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26.1</v>
      </c>
      <c r="F13" s="181">
        <f t="shared" si="5"/>
        <v>2.08</v>
      </c>
      <c r="G13" s="181">
        <f t="shared" si="5"/>
        <v>2.08</v>
      </c>
      <c r="H13" s="181">
        <f t="shared" si="2"/>
        <v>7.969348659003832</v>
      </c>
      <c r="I13" s="181"/>
      <c r="J13" s="19"/>
      <c r="K13" s="13"/>
      <c r="L13" s="13"/>
      <c r="M13" s="13"/>
      <c r="N13" s="13"/>
    </row>
    <row r="14" spans="1:18" ht="33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26.335000000000001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8" ht="33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68.734350000000006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18" ht="33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2.08</v>
      </c>
      <c r="F16" s="181">
        <v>2.08</v>
      </c>
      <c r="G16" s="181">
        <v>2.08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1" ht="33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1" ht="33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6.9680000000000009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1" ht="33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24.02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20"/>
      <c r="O19" s="18"/>
      <c r="P19" s="25"/>
      <c r="Q19" s="25"/>
      <c r="R19" s="25"/>
      <c r="S19" s="25"/>
      <c r="T19" s="25"/>
      <c r="U19" s="25"/>
    </row>
    <row r="20" spans="1:21" ht="33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19.170000000000002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20"/>
      <c r="O20" s="18"/>
      <c r="P20" s="25"/>
      <c r="Q20" s="25"/>
      <c r="R20" s="25"/>
      <c r="S20" s="25"/>
      <c r="T20" s="25"/>
      <c r="U20" s="25"/>
    </row>
    <row r="21" spans="1:21" ht="33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46.046340000000001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20"/>
      <c r="O21" s="18"/>
      <c r="P21" s="25"/>
      <c r="Q21" s="25"/>
      <c r="R21" s="25"/>
      <c r="S21" s="25"/>
      <c r="T21" s="25"/>
      <c r="U21" s="25"/>
    </row>
    <row r="22" spans="1:21" ht="33" customHeight="1" x14ac:dyDescent="0.25">
      <c r="A22" s="269" t="s">
        <v>22</v>
      </c>
      <c r="B22" s="270" t="s">
        <v>23</v>
      </c>
      <c r="C22" s="269" t="s">
        <v>4</v>
      </c>
      <c r="D22" s="203"/>
      <c r="E22" s="203">
        <v>24.02</v>
      </c>
      <c r="F22" s="186">
        <v>0</v>
      </c>
      <c r="G22" s="203">
        <v>0</v>
      </c>
      <c r="H22" s="181">
        <f t="shared" si="2"/>
        <v>0</v>
      </c>
      <c r="I22" s="186"/>
      <c r="J22" s="13"/>
      <c r="K22" s="13"/>
      <c r="L22" s="13"/>
      <c r="M22" s="13"/>
      <c r="N22" s="13"/>
      <c r="O22" s="14"/>
      <c r="P22" s="38"/>
      <c r="Q22" s="38"/>
      <c r="R22" s="38"/>
      <c r="S22" s="38"/>
      <c r="T22" s="38"/>
      <c r="U22" s="25"/>
    </row>
    <row r="23" spans="1:21" ht="33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13"/>
      <c r="O23" s="14"/>
      <c r="P23" s="38"/>
      <c r="Q23" s="38"/>
      <c r="R23" s="38"/>
      <c r="S23" s="38"/>
      <c r="T23" s="38"/>
      <c r="U23" s="25"/>
    </row>
    <row r="24" spans="1:21" ht="33" customHeight="1" x14ac:dyDescent="0.25">
      <c r="A24" s="269"/>
      <c r="B24" s="227" t="s">
        <v>141</v>
      </c>
      <c r="C24" s="4" t="s">
        <v>15</v>
      </c>
      <c r="D24" s="181"/>
      <c r="E24" s="186">
        <f>E22*E23/10</f>
        <v>92.092680000000001</v>
      </c>
      <c r="F24" s="186">
        <f t="shared" ref="F24:G24" si="12">F22*F23/10</f>
        <v>0</v>
      </c>
      <c r="G24" s="186">
        <f t="shared" si="12"/>
        <v>0</v>
      </c>
      <c r="H24" s="181">
        <f t="shared" si="2"/>
        <v>0</v>
      </c>
      <c r="I24" s="186"/>
      <c r="J24" s="13"/>
      <c r="K24" s="102"/>
      <c r="L24" s="13"/>
      <c r="M24" s="13"/>
      <c r="N24" s="13"/>
      <c r="O24" s="14"/>
      <c r="P24" s="38"/>
      <c r="Q24" s="38"/>
      <c r="R24" s="38"/>
      <c r="S24" s="38"/>
      <c r="T24" s="38"/>
      <c r="U24" s="25"/>
    </row>
    <row r="25" spans="1:21" ht="33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6">
        <v>0</v>
      </c>
      <c r="G25" s="186">
        <v>0</v>
      </c>
      <c r="H25" s="181"/>
      <c r="I25" s="186"/>
      <c r="J25" s="16"/>
      <c r="K25" s="16"/>
      <c r="L25" s="16"/>
      <c r="M25" s="16"/>
      <c r="N25" s="16"/>
      <c r="O25" s="15"/>
      <c r="P25" s="15"/>
      <c r="Q25" s="15"/>
      <c r="R25" s="15"/>
      <c r="S25" s="15"/>
      <c r="T25" s="15"/>
    </row>
    <row r="26" spans="1:21" ht="33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0</v>
      </c>
      <c r="F26" s="186"/>
      <c r="G26" s="186"/>
      <c r="H26" s="181"/>
      <c r="I26" s="186"/>
      <c r="J26" s="16"/>
      <c r="K26" s="16"/>
      <c r="L26" s="16"/>
      <c r="M26" s="16"/>
      <c r="N26" s="16"/>
      <c r="O26" s="15"/>
      <c r="P26" s="15"/>
      <c r="Q26" s="15"/>
      <c r="R26" s="15"/>
      <c r="S26" s="15"/>
      <c r="T26" s="15"/>
    </row>
    <row r="27" spans="1:21" ht="33" customHeight="1" x14ac:dyDescent="0.25">
      <c r="A27" s="269"/>
      <c r="B27" s="227" t="s">
        <v>141</v>
      </c>
      <c r="C27" s="4" t="s">
        <v>15</v>
      </c>
      <c r="D27" s="181"/>
      <c r="E27" s="181"/>
      <c r="F27" s="186"/>
      <c r="G27" s="186"/>
      <c r="H27" s="181"/>
      <c r="I27" s="186"/>
      <c r="J27" s="16"/>
      <c r="K27" s="16"/>
      <c r="L27" s="16"/>
      <c r="M27" s="16"/>
      <c r="N27" s="16"/>
      <c r="O27" s="15"/>
      <c r="P27" s="15"/>
      <c r="Q27" s="15"/>
      <c r="R27" s="15"/>
      <c r="S27" s="15"/>
      <c r="T27" s="15"/>
    </row>
    <row r="28" spans="1:21" ht="33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3">D31+D34</f>
        <v>1</v>
      </c>
      <c r="E28" s="181">
        <f t="shared" si="13"/>
        <v>1</v>
      </c>
      <c r="F28" s="181">
        <f t="shared" si="13"/>
        <v>1</v>
      </c>
      <c r="G28" s="181">
        <f t="shared" si="13"/>
        <v>1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  <c r="T28" s="15"/>
    </row>
    <row r="29" spans="1:21" ht="33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4">E35</f>
        <v>36.9</v>
      </c>
      <c r="F29" s="186">
        <f t="shared" si="14"/>
        <v>0</v>
      </c>
      <c r="G29" s="186">
        <f t="shared" si="14"/>
        <v>0</v>
      </c>
      <c r="H29" s="181">
        <f t="shared" si="2"/>
        <v>0</v>
      </c>
      <c r="I29" s="186"/>
      <c r="J29" s="16"/>
      <c r="K29" s="16"/>
      <c r="L29" s="16"/>
      <c r="M29" s="16"/>
      <c r="N29" s="16"/>
      <c r="O29" s="15"/>
      <c r="P29" s="15"/>
      <c r="Q29" s="15"/>
      <c r="R29" s="15"/>
      <c r="S29" s="15"/>
      <c r="T29" s="15"/>
    </row>
    <row r="30" spans="1:21" ht="33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5">E28*E29/10</f>
        <v>3.69</v>
      </c>
      <c r="F30" s="186">
        <f t="shared" si="15"/>
        <v>0</v>
      </c>
      <c r="G30" s="186">
        <f t="shared" si="15"/>
        <v>0</v>
      </c>
      <c r="H30" s="181">
        <f t="shared" si="2"/>
        <v>0</v>
      </c>
      <c r="I30" s="186"/>
      <c r="J30" s="16"/>
      <c r="K30" s="16"/>
      <c r="L30" s="16"/>
      <c r="M30" s="16"/>
      <c r="N30" s="16"/>
      <c r="O30" s="15"/>
      <c r="P30" s="15"/>
      <c r="Q30" s="15"/>
      <c r="R30" s="15"/>
      <c r="S30" s="15"/>
      <c r="T30" s="15"/>
    </row>
    <row r="31" spans="1:21" ht="33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6"/>
      <c r="K31" s="6"/>
      <c r="L31" s="61"/>
      <c r="M31" s="61"/>
      <c r="N31" s="61"/>
      <c r="O31" s="61"/>
      <c r="P31" s="15"/>
      <c r="Q31" s="15"/>
      <c r="R31" s="15"/>
      <c r="S31" s="15"/>
      <c r="T31" s="15"/>
    </row>
    <row r="32" spans="1:21" ht="33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6"/>
      <c r="L32" s="61"/>
      <c r="M32" s="61"/>
      <c r="N32" s="61"/>
      <c r="O32" s="61"/>
      <c r="P32" s="15"/>
      <c r="Q32" s="15"/>
      <c r="R32" s="15"/>
      <c r="S32" s="15"/>
      <c r="T32" s="15"/>
    </row>
    <row r="33" spans="1:23" ht="33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6"/>
      <c r="L33" s="61"/>
      <c r="M33" s="61"/>
      <c r="N33" s="61"/>
      <c r="O33" s="61"/>
      <c r="P33" s="15"/>
      <c r="Q33" s="15"/>
      <c r="R33" s="15"/>
      <c r="S33" s="15"/>
      <c r="T33" s="15"/>
    </row>
    <row r="34" spans="1:23" ht="33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1"/>
      <c r="J34" s="16"/>
      <c r="K34" s="29"/>
      <c r="L34" s="29"/>
      <c r="M34" s="29"/>
      <c r="N34" s="29"/>
      <c r="O34" s="29"/>
      <c r="P34" s="15"/>
      <c r="Q34" s="15"/>
      <c r="R34" s="15"/>
      <c r="S34" s="15"/>
      <c r="T34" s="15"/>
    </row>
    <row r="35" spans="1:23" ht="33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29"/>
      <c r="L35" s="29"/>
      <c r="M35" s="29"/>
      <c r="N35" s="29"/>
      <c r="O35" s="29"/>
      <c r="P35" s="15"/>
      <c r="Q35" s="15"/>
      <c r="R35" s="15"/>
      <c r="S35" s="15"/>
      <c r="T35" s="15"/>
    </row>
    <row r="36" spans="1:23" ht="33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6">E34*E35/10</f>
        <v>3.69</v>
      </c>
      <c r="F36" s="186">
        <f t="shared" si="16"/>
        <v>0</v>
      </c>
      <c r="G36" s="186">
        <f t="shared" si="16"/>
        <v>0</v>
      </c>
      <c r="H36" s="181">
        <f t="shared" si="2"/>
        <v>0</v>
      </c>
      <c r="I36" s="186"/>
      <c r="J36" s="16"/>
      <c r="K36" s="29"/>
      <c r="L36" s="29"/>
      <c r="M36" s="29"/>
      <c r="N36" s="29"/>
      <c r="O36" s="29"/>
      <c r="P36" s="15"/>
      <c r="Q36" s="15"/>
      <c r="R36" s="15"/>
      <c r="S36" s="15"/>
      <c r="T36" s="15"/>
    </row>
    <row r="37" spans="1:23" ht="33" customHeight="1" x14ac:dyDescent="0.25">
      <c r="A37" s="2">
        <v>2</v>
      </c>
      <c r="B37" s="225" t="s">
        <v>28</v>
      </c>
      <c r="C37" s="2" t="s">
        <v>4</v>
      </c>
      <c r="D37" s="181">
        <v>114</v>
      </c>
      <c r="E37" s="181">
        <v>99.37</v>
      </c>
      <c r="F37" s="181">
        <v>99.37</v>
      </c>
      <c r="G37" s="181">
        <v>99.37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14"/>
      <c r="Q37" s="14"/>
      <c r="R37" s="14"/>
      <c r="S37" s="14"/>
      <c r="T37" s="14"/>
      <c r="U37" s="14"/>
      <c r="V37" s="14"/>
      <c r="W37" s="14"/>
    </row>
    <row r="38" spans="1:23" ht="33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8"/>
      <c r="M38" s="8"/>
      <c r="N38" s="8"/>
      <c r="O38" s="8"/>
      <c r="P38" s="14"/>
      <c r="Q38" s="14"/>
      <c r="R38" s="14"/>
      <c r="S38" s="14"/>
      <c r="T38" s="14"/>
      <c r="U38" s="14"/>
      <c r="V38" s="14"/>
      <c r="W38" s="14"/>
    </row>
    <row r="39" spans="1:23" ht="33" customHeight="1" x14ac:dyDescent="0.25">
      <c r="A39" s="2"/>
      <c r="B39" s="227" t="s">
        <v>141</v>
      </c>
      <c r="C39" s="4" t="s">
        <v>15</v>
      </c>
      <c r="D39" s="186">
        <f>D37*D38/10</f>
        <v>1567.5</v>
      </c>
      <c r="E39" s="186">
        <f t="shared" ref="E39:G39" si="17">E37*E38/10</f>
        <v>1391.18</v>
      </c>
      <c r="F39" s="186">
        <f t="shared" si="17"/>
        <v>0</v>
      </c>
      <c r="G39" s="186">
        <f t="shared" si="17"/>
        <v>0</v>
      </c>
      <c r="H39" s="181">
        <f t="shared" si="2"/>
        <v>0</v>
      </c>
      <c r="I39" s="186"/>
      <c r="J39" s="13"/>
      <c r="K39" s="8"/>
      <c r="L39" s="8"/>
      <c r="M39" s="8"/>
      <c r="N39" s="8"/>
      <c r="O39" s="8"/>
      <c r="P39" s="14"/>
      <c r="Q39" s="14"/>
      <c r="R39" s="14"/>
      <c r="S39" s="14"/>
      <c r="T39" s="14"/>
      <c r="U39" s="14"/>
      <c r="V39" s="14"/>
      <c r="W39" s="14"/>
    </row>
    <row r="40" spans="1:23" ht="33" customHeight="1" x14ac:dyDescent="0.25">
      <c r="A40" s="2">
        <v>3</v>
      </c>
      <c r="B40" s="223" t="s">
        <v>162</v>
      </c>
      <c r="C40" s="222" t="s">
        <v>4</v>
      </c>
      <c r="D40" s="184"/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8"/>
      <c r="M40" s="8"/>
      <c r="N40" s="8"/>
      <c r="O40" s="8"/>
      <c r="P40" s="14"/>
      <c r="Q40" s="14"/>
      <c r="R40" s="14"/>
      <c r="S40" s="14"/>
      <c r="T40" s="14"/>
      <c r="U40" s="14"/>
      <c r="V40" s="14"/>
      <c r="W40" s="14"/>
    </row>
    <row r="41" spans="1:23" ht="33" customHeight="1" x14ac:dyDescent="0.25">
      <c r="A41" s="2"/>
      <c r="B41" s="226" t="s">
        <v>139</v>
      </c>
      <c r="C41" s="233" t="s">
        <v>140</v>
      </c>
      <c r="D41" s="188"/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8"/>
      <c r="M41" s="8"/>
      <c r="N41" s="8"/>
      <c r="O41" s="8"/>
      <c r="P41" s="14"/>
      <c r="Q41" s="14"/>
      <c r="R41" s="14"/>
      <c r="S41" s="14"/>
      <c r="T41" s="14"/>
      <c r="U41" s="14"/>
      <c r="V41" s="14"/>
      <c r="W41" s="14"/>
    </row>
    <row r="42" spans="1:23" ht="33" customHeight="1" x14ac:dyDescent="0.25">
      <c r="A42" s="2"/>
      <c r="B42" s="226" t="s">
        <v>141</v>
      </c>
      <c r="C42" s="233" t="s">
        <v>15</v>
      </c>
      <c r="D42" s="188"/>
      <c r="E42" s="188">
        <f>E40*E41/10</f>
        <v>1.2050000000000001</v>
      </c>
      <c r="F42" s="188">
        <f t="shared" ref="F42:G42" si="18">F40*F41/10</f>
        <v>0</v>
      </c>
      <c r="G42" s="188">
        <f t="shared" si="18"/>
        <v>0</v>
      </c>
      <c r="H42" s="181">
        <f t="shared" si="2"/>
        <v>0</v>
      </c>
      <c r="I42" s="186"/>
      <c r="J42" s="13"/>
      <c r="K42" s="8"/>
      <c r="L42" s="8"/>
      <c r="M42" s="8"/>
      <c r="N42" s="8"/>
      <c r="O42" s="8"/>
      <c r="P42" s="14"/>
      <c r="Q42" s="14"/>
      <c r="R42" s="14"/>
      <c r="S42" s="14"/>
      <c r="T42" s="14"/>
      <c r="U42" s="14"/>
      <c r="V42" s="14"/>
      <c r="W42" s="14"/>
    </row>
    <row r="43" spans="1:23" ht="33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26"/>
      <c r="L43" s="105"/>
      <c r="M43" s="105"/>
      <c r="N43" s="105"/>
      <c r="O43" s="105"/>
    </row>
    <row r="44" spans="1:23" ht="33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26"/>
      <c r="L44" s="47"/>
      <c r="M44" s="47"/>
      <c r="N44" s="47"/>
      <c r="O44" s="30"/>
    </row>
    <row r="45" spans="1:23" ht="33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3" ht="33" customHeight="1" x14ac:dyDescent="0.25">
      <c r="A46" s="2">
        <v>5</v>
      </c>
      <c r="B46" s="225" t="s">
        <v>30</v>
      </c>
      <c r="C46" s="2" t="s">
        <v>4</v>
      </c>
      <c r="D46" s="181">
        <f>D47+D55+D64</f>
        <v>37.71</v>
      </c>
      <c r="E46" s="181">
        <f t="shared" ref="E46:G46" si="20">E47+E55+E64</f>
        <v>47.31</v>
      </c>
      <c r="F46" s="181">
        <f t="shared" si="20"/>
        <v>38.31</v>
      </c>
      <c r="G46" s="181">
        <f t="shared" si="20"/>
        <v>38.31</v>
      </c>
      <c r="H46" s="181">
        <f t="shared" si="2"/>
        <v>80.976537729866834</v>
      </c>
      <c r="I46" s="181"/>
      <c r="J46" s="19"/>
      <c r="K46" s="19"/>
      <c r="L46" s="19"/>
      <c r="M46" s="19"/>
      <c r="N46" s="19"/>
    </row>
    <row r="47" spans="1:23" ht="33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29.21</v>
      </c>
      <c r="E47" s="181">
        <f t="shared" ref="E47:G47" si="21">E48+E49</f>
        <v>37.21</v>
      </c>
      <c r="F47" s="181">
        <f t="shared" si="21"/>
        <v>29.21</v>
      </c>
      <c r="G47" s="181">
        <f t="shared" si="21"/>
        <v>29.21</v>
      </c>
      <c r="H47" s="181">
        <f t="shared" si="2"/>
        <v>78.50040311744155</v>
      </c>
      <c r="I47" s="181"/>
      <c r="J47" s="19"/>
      <c r="K47" s="19"/>
      <c r="L47" s="19"/>
      <c r="M47" s="19"/>
      <c r="N47" s="19"/>
    </row>
    <row r="48" spans="1:23" ht="33" customHeight="1" x14ac:dyDescent="0.25">
      <c r="A48" s="5" t="s">
        <v>22</v>
      </c>
      <c r="B48" s="273" t="s">
        <v>117</v>
      </c>
      <c r="C48" s="274" t="s">
        <v>4</v>
      </c>
      <c r="D48" s="186">
        <v>28.35</v>
      </c>
      <c r="E48" s="186">
        <f>D48+D49</f>
        <v>29.21</v>
      </c>
      <c r="F48" s="186">
        <v>29.21</v>
      </c>
      <c r="G48" s="186">
        <v>29.21</v>
      </c>
      <c r="H48" s="181">
        <f t="shared" si="2"/>
        <v>100</v>
      </c>
      <c r="I48" s="186"/>
      <c r="J48" s="13"/>
      <c r="K48" s="13"/>
      <c r="L48" s="13"/>
      <c r="M48" s="13"/>
      <c r="N48" s="13"/>
      <c r="O48" s="14"/>
      <c r="P48" s="14"/>
      <c r="Q48" s="14"/>
    </row>
    <row r="49" spans="1:19" s="23" customFormat="1" ht="33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0.86</v>
      </c>
      <c r="E49" s="181">
        <f t="shared" ref="E49:G49" si="22">E50+E51</f>
        <v>8</v>
      </c>
      <c r="F49" s="181">
        <f t="shared" si="22"/>
        <v>0</v>
      </c>
      <c r="G49" s="181">
        <f t="shared" si="22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9" ht="33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8</v>
      </c>
      <c r="F50" s="186"/>
      <c r="G50" s="186">
        <v>0</v>
      </c>
      <c r="H50" s="181">
        <f t="shared" si="2"/>
        <v>0</v>
      </c>
      <c r="I50" s="186"/>
      <c r="J50" s="104"/>
      <c r="K50" s="19"/>
      <c r="L50" s="19"/>
      <c r="M50" s="19"/>
      <c r="N50" s="19"/>
    </row>
    <row r="51" spans="1:19" ht="33" customHeight="1" x14ac:dyDescent="0.25">
      <c r="A51" s="274" t="s">
        <v>16</v>
      </c>
      <c r="B51" s="276" t="s">
        <v>33</v>
      </c>
      <c r="C51" s="4" t="s">
        <v>4</v>
      </c>
      <c r="D51" s="186">
        <v>0.86</v>
      </c>
      <c r="E51" s="186">
        <v>0</v>
      </c>
      <c r="F51" s="186"/>
      <c r="G51" s="186"/>
      <c r="H51" s="181"/>
      <c r="I51" s="186"/>
      <c r="J51" s="19"/>
      <c r="K51" s="13"/>
      <c r="L51" s="13"/>
      <c r="M51" s="13"/>
      <c r="N51" s="19"/>
    </row>
    <row r="52" spans="1:19" s="23" customFormat="1" ht="33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17.43</v>
      </c>
      <c r="E52" s="181">
        <f t="shared" ref="E52:G52" si="23">E53+E54</f>
        <v>24.0975</v>
      </c>
      <c r="F52" s="181">
        <f t="shared" si="23"/>
        <v>24.1</v>
      </c>
      <c r="G52" s="181">
        <f t="shared" si="23"/>
        <v>24.1</v>
      </c>
      <c r="H52" s="181">
        <f t="shared" si="2"/>
        <v>100.01037452017844</v>
      </c>
      <c r="I52" s="181"/>
      <c r="J52" s="103"/>
      <c r="K52" s="103"/>
      <c r="L52" s="103"/>
      <c r="M52" s="103"/>
      <c r="N52" s="103"/>
    </row>
    <row r="53" spans="1:19" ht="33" customHeight="1" x14ac:dyDescent="0.25">
      <c r="A53" s="277" t="s">
        <v>16</v>
      </c>
      <c r="B53" s="276" t="s">
        <v>119</v>
      </c>
      <c r="C53" s="4" t="s">
        <v>4</v>
      </c>
      <c r="D53" s="186">
        <f>18.43-6</f>
        <v>12.43</v>
      </c>
      <c r="E53" s="186">
        <f>D48*85%</f>
        <v>24.0975</v>
      </c>
      <c r="F53" s="186">
        <v>24.1</v>
      </c>
      <c r="G53" s="186">
        <v>24.1</v>
      </c>
      <c r="H53" s="186">
        <f t="shared" si="2"/>
        <v>100.01037452017844</v>
      </c>
      <c r="I53" s="186"/>
      <c r="J53" s="19"/>
      <c r="K53" s="19"/>
      <c r="L53" s="114"/>
      <c r="M53" s="19"/>
      <c r="N53" s="19"/>
    </row>
    <row r="54" spans="1:19" ht="33" customHeight="1" x14ac:dyDescent="0.25">
      <c r="A54" s="4"/>
      <c r="B54" s="276" t="s">
        <v>120</v>
      </c>
      <c r="C54" s="4" t="s">
        <v>4</v>
      </c>
      <c r="D54" s="186">
        <v>5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9" ht="33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8.5</v>
      </c>
      <c r="E55" s="181">
        <f t="shared" ref="E55:G55" si="24">E56+E57</f>
        <v>10.1</v>
      </c>
      <c r="F55" s="181">
        <f t="shared" si="24"/>
        <v>9.1</v>
      </c>
      <c r="G55" s="181">
        <f t="shared" si="24"/>
        <v>9.1</v>
      </c>
      <c r="H55" s="181">
        <f t="shared" si="2"/>
        <v>90.099009900990097</v>
      </c>
      <c r="I55" s="181"/>
      <c r="J55" s="19"/>
      <c r="K55" s="19"/>
      <c r="L55" s="19"/>
      <c r="M55" s="19"/>
      <c r="N55" s="19"/>
    </row>
    <row r="56" spans="1:19" ht="33" customHeight="1" x14ac:dyDescent="0.25">
      <c r="A56" s="4" t="s">
        <v>22</v>
      </c>
      <c r="B56" s="273" t="s">
        <v>118</v>
      </c>
      <c r="C56" s="4" t="s">
        <v>4</v>
      </c>
      <c r="D56" s="186">
        <v>8.5</v>
      </c>
      <c r="E56" s="186">
        <f>D56+E58</f>
        <v>9.1</v>
      </c>
      <c r="F56" s="186">
        <v>9.1</v>
      </c>
      <c r="G56" s="186">
        <v>9.1</v>
      </c>
      <c r="H56" s="181">
        <f t="shared" si="2"/>
        <v>100</v>
      </c>
      <c r="I56" s="186"/>
      <c r="J56" s="19"/>
      <c r="K56" s="19"/>
      <c r="L56" s="19"/>
      <c r="M56" s="19"/>
      <c r="N56" s="19"/>
    </row>
    <row r="57" spans="1:19" ht="33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5">E58+E61</f>
        <v>1</v>
      </c>
      <c r="F57" s="186">
        <f t="shared" si="25"/>
        <v>0</v>
      </c>
      <c r="G57" s="186">
        <f t="shared" si="25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9" s="41" customFormat="1" ht="33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6">E59+E60</f>
        <v>0.6</v>
      </c>
      <c r="F58" s="189">
        <f t="shared" si="26"/>
        <v>0</v>
      </c>
      <c r="G58" s="189">
        <f t="shared" si="26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  <c r="R58" s="48"/>
      <c r="S58" s="48"/>
    </row>
    <row r="59" spans="1:19" ht="33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0.3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24"/>
      <c r="L59" s="6"/>
      <c r="M59" s="6"/>
      <c r="N59" s="6"/>
      <c r="O59" s="6"/>
      <c r="P59" s="30"/>
      <c r="Q59" s="30"/>
      <c r="R59" s="30"/>
      <c r="S59" s="30"/>
    </row>
    <row r="60" spans="1:19" ht="33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0.3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24"/>
      <c r="L60" s="6"/>
      <c r="M60" s="6"/>
      <c r="N60" s="6"/>
      <c r="O60" s="6"/>
      <c r="P60" s="30"/>
      <c r="Q60" s="30"/>
      <c r="R60" s="30"/>
      <c r="S60" s="30"/>
    </row>
    <row r="61" spans="1:19" s="41" customFormat="1" ht="33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7">E62+E63</f>
        <v>0.4</v>
      </c>
      <c r="F61" s="189">
        <f t="shared" si="27"/>
        <v>0</v>
      </c>
      <c r="G61" s="189">
        <f t="shared" si="27"/>
        <v>0</v>
      </c>
      <c r="H61" s="181">
        <f t="shared" si="2"/>
        <v>0</v>
      </c>
      <c r="I61" s="189"/>
      <c r="J61" s="104"/>
      <c r="K61" s="34"/>
      <c r="L61" s="34"/>
      <c r="M61" s="34"/>
      <c r="N61" s="34"/>
      <c r="O61" s="51"/>
      <c r="P61" s="48"/>
      <c r="Q61" s="48"/>
      <c r="R61" s="48"/>
      <c r="S61" s="48"/>
    </row>
    <row r="62" spans="1:19" ht="33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0.3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24"/>
      <c r="L62" s="6"/>
      <c r="M62" s="6"/>
      <c r="N62" s="6"/>
      <c r="O62" s="6"/>
      <c r="P62" s="30"/>
      <c r="Q62" s="30"/>
      <c r="R62" s="30"/>
      <c r="S62" s="30"/>
    </row>
    <row r="63" spans="1:19" ht="33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24"/>
      <c r="L63" s="6"/>
      <c r="M63" s="6"/>
      <c r="N63" s="6"/>
      <c r="O63" s="6"/>
      <c r="P63" s="30"/>
      <c r="Q63" s="30"/>
      <c r="R63" s="30"/>
      <c r="S63" s="30"/>
    </row>
    <row r="64" spans="1:19" ht="33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8">E65+E66</f>
        <v>0</v>
      </c>
      <c r="F64" s="181">
        <f t="shared" si="28"/>
        <v>0</v>
      </c>
      <c r="G64" s="181">
        <f t="shared" si="28"/>
        <v>0</v>
      </c>
      <c r="H64" s="181"/>
      <c r="I64" s="181"/>
      <c r="J64" s="19"/>
      <c r="K64" s="47"/>
      <c r="L64" s="47"/>
      <c r="M64" s="47"/>
      <c r="N64" s="47"/>
      <c r="O64" s="30"/>
      <c r="P64" s="30"/>
      <c r="Q64" s="30"/>
      <c r="R64" s="30"/>
      <c r="S64" s="30"/>
    </row>
    <row r="65" spans="1:17" ht="33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9"/>
      <c r="K65" s="19"/>
      <c r="L65" s="19"/>
      <c r="M65" s="19"/>
      <c r="N65" s="19"/>
    </row>
    <row r="66" spans="1:17" ht="33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3" customHeight="1" x14ac:dyDescent="0.25">
      <c r="A67" s="2">
        <v>6</v>
      </c>
      <c r="B67" s="225" t="s">
        <v>36</v>
      </c>
      <c r="C67" s="2" t="s">
        <v>4</v>
      </c>
      <c r="D67" s="181">
        <f>D68+D71</f>
        <v>32.049999999999997</v>
      </c>
      <c r="E67" s="181">
        <f t="shared" ref="E67:G67" si="29">E68+E71</f>
        <v>17.299999999999997</v>
      </c>
      <c r="F67" s="181">
        <f t="shared" si="29"/>
        <v>14.44</v>
      </c>
      <c r="G67" s="181">
        <f t="shared" si="29"/>
        <v>14.44</v>
      </c>
      <c r="H67" s="181">
        <f t="shared" si="2"/>
        <v>83.468208092485568</v>
      </c>
      <c r="I67" s="181"/>
      <c r="J67" s="19"/>
      <c r="K67" s="19"/>
      <c r="L67" s="19"/>
      <c r="M67" s="19"/>
      <c r="N67" s="19"/>
    </row>
    <row r="68" spans="1:17" ht="33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>E69+E70</f>
        <v>2</v>
      </c>
      <c r="F68" s="181">
        <f t="shared" ref="F68:G68" si="30">F69+F70</f>
        <v>0</v>
      </c>
      <c r="G68" s="181">
        <f t="shared" si="30"/>
        <v>0</v>
      </c>
      <c r="H68" s="181">
        <f t="shared" si="2"/>
        <v>0</v>
      </c>
      <c r="I68" s="181"/>
      <c r="J68" s="19"/>
      <c r="K68" s="19"/>
      <c r="L68" s="19"/>
      <c r="M68" s="19"/>
      <c r="N68" s="19"/>
    </row>
    <row r="69" spans="1:17" ht="33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19"/>
      <c r="L69" s="19"/>
      <c r="M69" s="19"/>
      <c r="N69" s="19"/>
    </row>
    <row r="70" spans="1:17" ht="33" customHeight="1" x14ac:dyDescent="0.25">
      <c r="A70" s="4" t="s">
        <v>16</v>
      </c>
      <c r="B70" s="273" t="s">
        <v>127</v>
      </c>
      <c r="C70" s="4" t="s">
        <v>4</v>
      </c>
      <c r="D70" s="186"/>
      <c r="E70" s="186">
        <v>2</v>
      </c>
      <c r="F70" s="186"/>
      <c r="G70" s="186"/>
      <c r="H70" s="181">
        <f t="shared" si="2"/>
        <v>0</v>
      </c>
      <c r="I70" s="186"/>
      <c r="J70" s="19"/>
      <c r="K70" s="19"/>
      <c r="L70" s="19"/>
      <c r="M70" s="19"/>
      <c r="N70" s="19"/>
    </row>
    <row r="71" spans="1:17" ht="33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32.049999999999997</v>
      </c>
      <c r="E71" s="181">
        <f t="shared" ref="E71:G71" si="31">E72+E73</f>
        <v>15.299999999999997</v>
      </c>
      <c r="F71" s="181">
        <f t="shared" si="31"/>
        <v>14.44</v>
      </c>
      <c r="G71" s="181">
        <f t="shared" si="31"/>
        <v>14.44</v>
      </c>
      <c r="H71" s="181">
        <f t="shared" si="2"/>
        <v>94.379084967320267</v>
      </c>
      <c r="I71" s="181"/>
      <c r="J71" s="19"/>
      <c r="K71" s="19"/>
      <c r="L71" s="19"/>
      <c r="M71" s="19"/>
      <c r="N71" s="19"/>
    </row>
    <row r="72" spans="1:17" ht="33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30.669999999999998</v>
      </c>
      <c r="E72" s="192">
        <f t="shared" ref="E72:G72" si="32">E75+E82</f>
        <v>14.439999999999998</v>
      </c>
      <c r="F72" s="192">
        <f t="shared" si="32"/>
        <v>14.44</v>
      </c>
      <c r="G72" s="192">
        <f t="shared" si="32"/>
        <v>14.44</v>
      </c>
      <c r="H72" s="181">
        <f t="shared" si="2"/>
        <v>100.00000000000003</v>
      </c>
      <c r="I72" s="192"/>
      <c r="J72" s="19"/>
      <c r="K72" s="19"/>
      <c r="L72" s="19"/>
      <c r="M72" s="19"/>
      <c r="N72" s="19"/>
    </row>
    <row r="73" spans="1:17" ht="33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1.38</v>
      </c>
      <c r="E73" s="181">
        <f>E76+E83</f>
        <v>0.86</v>
      </c>
      <c r="F73" s="181">
        <f t="shared" ref="F73:G73" si="33">F76+F83</f>
        <v>0</v>
      </c>
      <c r="G73" s="181">
        <f t="shared" si="33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3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23.939999999999998</v>
      </c>
      <c r="E74" s="194">
        <f t="shared" ref="E74:G74" si="34">E75+E76</f>
        <v>14.439999999999998</v>
      </c>
      <c r="F74" s="194">
        <f t="shared" si="34"/>
        <v>13.94</v>
      </c>
      <c r="G74" s="194">
        <f t="shared" si="34"/>
        <v>13.94</v>
      </c>
      <c r="H74" s="181">
        <f t="shared" ref="H74:H95" si="35">F74/E74*100</f>
        <v>96.537396121883674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3" customHeight="1" x14ac:dyDescent="0.25">
      <c r="A75" s="5" t="s">
        <v>22</v>
      </c>
      <c r="B75" s="281" t="s">
        <v>117</v>
      </c>
      <c r="C75" s="4" t="s">
        <v>4</v>
      </c>
      <c r="D75" s="196">
        <f>21.06+2</f>
        <v>23.06</v>
      </c>
      <c r="E75" s="196">
        <f>D75+D76-10</f>
        <v>13.939999999999998</v>
      </c>
      <c r="F75" s="186">
        <v>13.94</v>
      </c>
      <c r="G75" s="186">
        <v>13.94</v>
      </c>
      <c r="H75" s="186">
        <f t="shared" si="35"/>
        <v>100.00000000000003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17" ht="33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0.88</v>
      </c>
      <c r="E76" s="197">
        <f>SUM(E77:E80)</f>
        <v>0.5</v>
      </c>
      <c r="F76" s="197">
        <f t="shared" ref="F76:G76" si="36">SUM(F77:F80)</f>
        <v>0</v>
      </c>
      <c r="G76" s="197">
        <f t="shared" si="36"/>
        <v>0</v>
      </c>
      <c r="H76" s="181">
        <f t="shared" si="35"/>
        <v>0</v>
      </c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3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0.5</v>
      </c>
      <c r="F77" s="186">
        <v>0</v>
      </c>
      <c r="G77" s="186">
        <v>0</v>
      </c>
      <c r="H77" s="181">
        <f t="shared" si="35"/>
        <v>0</v>
      </c>
      <c r="I77" s="186"/>
      <c r="J77" s="107"/>
      <c r="K77" s="107"/>
      <c r="L77" s="109"/>
      <c r="M77" s="110"/>
      <c r="N77" s="110"/>
      <c r="O77" s="18"/>
      <c r="P77" s="56"/>
      <c r="Q77" s="56"/>
    </row>
    <row r="78" spans="1:17" ht="33" customHeight="1" x14ac:dyDescent="0.25">
      <c r="A78" s="3" t="s">
        <v>16</v>
      </c>
      <c r="B78" s="283" t="s">
        <v>110</v>
      </c>
      <c r="C78" s="3" t="s">
        <v>4</v>
      </c>
      <c r="D78" s="186">
        <v>0.88</v>
      </c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3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3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19" s="44" customFormat="1" ht="33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8.11</v>
      </c>
      <c r="E81" s="194">
        <f>E82+E83</f>
        <v>0.86</v>
      </c>
      <c r="F81" s="194">
        <f t="shared" ref="F81:G81" si="37">F82+F83</f>
        <v>0.5</v>
      </c>
      <c r="G81" s="194">
        <f t="shared" si="37"/>
        <v>0.5</v>
      </c>
      <c r="H81" s="203">
        <f t="shared" si="35"/>
        <v>58.139534883720934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19" s="41" customFormat="1" ht="33" customHeight="1" x14ac:dyDescent="0.25">
      <c r="A82" s="282" t="s">
        <v>16</v>
      </c>
      <c r="B82" s="283" t="s">
        <v>109</v>
      </c>
      <c r="C82" s="3" t="s">
        <v>4</v>
      </c>
      <c r="D82" s="189">
        <v>7.61</v>
      </c>
      <c r="E82" s="189">
        <v>0.5</v>
      </c>
      <c r="F82" s="189">
        <v>0.5</v>
      </c>
      <c r="G82" s="189">
        <v>0.5</v>
      </c>
      <c r="H82" s="186">
        <f t="shared" si="35"/>
        <v>100</v>
      </c>
      <c r="I82" s="189"/>
      <c r="J82" s="107"/>
      <c r="K82" s="107"/>
      <c r="L82" s="110"/>
      <c r="M82" s="109"/>
      <c r="N82" s="109"/>
      <c r="O82" s="40"/>
      <c r="P82" s="40"/>
      <c r="Q82" s="40"/>
    </row>
    <row r="83" spans="1:19" ht="33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8">SUM(D84:D87)</f>
        <v>0.5</v>
      </c>
      <c r="E83" s="196">
        <f>SUM(E84:E87)</f>
        <v>0.36</v>
      </c>
      <c r="F83" s="196">
        <f t="shared" ref="F83:G83" si="39">SUM(F84:F87)</f>
        <v>0</v>
      </c>
      <c r="G83" s="196">
        <f t="shared" si="39"/>
        <v>0</v>
      </c>
      <c r="H83" s="181">
        <f t="shared" si="35"/>
        <v>0</v>
      </c>
      <c r="I83" s="196"/>
      <c r="J83" s="107"/>
      <c r="K83" s="107"/>
      <c r="L83" s="107"/>
      <c r="M83" s="107"/>
      <c r="N83" s="107"/>
    </row>
    <row r="84" spans="1:19" ht="33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</row>
    <row r="85" spans="1:19" ht="33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</row>
    <row r="86" spans="1:19" ht="33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19" ht="33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0.36</v>
      </c>
      <c r="F87" s="186">
        <v>0</v>
      </c>
      <c r="G87" s="186">
        <v>0</v>
      </c>
      <c r="H87" s="181">
        <f t="shared" si="35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32"/>
      <c r="S87" s="32"/>
    </row>
    <row r="88" spans="1:19" ht="33" customHeight="1" x14ac:dyDescent="0.25">
      <c r="A88" s="2" t="s">
        <v>42</v>
      </c>
      <c r="B88" s="224" t="s">
        <v>43</v>
      </c>
      <c r="C88" s="2"/>
      <c r="D88" s="181">
        <f>SUM(D89:D93)</f>
        <v>881</v>
      </c>
      <c r="E88" s="181">
        <f t="shared" ref="E88:G88" si="40">SUM(E89:E93)</f>
        <v>823</v>
      </c>
      <c r="F88" s="181">
        <f t="shared" si="40"/>
        <v>761</v>
      </c>
      <c r="G88" s="181">
        <f t="shared" si="40"/>
        <v>761</v>
      </c>
      <c r="H88" s="181">
        <f t="shared" si="35"/>
        <v>92.466585662211415</v>
      </c>
      <c r="I88" s="181"/>
      <c r="J88" s="20"/>
      <c r="K88" s="20"/>
      <c r="L88" s="28"/>
      <c r="M88" s="28"/>
      <c r="N88" s="20"/>
    </row>
    <row r="89" spans="1:19" s="84" customFormat="1" ht="33" customHeight="1" x14ac:dyDescent="0.25">
      <c r="A89" s="4">
        <v>1</v>
      </c>
      <c r="B89" s="227" t="s">
        <v>44</v>
      </c>
      <c r="C89" s="4" t="s">
        <v>6</v>
      </c>
      <c r="D89" s="186">
        <v>79</v>
      </c>
      <c r="E89" s="186">
        <f>50+27</f>
        <v>77</v>
      </c>
      <c r="F89" s="186">
        <v>76</v>
      </c>
      <c r="G89" s="186">
        <f>F89</f>
        <v>76</v>
      </c>
      <c r="H89" s="186">
        <f t="shared" si="35"/>
        <v>98.701298701298697</v>
      </c>
      <c r="I89" s="186"/>
      <c r="J89" s="112"/>
      <c r="K89" s="102"/>
      <c r="L89" s="208"/>
      <c r="M89" s="209"/>
      <c r="N89" s="112"/>
    </row>
    <row r="90" spans="1:19" s="84" customFormat="1" ht="33" customHeight="1" x14ac:dyDescent="0.25">
      <c r="A90" s="4">
        <v>2</v>
      </c>
      <c r="B90" s="227" t="s">
        <v>45</v>
      </c>
      <c r="C90" s="4" t="s">
        <v>6</v>
      </c>
      <c r="D90" s="186">
        <v>132</v>
      </c>
      <c r="E90" s="186">
        <f>130+21</f>
        <v>151</v>
      </c>
      <c r="F90" s="186">
        <v>148</v>
      </c>
      <c r="G90" s="186">
        <f>F90</f>
        <v>148</v>
      </c>
      <c r="H90" s="186">
        <f t="shared" si="35"/>
        <v>98.013245033112582</v>
      </c>
      <c r="I90" s="186"/>
      <c r="J90" s="157"/>
      <c r="K90" s="157"/>
      <c r="L90" s="208"/>
      <c r="M90" s="209"/>
      <c r="N90" s="112"/>
    </row>
    <row r="91" spans="1:19" s="84" customFormat="1" ht="33" customHeight="1" x14ac:dyDescent="0.25">
      <c r="A91" s="4">
        <v>3</v>
      </c>
      <c r="B91" s="227" t="s">
        <v>46</v>
      </c>
      <c r="C91" s="4" t="s">
        <v>6</v>
      </c>
      <c r="D91" s="186">
        <v>75</v>
      </c>
      <c r="E91" s="186">
        <f>76+24</f>
        <v>100</v>
      </c>
      <c r="F91" s="186">
        <v>85</v>
      </c>
      <c r="G91" s="186">
        <f>F91</f>
        <v>85</v>
      </c>
      <c r="H91" s="186">
        <f t="shared" si="35"/>
        <v>85</v>
      </c>
      <c r="I91" s="186"/>
      <c r="J91" s="157"/>
      <c r="K91" s="157"/>
      <c r="L91" s="208"/>
      <c r="M91" s="209"/>
      <c r="N91" s="112"/>
    </row>
    <row r="92" spans="1:19" ht="33" customHeight="1" x14ac:dyDescent="0.25">
      <c r="A92" s="4">
        <v>4</v>
      </c>
      <c r="B92" s="227" t="s">
        <v>47</v>
      </c>
      <c r="C92" s="4" t="s">
        <v>6</v>
      </c>
      <c r="D92" s="186">
        <v>15</v>
      </c>
      <c r="E92" s="186">
        <f>17-17</f>
        <v>0</v>
      </c>
      <c r="F92" s="186"/>
      <c r="G92" s="186"/>
      <c r="H92" s="181"/>
      <c r="I92" s="186"/>
      <c r="J92" s="20"/>
      <c r="K92" s="13"/>
      <c r="L92" s="210"/>
      <c r="M92" s="209"/>
      <c r="N92" s="20"/>
    </row>
    <row r="93" spans="1:19" s="84" customFormat="1" ht="33" customHeight="1" x14ac:dyDescent="0.25">
      <c r="A93" s="4">
        <v>5</v>
      </c>
      <c r="B93" s="227" t="s">
        <v>48</v>
      </c>
      <c r="C93" s="4" t="s">
        <v>6</v>
      </c>
      <c r="D93" s="186">
        <v>580</v>
      </c>
      <c r="E93" s="186">
        <f>548-53</f>
        <v>495</v>
      </c>
      <c r="F93" s="186">
        <v>452</v>
      </c>
      <c r="G93" s="186">
        <f>F93</f>
        <v>452</v>
      </c>
      <c r="H93" s="186">
        <f t="shared" si="35"/>
        <v>91.313131313131308</v>
      </c>
      <c r="I93" s="186"/>
      <c r="J93" s="157"/>
      <c r="K93" s="157"/>
      <c r="L93" s="210"/>
      <c r="M93" s="209"/>
      <c r="N93" s="112"/>
    </row>
    <row r="94" spans="1:19" s="23" customFormat="1" ht="33" customHeight="1" x14ac:dyDescent="0.25">
      <c r="A94" s="2" t="s">
        <v>49</v>
      </c>
      <c r="B94" s="225" t="s">
        <v>50</v>
      </c>
      <c r="C94" s="2" t="s">
        <v>4</v>
      </c>
      <c r="D94" s="181">
        <f>D95</f>
        <v>1.1000000000000001</v>
      </c>
      <c r="E94" s="181">
        <f t="shared" ref="E94:G94" si="41">E95</f>
        <v>1.1000000000000001</v>
      </c>
      <c r="F94" s="181">
        <f t="shared" si="41"/>
        <v>1.1000000000000001</v>
      </c>
      <c r="G94" s="181">
        <f t="shared" si="41"/>
        <v>1.1000000000000001</v>
      </c>
      <c r="H94" s="181">
        <f t="shared" si="35"/>
        <v>100</v>
      </c>
      <c r="I94" s="181"/>
      <c r="J94" s="22"/>
      <c r="K94" s="22"/>
      <c r="L94" s="22"/>
      <c r="M94" s="22"/>
      <c r="N94" s="22"/>
    </row>
    <row r="95" spans="1:19" ht="33" customHeight="1" x14ac:dyDescent="0.25">
      <c r="A95" s="3" t="s">
        <v>16</v>
      </c>
      <c r="B95" s="279" t="s">
        <v>51</v>
      </c>
      <c r="C95" s="3" t="s">
        <v>4</v>
      </c>
      <c r="D95" s="186">
        <v>1.1000000000000001</v>
      </c>
      <c r="E95" s="186">
        <v>1.1000000000000001</v>
      </c>
      <c r="F95" s="186">
        <v>1.1000000000000001</v>
      </c>
      <c r="G95" s="186">
        <v>1.1000000000000001</v>
      </c>
      <c r="H95" s="186">
        <f t="shared" si="35"/>
        <v>100</v>
      </c>
      <c r="I95" s="186"/>
      <c r="J95" s="104"/>
      <c r="K95" s="20"/>
      <c r="L95" s="20"/>
      <c r="M95" s="20"/>
      <c r="N95" s="20"/>
    </row>
    <row r="96" spans="1:19" ht="33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2">E97+E98</f>
        <v>0</v>
      </c>
      <c r="F96" s="181">
        <f t="shared" si="42"/>
        <v>0</v>
      </c>
      <c r="G96" s="181">
        <f t="shared" si="42"/>
        <v>0</v>
      </c>
      <c r="H96" s="181"/>
      <c r="I96" s="181"/>
      <c r="J96" s="20"/>
      <c r="K96" s="20"/>
      <c r="L96" s="20"/>
      <c r="M96" s="20"/>
      <c r="N96" s="20"/>
    </row>
    <row r="97" spans="1:14" ht="33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3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1"/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43307086614173229" right="0.35433070866141736" top="0.43307086614173229" bottom="0.27559055118110237" header="0" footer="0"/>
  <pageSetup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88671875" style="220" customWidth="1"/>
    <col min="2" max="2" width="29.88671875" style="220" customWidth="1"/>
    <col min="3" max="3" width="9.44140625" style="220" customWidth="1"/>
    <col min="4" max="5" width="17.21875" style="220" customWidth="1"/>
    <col min="6" max="8" width="12.6640625" style="220" customWidth="1"/>
    <col min="9" max="9" width="9" style="220" customWidth="1"/>
    <col min="10" max="10" width="8.88671875" style="17" customWidth="1"/>
    <col min="11" max="11" width="19.109375" style="17" customWidth="1"/>
    <col min="12" max="14" width="8.88671875" style="17" customWidth="1"/>
    <col min="15" max="16384" width="11.21875" style="17"/>
  </cols>
  <sheetData>
    <row r="1" spans="1:14" ht="15" customHeight="1" x14ac:dyDescent="0.25">
      <c r="H1" s="422"/>
      <c r="I1" s="422"/>
    </row>
    <row r="2" spans="1:14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4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4" ht="16.5" x14ac:dyDescent="0.25">
      <c r="A4" s="418" t="s">
        <v>153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4" ht="16.5" x14ac:dyDescent="0.25">
      <c r="A5" s="430" t="str">
        <f>'NGỌC LEANG(9)'!A5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4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4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45</v>
      </c>
      <c r="M7" s="19"/>
      <c r="N7" s="19"/>
    </row>
    <row r="8" spans="1:14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195</v>
      </c>
      <c r="M8" s="19"/>
      <c r="N8" s="19"/>
    </row>
    <row r="9" spans="1:14" s="23" customFormat="1" ht="31.15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51.7</v>
      </c>
      <c r="E9" s="181">
        <f t="shared" ref="E9:G9" si="0">E13+E28+E37+E43+E46+E67</f>
        <v>59.07</v>
      </c>
      <c r="F9" s="181">
        <f t="shared" si="0"/>
        <v>48.150000000000006</v>
      </c>
      <c r="G9" s="181">
        <f t="shared" si="0"/>
        <v>48.150000000000006</v>
      </c>
      <c r="H9" s="181">
        <f>F9/E9*100</f>
        <v>81.513458608430682</v>
      </c>
      <c r="I9" s="181"/>
      <c r="J9" s="103"/>
      <c r="K9" s="103"/>
      <c r="L9" s="103"/>
      <c r="M9" s="103"/>
      <c r="N9" s="103"/>
    </row>
    <row r="10" spans="1:14" s="23" customFormat="1" ht="31.15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</v>
      </c>
      <c r="F10" s="181">
        <f t="shared" si="1"/>
        <v>1</v>
      </c>
      <c r="G10" s="181">
        <f t="shared" si="1"/>
        <v>1</v>
      </c>
      <c r="H10" s="181">
        <f t="shared" ref="H10:H73" si="2">F10/E10*100</f>
        <v>100</v>
      </c>
      <c r="I10" s="181"/>
      <c r="J10" s="103"/>
      <c r="K10" s="103"/>
      <c r="L10" s="103"/>
      <c r="M10" s="103"/>
      <c r="N10" s="103"/>
    </row>
    <row r="11" spans="1:14" s="70" customFormat="1" ht="31.15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3.69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22"/>
      <c r="M11" s="122"/>
      <c r="N11" s="122"/>
    </row>
    <row r="12" spans="1:14" s="70" customFormat="1" ht="31.15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0</v>
      </c>
      <c r="F12" s="181">
        <f t="shared" si="4"/>
        <v>0</v>
      </c>
      <c r="G12" s="181">
        <f t="shared" si="4"/>
        <v>0</v>
      </c>
      <c r="H12" s="181"/>
      <c r="I12" s="181"/>
      <c r="J12" s="103"/>
      <c r="K12" s="103"/>
      <c r="L12" s="122"/>
      <c r="M12" s="122"/>
      <c r="N12" s="122"/>
    </row>
    <row r="13" spans="1:14" ht="31.15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0</v>
      </c>
      <c r="F13" s="181">
        <f t="shared" si="5"/>
        <v>0</v>
      </c>
      <c r="G13" s="181">
        <f t="shared" si="5"/>
        <v>0</v>
      </c>
      <c r="H13" s="181"/>
      <c r="I13" s="181"/>
      <c r="J13" s="19"/>
      <c r="K13" s="19"/>
      <c r="L13" s="19"/>
      <c r="M13" s="19"/>
      <c r="N13" s="19"/>
    </row>
    <row r="14" spans="1:14" ht="31.15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4" ht="31.15" customHeight="1" x14ac:dyDescent="0.25">
      <c r="A15" s="2"/>
      <c r="B15" s="227" t="s">
        <v>141</v>
      </c>
      <c r="C15" s="4" t="s">
        <v>15</v>
      </c>
      <c r="D15" s="181">
        <f>D13*D14/10</f>
        <v>0</v>
      </c>
      <c r="E15" s="181">
        <f t="shared" ref="E15:G15" si="7">E13*E14/10</f>
        <v>0</v>
      </c>
      <c r="F15" s="181">
        <f t="shared" si="7"/>
        <v>0</v>
      </c>
      <c r="G15" s="181">
        <f t="shared" si="7"/>
        <v>0</v>
      </c>
      <c r="H15" s="181"/>
      <c r="I15" s="181"/>
      <c r="J15" s="19"/>
      <c r="K15" s="19"/>
      <c r="L15" s="19"/>
      <c r="M15" s="19"/>
      <c r="N15" s="19"/>
    </row>
    <row r="16" spans="1:14" ht="31.15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0</v>
      </c>
      <c r="F16" s="186">
        <v>0</v>
      </c>
      <c r="G16" s="186">
        <v>0</v>
      </c>
      <c r="H16" s="181"/>
      <c r="I16" s="186"/>
      <c r="J16" s="19"/>
      <c r="K16" s="19"/>
      <c r="L16" s="19"/>
      <c r="M16" s="19"/>
      <c r="N16" s="19"/>
    </row>
    <row r="17" spans="1:15" ht="31.15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/>
      <c r="G17" s="186"/>
      <c r="H17" s="181">
        <f t="shared" si="2"/>
        <v>0</v>
      </c>
      <c r="I17" s="186"/>
      <c r="J17" s="19"/>
      <c r="K17" s="19"/>
      <c r="L17" s="19"/>
      <c r="M17" s="19"/>
      <c r="N17" s="19"/>
    </row>
    <row r="18" spans="1:15" ht="31.15" customHeight="1" x14ac:dyDescent="0.25">
      <c r="A18" s="2"/>
      <c r="B18" s="227" t="s">
        <v>141</v>
      </c>
      <c r="C18" s="4" t="s">
        <v>15</v>
      </c>
      <c r="D18" s="181">
        <f>D16*D17/10</f>
        <v>0</v>
      </c>
      <c r="E18" s="181">
        <f t="shared" ref="E18:G18" si="8">E16*E17/10</f>
        <v>0</v>
      </c>
      <c r="F18" s="181">
        <f t="shared" si="8"/>
        <v>0</v>
      </c>
      <c r="G18" s="181">
        <f t="shared" si="8"/>
        <v>0</v>
      </c>
      <c r="H18" s="181"/>
      <c r="I18" s="181"/>
      <c r="J18" s="19"/>
      <c r="K18" s="19"/>
      <c r="L18" s="19"/>
      <c r="M18" s="19"/>
      <c r="N18" s="19"/>
    </row>
    <row r="19" spans="1:15" ht="31.15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0</v>
      </c>
      <c r="F19" s="181">
        <f t="shared" si="9"/>
        <v>0</v>
      </c>
      <c r="G19" s="181">
        <f t="shared" si="9"/>
        <v>0</v>
      </c>
      <c r="H19" s="181"/>
      <c r="I19" s="181"/>
      <c r="J19" s="19"/>
      <c r="K19" s="19"/>
      <c r="L19" s="19"/>
      <c r="M19" s="19"/>
      <c r="N19" s="19"/>
    </row>
    <row r="20" spans="1:15" ht="31.15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26.770000000000003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19"/>
      <c r="K20" s="19"/>
      <c r="L20" s="19"/>
      <c r="M20" s="19"/>
      <c r="N20" s="19"/>
    </row>
    <row r="21" spans="1:15" ht="31.15" customHeight="1" x14ac:dyDescent="0.25">
      <c r="A21" s="269"/>
      <c r="B21" s="227" t="s">
        <v>141</v>
      </c>
      <c r="C21" s="4" t="s">
        <v>15</v>
      </c>
      <c r="D21" s="181">
        <f>D19*D20/10</f>
        <v>0</v>
      </c>
      <c r="E21" s="181">
        <f t="shared" ref="E21:G21" si="11">E19*E20/10</f>
        <v>0</v>
      </c>
      <c r="F21" s="181">
        <f t="shared" si="11"/>
        <v>0</v>
      </c>
      <c r="G21" s="181">
        <f t="shared" si="11"/>
        <v>0</v>
      </c>
      <c r="H21" s="181"/>
      <c r="I21" s="181"/>
      <c r="J21" s="19"/>
      <c r="K21" s="19"/>
      <c r="L21" s="19"/>
      <c r="M21" s="19"/>
      <c r="N21" s="19"/>
    </row>
    <row r="22" spans="1:15" ht="31.15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0</v>
      </c>
      <c r="F22" s="181"/>
      <c r="G22" s="181"/>
      <c r="H22" s="181"/>
      <c r="I22" s="181"/>
      <c r="J22" s="19"/>
      <c r="K22" s="19"/>
      <c r="L22" s="19"/>
      <c r="M22" s="19"/>
      <c r="N22" s="19"/>
    </row>
    <row r="23" spans="1:15" ht="31.15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9"/>
      <c r="K23" s="19"/>
      <c r="L23" s="19"/>
      <c r="M23" s="19"/>
      <c r="N23" s="19"/>
    </row>
    <row r="24" spans="1:15" ht="31.15" customHeight="1" x14ac:dyDescent="0.25">
      <c r="A24" s="269"/>
      <c r="B24" s="227" t="s">
        <v>141</v>
      </c>
      <c r="C24" s="4" t="s">
        <v>15</v>
      </c>
      <c r="D24" s="181"/>
      <c r="E24" s="181"/>
      <c r="F24" s="181"/>
      <c r="G24" s="181"/>
      <c r="H24" s="181"/>
      <c r="I24" s="181"/>
      <c r="J24" s="19"/>
      <c r="K24" s="19"/>
      <c r="L24" s="19"/>
      <c r="M24" s="19"/>
      <c r="N24" s="19"/>
    </row>
    <row r="25" spans="1:15" ht="31.15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1"/>
      <c r="G25" s="181"/>
      <c r="H25" s="181"/>
      <c r="I25" s="181"/>
      <c r="J25" s="19"/>
      <c r="K25" s="19"/>
      <c r="L25" s="19"/>
      <c r="M25" s="19"/>
      <c r="N25" s="19"/>
    </row>
    <row r="26" spans="1:15" ht="31.15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>
        <f t="shared" si="2"/>
        <v>0</v>
      </c>
      <c r="I26" s="186"/>
      <c r="J26" s="19"/>
      <c r="K26" s="19"/>
      <c r="L26" s="19"/>
      <c r="M26" s="19"/>
      <c r="N26" s="19"/>
    </row>
    <row r="27" spans="1:15" ht="31.15" customHeight="1" x14ac:dyDescent="0.25">
      <c r="A27" s="269"/>
      <c r="B27" s="227" t="s">
        <v>141</v>
      </c>
      <c r="C27" s="4" t="s">
        <v>15</v>
      </c>
      <c r="D27" s="181"/>
      <c r="E27" s="181"/>
      <c r="F27" s="181"/>
      <c r="G27" s="181"/>
      <c r="H27" s="181"/>
      <c r="I27" s="181"/>
      <c r="J27" s="19"/>
      <c r="K27" s="19"/>
      <c r="L27" s="19"/>
      <c r="M27" s="19"/>
      <c r="N27" s="19"/>
    </row>
    <row r="28" spans="1:15" ht="31.15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2">D31+D34</f>
        <v>1</v>
      </c>
      <c r="E28" s="181">
        <f t="shared" si="12"/>
        <v>1</v>
      </c>
      <c r="F28" s="181">
        <f t="shared" si="12"/>
        <v>1</v>
      </c>
      <c r="G28" s="181">
        <f t="shared" si="12"/>
        <v>1</v>
      </c>
      <c r="H28" s="181">
        <f t="shared" si="2"/>
        <v>100</v>
      </c>
      <c r="I28" s="181"/>
      <c r="J28" s="19"/>
      <c r="K28" s="19"/>
      <c r="L28" s="19"/>
      <c r="M28" s="19"/>
      <c r="N28" s="19"/>
    </row>
    <row r="29" spans="1:15" ht="31.15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3">E35</f>
        <v>36.9</v>
      </c>
      <c r="F29" s="186">
        <f t="shared" si="13"/>
        <v>0</v>
      </c>
      <c r="G29" s="186">
        <f t="shared" si="13"/>
        <v>0</v>
      </c>
      <c r="H29" s="181">
        <f t="shared" si="2"/>
        <v>0</v>
      </c>
      <c r="I29" s="186"/>
      <c r="J29" s="19"/>
      <c r="K29" s="19"/>
      <c r="L29" s="19"/>
      <c r="M29" s="19"/>
      <c r="N29" s="19"/>
    </row>
    <row r="30" spans="1:15" ht="31.15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4">E28*E29/10</f>
        <v>3.69</v>
      </c>
      <c r="F30" s="186">
        <f t="shared" si="14"/>
        <v>0</v>
      </c>
      <c r="G30" s="186">
        <f t="shared" si="14"/>
        <v>0</v>
      </c>
      <c r="H30" s="181">
        <f t="shared" si="2"/>
        <v>0</v>
      </c>
      <c r="I30" s="186"/>
      <c r="J30" s="19"/>
      <c r="K30" s="19"/>
      <c r="L30" s="19"/>
      <c r="M30" s="19"/>
      <c r="N30" s="19"/>
    </row>
    <row r="31" spans="1:15" ht="31.15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9"/>
      <c r="K31" s="6"/>
      <c r="L31" s="61"/>
      <c r="M31" s="61"/>
      <c r="N31" s="61"/>
      <c r="O31" s="61"/>
    </row>
    <row r="32" spans="1:15" ht="31.15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9"/>
      <c r="K32" s="6"/>
      <c r="L32" s="61"/>
      <c r="M32" s="61"/>
      <c r="N32" s="61"/>
      <c r="O32" s="61"/>
    </row>
    <row r="33" spans="1:25" ht="31.15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9"/>
      <c r="K33" s="6"/>
      <c r="L33" s="61"/>
      <c r="M33" s="61"/>
      <c r="N33" s="61"/>
      <c r="O33" s="61"/>
    </row>
    <row r="34" spans="1:25" ht="31.15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1"/>
      <c r="J34" s="19"/>
      <c r="K34" s="29"/>
      <c r="L34" s="29"/>
      <c r="M34" s="29"/>
      <c r="N34" s="29"/>
      <c r="O34" s="29"/>
    </row>
    <row r="35" spans="1:25" ht="31.15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9"/>
      <c r="K35" s="29"/>
      <c r="L35" s="29"/>
      <c r="M35" s="29"/>
      <c r="N35" s="29"/>
      <c r="O35" s="29"/>
    </row>
    <row r="36" spans="1:25" ht="31.15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5">E34*E35/10</f>
        <v>3.69</v>
      </c>
      <c r="F36" s="186">
        <f t="shared" si="15"/>
        <v>0</v>
      </c>
      <c r="G36" s="186">
        <f t="shared" si="15"/>
        <v>0</v>
      </c>
      <c r="H36" s="181">
        <f t="shared" si="2"/>
        <v>0</v>
      </c>
      <c r="I36" s="186"/>
      <c r="J36" s="19"/>
      <c r="K36" s="29"/>
      <c r="L36" s="29"/>
      <c r="M36" s="29"/>
      <c r="N36" s="29"/>
      <c r="O36" s="29"/>
    </row>
    <row r="37" spans="1:25" ht="31.15" customHeight="1" x14ac:dyDescent="0.25">
      <c r="A37" s="2">
        <v>2</v>
      </c>
      <c r="B37" s="225" t="s">
        <v>28</v>
      </c>
      <c r="C37" s="2" t="s">
        <v>4</v>
      </c>
      <c r="D37" s="181">
        <v>10.199999999999999</v>
      </c>
      <c r="E37" s="181">
        <v>9.51</v>
      </c>
      <c r="F37" s="181">
        <v>9.51</v>
      </c>
      <c r="G37" s="181">
        <v>9.51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31.15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8"/>
      <c r="M38" s="8"/>
      <c r="N38" s="8"/>
      <c r="O38" s="8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31.15" customHeight="1" x14ac:dyDescent="0.25">
      <c r="A39" s="2"/>
      <c r="B39" s="227" t="s">
        <v>141</v>
      </c>
      <c r="C39" s="4" t="s">
        <v>15</v>
      </c>
      <c r="D39" s="186">
        <f>D37*D38/10</f>
        <v>140.25</v>
      </c>
      <c r="E39" s="186">
        <f t="shared" ref="E39:G39" si="16">E37*E38/10</f>
        <v>133.13999999999999</v>
      </c>
      <c r="F39" s="186">
        <f t="shared" si="16"/>
        <v>0</v>
      </c>
      <c r="G39" s="186">
        <f t="shared" si="16"/>
        <v>0</v>
      </c>
      <c r="H39" s="181">
        <f t="shared" si="2"/>
        <v>0</v>
      </c>
      <c r="I39" s="186"/>
      <c r="J39" s="13"/>
      <c r="K39" s="8"/>
      <c r="L39" s="8"/>
      <c r="M39" s="8"/>
      <c r="N39" s="8"/>
      <c r="O39" s="8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31.15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8"/>
      <c r="M40" s="8"/>
      <c r="N40" s="8"/>
      <c r="O40" s="8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31.15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8"/>
      <c r="M41" s="8"/>
      <c r="N41" s="8"/>
      <c r="O41" s="8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31.15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7">F40*F41/10</f>
        <v>0</v>
      </c>
      <c r="G42" s="188">
        <f t="shared" si="17"/>
        <v>0</v>
      </c>
      <c r="H42" s="181">
        <f t="shared" si="2"/>
        <v>0</v>
      </c>
      <c r="I42" s="186"/>
      <c r="J42" s="13"/>
      <c r="K42" s="8"/>
      <c r="L42" s="8"/>
      <c r="M42" s="8"/>
      <c r="N42" s="8"/>
      <c r="O42" s="8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31.15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26"/>
      <c r="L43" s="105"/>
      <c r="M43" s="105"/>
      <c r="N43" s="105"/>
      <c r="O43" s="105"/>
    </row>
    <row r="44" spans="1:25" ht="31.15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06"/>
      <c r="L44" s="47"/>
      <c r="M44" s="47"/>
      <c r="N44" s="47"/>
      <c r="O44" s="30"/>
    </row>
    <row r="45" spans="1:25" ht="31.15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8">F43*F44/10</f>
        <v>0</v>
      </c>
      <c r="G45" s="186">
        <f t="shared" si="18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5" ht="31.15" customHeight="1" x14ac:dyDescent="0.25">
      <c r="A46" s="2">
        <v>5</v>
      </c>
      <c r="B46" s="225" t="s">
        <v>30</v>
      </c>
      <c r="C46" s="2" t="s">
        <v>4</v>
      </c>
      <c r="D46" s="181">
        <f>D47+D55+D64</f>
        <v>26.55</v>
      </c>
      <c r="E46" s="181">
        <f t="shared" ref="E46:G46" si="19">E47+E55+E64</f>
        <v>35.450000000000003</v>
      </c>
      <c r="F46" s="181">
        <f t="shared" si="19"/>
        <v>26.85</v>
      </c>
      <c r="G46" s="181">
        <f t="shared" si="19"/>
        <v>26.85</v>
      </c>
      <c r="H46" s="181">
        <f t="shared" si="2"/>
        <v>75.740479548660076</v>
      </c>
      <c r="I46" s="181"/>
      <c r="J46" s="19"/>
      <c r="K46" s="19"/>
      <c r="L46" s="19"/>
      <c r="M46" s="19"/>
      <c r="N46" s="19"/>
    </row>
    <row r="47" spans="1:25" ht="31.15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22.05</v>
      </c>
      <c r="E47" s="181">
        <f t="shared" ref="E47:G47" si="20">E48+E49</f>
        <v>30.05</v>
      </c>
      <c r="F47" s="181">
        <f t="shared" si="20"/>
        <v>22.05</v>
      </c>
      <c r="G47" s="181">
        <f t="shared" si="20"/>
        <v>22.05</v>
      </c>
      <c r="H47" s="181">
        <f t="shared" si="2"/>
        <v>73.37770382695507</v>
      </c>
      <c r="I47" s="181"/>
      <c r="J47" s="19"/>
      <c r="K47" s="19"/>
      <c r="L47" s="19"/>
      <c r="M47" s="19"/>
      <c r="N47" s="19"/>
    </row>
    <row r="48" spans="1:25" ht="31.15" customHeight="1" x14ac:dyDescent="0.25">
      <c r="A48" s="5" t="s">
        <v>22</v>
      </c>
      <c r="B48" s="273" t="s">
        <v>117</v>
      </c>
      <c r="C48" s="274" t="s">
        <v>4</v>
      </c>
      <c r="D48" s="186">
        <v>22.05</v>
      </c>
      <c r="E48" s="186">
        <f>D48+D49</f>
        <v>22.05</v>
      </c>
      <c r="F48" s="186">
        <v>22.05</v>
      </c>
      <c r="G48" s="186">
        <v>22.05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</row>
    <row r="49" spans="1:16" s="23" customFormat="1" ht="31.15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</v>
      </c>
      <c r="E49" s="181">
        <f t="shared" ref="E49:G49" si="21">E50+E51</f>
        <v>8</v>
      </c>
      <c r="F49" s="181">
        <f t="shared" si="21"/>
        <v>0</v>
      </c>
      <c r="G49" s="181">
        <f t="shared" si="21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6" ht="31.15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8</v>
      </c>
      <c r="F50" s="186">
        <v>0</v>
      </c>
      <c r="G50" s="186">
        <v>0</v>
      </c>
      <c r="H50" s="181">
        <f t="shared" si="2"/>
        <v>0</v>
      </c>
      <c r="I50" s="186"/>
      <c r="J50" s="104"/>
      <c r="K50" s="19"/>
      <c r="L50" s="19"/>
      <c r="M50" s="19"/>
      <c r="N50" s="19"/>
    </row>
    <row r="51" spans="1:16" ht="31.15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1"/>
      <c r="I51" s="186"/>
      <c r="J51" s="19"/>
      <c r="K51" s="19"/>
      <c r="L51" s="19"/>
      <c r="M51" s="19"/>
      <c r="N51" s="19"/>
    </row>
    <row r="52" spans="1:16" s="23" customFormat="1" ht="31.15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13.33</v>
      </c>
      <c r="E52" s="181">
        <f t="shared" ref="E52:G52" si="22">E53+E54</f>
        <v>18.7425</v>
      </c>
      <c r="F52" s="181">
        <f t="shared" si="22"/>
        <v>18.739999999999998</v>
      </c>
      <c r="G52" s="181">
        <f t="shared" si="22"/>
        <v>18.739999999999998</v>
      </c>
      <c r="H52" s="181">
        <f t="shared" si="2"/>
        <v>99.986661331199144</v>
      </c>
      <c r="I52" s="181"/>
      <c r="J52" s="103"/>
      <c r="K52" s="103"/>
      <c r="L52" s="103"/>
      <c r="M52" s="103"/>
      <c r="N52" s="103"/>
    </row>
    <row r="53" spans="1:16" ht="31.15" customHeight="1" x14ac:dyDescent="0.25">
      <c r="A53" s="277" t="s">
        <v>16</v>
      </c>
      <c r="B53" s="276" t="s">
        <v>119</v>
      </c>
      <c r="C53" s="4" t="s">
        <v>4</v>
      </c>
      <c r="D53" s="186">
        <f>14.33-4</f>
        <v>10.33</v>
      </c>
      <c r="E53" s="186">
        <f>D48*85%</f>
        <v>18.7425</v>
      </c>
      <c r="F53" s="186">
        <v>18.739999999999998</v>
      </c>
      <c r="G53" s="186">
        <v>18.739999999999998</v>
      </c>
      <c r="H53" s="186">
        <f t="shared" si="2"/>
        <v>99.986661331199144</v>
      </c>
      <c r="I53" s="186"/>
      <c r="J53" s="19"/>
      <c r="K53" s="19"/>
      <c r="L53" s="114"/>
      <c r="M53" s="19"/>
      <c r="N53" s="19"/>
    </row>
    <row r="54" spans="1:16" ht="31.15" customHeight="1" x14ac:dyDescent="0.25">
      <c r="A54" s="4"/>
      <c r="B54" s="276" t="s">
        <v>120</v>
      </c>
      <c r="C54" s="4" t="s">
        <v>4</v>
      </c>
      <c r="D54" s="186">
        <v>3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6" ht="31.15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 t="shared" ref="E55:G55" si="23">E56+E57</f>
        <v>5.4</v>
      </c>
      <c r="F55" s="181">
        <f t="shared" si="23"/>
        <v>4.8</v>
      </c>
      <c r="G55" s="181">
        <f t="shared" si="23"/>
        <v>4.8</v>
      </c>
      <c r="H55" s="181">
        <f t="shared" si="2"/>
        <v>88.888888888888886</v>
      </c>
      <c r="I55" s="181"/>
      <c r="J55" s="19"/>
      <c r="K55" s="19"/>
      <c r="L55" s="19"/>
      <c r="M55" s="19"/>
      <c r="N55" s="19"/>
    </row>
    <row r="56" spans="1:16" ht="31.15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v>4.8</v>
      </c>
      <c r="G56" s="186">
        <v>4.8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6" ht="31.15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4">E58+E61</f>
        <v>0.60000000000000009</v>
      </c>
      <c r="F57" s="186">
        <f t="shared" si="24"/>
        <v>0</v>
      </c>
      <c r="G57" s="186">
        <f t="shared" si="24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6" s="41" customFormat="1" ht="31.15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5">E59+E60</f>
        <v>0.30000000000000004</v>
      </c>
      <c r="F58" s="189">
        <f t="shared" si="25"/>
        <v>0</v>
      </c>
      <c r="G58" s="189">
        <f t="shared" si="25"/>
        <v>0</v>
      </c>
      <c r="H58" s="181">
        <f t="shared" si="2"/>
        <v>0</v>
      </c>
      <c r="I58" s="189"/>
      <c r="J58" s="107"/>
      <c r="K58" s="109"/>
      <c r="L58" s="109"/>
      <c r="M58" s="109"/>
      <c r="N58" s="109"/>
      <c r="O58" s="109"/>
    </row>
    <row r="59" spans="1:16" ht="31.15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6"/>
      <c r="L59" s="6"/>
      <c r="M59" s="6"/>
      <c r="N59" s="6"/>
      <c r="O59" s="6"/>
      <c r="P59" s="30"/>
    </row>
    <row r="60" spans="1:16" ht="31.15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6"/>
      <c r="L60" s="6"/>
      <c r="M60" s="6"/>
      <c r="N60" s="6"/>
      <c r="O60" s="6"/>
      <c r="P60" s="30"/>
    </row>
    <row r="61" spans="1:16" s="41" customFormat="1" ht="31.15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6">E62+E63</f>
        <v>0.30000000000000004</v>
      </c>
      <c r="F61" s="189">
        <f t="shared" si="26"/>
        <v>0</v>
      </c>
      <c r="G61" s="189">
        <f t="shared" si="26"/>
        <v>0</v>
      </c>
      <c r="H61" s="181">
        <f t="shared" si="2"/>
        <v>0</v>
      </c>
      <c r="I61" s="189"/>
      <c r="J61" s="104"/>
      <c r="K61" s="34"/>
      <c r="L61" s="108"/>
      <c r="M61" s="108"/>
      <c r="N61" s="108"/>
      <c r="O61" s="48"/>
      <c r="P61" s="48"/>
    </row>
    <row r="62" spans="1:16" ht="31.15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0.2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6"/>
      <c r="L62" s="6"/>
      <c r="M62" s="6"/>
      <c r="N62" s="6"/>
      <c r="O62" s="6"/>
      <c r="P62" s="30"/>
    </row>
    <row r="63" spans="1:16" ht="31.15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6"/>
      <c r="L63" s="6"/>
      <c r="M63" s="6"/>
      <c r="N63" s="6"/>
      <c r="O63" s="6"/>
      <c r="P63" s="30"/>
    </row>
    <row r="64" spans="1:16" ht="31.15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>E65+E66</f>
        <v>0</v>
      </c>
      <c r="F64" s="181">
        <f t="shared" ref="F64:G64" si="27">F65+F66</f>
        <v>0</v>
      </c>
      <c r="G64" s="181">
        <f t="shared" si="27"/>
        <v>0</v>
      </c>
      <c r="H64" s="181"/>
      <c r="I64" s="181"/>
      <c r="J64" s="104"/>
      <c r="K64" s="19"/>
      <c r="L64" s="19"/>
      <c r="M64" s="19"/>
      <c r="N64" s="19"/>
    </row>
    <row r="65" spans="1:17" ht="31.15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9"/>
      <c r="K65" s="19"/>
      <c r="L65" s="19"/>
      <c r="M65" s="19"/>
      <c r="N65" s="19"/>
    </row>
    <row r="66" spans="1:17" ht="31.15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1.15" customHeight="1" x14ac:dyDescent="0.25">
      <c r="A67" s="2">
        <v>6</v>
      </c>
      <c r="B67" s="225" t="s">
        <v>36</v>
      </c>
      <c r="C67" s="2" t="s">
        <v>4</v>
      </c>
      <c r="D67" s="181">
        <f>D68+D71</f>
        <v>13.45</v>
      </c>
      <c r="E67" s="181">
        <f t="shared" ref="E67:G67" si="28">E68+E71</f>
        <v>12.61</v>
      </c>
      <c r="F67" s="181">
        <f t="shared" si="28"/>
        <v>10.52</v>
      </c>
      <c r="G67" s="181">
        <f t="shared" si="28"/>
        <v>10.52</v>
      </c>
      <c r="H67" s="181">
        <f t="shared" si="2"/>
        <v>83.425852498017449</v>
      </c>
      <c r="I67" s="181"/>
      <c r="J67" s="19"/>
      <c r="K67" s="19"/>
      <c r="L67" s="19"/>
      <c r="M67" s="19"/>
      <c r="N67" s="19"/>
    </row>
    <row r="68" spans="1:17" ht="31.15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0.92</v>
      </c>
      <c r="E68" s="181">
        <f t="shared" ref="E68:G68" si="29">E69+E70</f>
        <v>2.87</v>
      </c>
      <c r="F68" s="181">
        <f t="shared" si="29"/>
        <v>0.92</v>
      </c>
      <c r="G68" s="181">
        <f t="shared" si="29"/>
        <v>0.92</v>
      </c>
      <c r="H68" s="181">
        <f t="shared" si="2"/>
        <v>32.055749128919857</v>
      </c>
      <c r="I68" s="181"/>
      <c r="J68" s="19"/>
      <c r="K68" s="19"/>
      <c r="L68" s="19"/>
      <c r="M68" s="19"/>
      <c r="N68" s="19"/>
    </row>
    <row r="69" spans="1:17" ht="31.15" customHeight="1" x14ac:dyDescent="0.25">
      <c r="A69" s="4" t="s">
        <v>16</v>
      </c>
      <c r="B69" s="273" t="s">
        <v>126</v>
      </c>
      <c r="C69" s="4" t="s">
        <v>4</v>
      </c>
      <c r="D69" s="186">
        <v>0.77</v>
      </c>
      <c r="E69" s="186">
        <f>D69+D70</f>
        <v>0.92</v>
      </c>
      <c r="F69" s="186">
        <v>0.92</v>
      </c>
      <c r="G69" s="186">
        <v>0.92</v>
      </c>
      <c r="H69" s="186">
        <f t="shared" si="2"/>
        <v>100</v>
      </c>
      <c r="I69" s="186"/>
      <c r="J69" s="19"/>
      <c r="K69" s="19"/>
      <c r="L69" s="19"/>
      <c r="M69" s="19"/>
      <c r="N69" s="19"/>
    </row>
    <row r="70" spans="1:17" ht="31.15" customHeight="1" x14ac:dyDescent="0.25">
      <c r="A70" s="4" t="s">
        <v>16</v>
      </c>
      <c r="B70" s="273" t="s">
        <v>127</v>
      </c>
      <c r="C70" s="4" t="s">
        <v>4</v>
      </c>
      <c r="D70" s="186">
        <v>0.15</v>
      </c>
      <c r="E70" s="186">
        <v>1.95</v>
      </c>
      <c r="F70" s="186"/>
      <c r="G70" s="186"/>
      <c r="H70" s="181">
        <f t="shared" si="2"/>
        <v>0</v>
      </c>
      <c r="I70" s="186"/>
      <c r="J70" s="19"/>
      <c r="K70" s="20"/>
      <c r="L70" s="104"/>
      <c r="M70" s="20"/>
      <c r="N70" s="19"/>
    </row>
    <row r="71" spans="1:17" ht="31.15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12.53</v>
      </c>
      <c r="E71" s="181">
        <f t="shared" ref="E71:G71" si="30">E72+E73</f>
        <v>9.74</v>
      </c>
      <c r="F71" s="181">
        <f t="shared" si="30"/>
        <v>9.6</v>
      </c>
      <c r="G71" s="181">
        <f t="shared" si="30"/>
        <v>9.6</v>
      </c>
      <c r="H71" s="181">
        <f t="shared" si="2"/>
        <v>98.562628336755637</v>
      </c>
      <c r="I71" s="181"/>
      <c r="J71" s="19"/>
      <c r="K71" s="19"/>
      <c r="L71" s="19"/>
      <c r="M71" s="19"/>
      <c r="N71" s="19"/>
    </row>
    <row r="72" spans="1:17" ht="31.15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12.03</v>
      </c>
      <c r="E72" s="192">
        <f>E75+E82</f>
        <v>9.6</v>
      </c>
      <c r="F72" s="192">
        <f t="shared" ref="F72:G72" si="31">F75+F82</f>
        <v>9.6</v>
      </c>
      <c r="G72" s="192">
        <f t="shared" si="31"/>
        <v>9.6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17" ht="31.15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ref="E73:G73" si="32">E76+E83</f>
        <v>0.14000000000000001</v>
      </c>
      <c r="F73" s="181">
        <f t="shared" si="32"/>
        <v>0</v>
      </c>
      <c r="G73" s="181">
        <f t="shared" si="32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1.15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9.1</v>
      </c>
      <c r="E74" s="194">
        <f t="shared" ref="E74:G74" si="33">E75+E76</f>
        <v>9.1</v>
      </c>
      <c r="F74" s="194">
        <f t="shared" si="33"/>
        <v>9.1</v>
      </c>
      <c r="G74" s="194">
        <f t="shared" si="33"/>
        <v>9.1</v>
      </c>
      <c r="H74" s="181">
        <f t="shared" ref="H74:H93" si="34">F74/E74*100</f>
        <v>100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1.15" customHeight="1" x14ac:dyDescent="0.25">
      <c r="A75" s="5" t="s">
        <v>22</v>
      </c>
      <c r="B75" s="281" t="s">
        <v>117</v>
      </c>
      <c r="C75" s="4" t="s">
        <v>4</v>
      </c>
      <c r="D75" s="196">
        <f>8.1+1</f>
        <v>9.1</v>
      </c>
      <c r="E75" s="196">
        <f>D75+D76</f>
        <v>9.1</v>
      </c>
      <c r="F75" s="196">
        <v>9.1</v>
      </c>
      <c r="G75" s="196">
        <v>9.1</v>
      </c>
      <c r="H75" s="186">
        <f t="shared" si="34"/>
        <v>100</v>
      </c>
      <c r="I75" s="186"/>
      <c r="J75" s="19"/>
      <c r="K75" s="19"/>
      <c r="L75" s="116"/>
      <c r="M75" s="20"/>
      <c r="N75" s="20"/>
      <c r="O75" s="18"/>
      <c r="P75" s="18"/>
      <c r="Q75" s="18"/>
    </row>
    <row r="76" spans="1:17" ht="31.15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>SUM(E77:E80)</f>
        <v>0</v>
      </c>
      <c r="F76" s="197">
        <f t="shared" ref="F76:G76" si="35">SUM(F77:F80)</f>
        <v>0</v>
      </c>
      <c r="G76" s="197">
        <f t="shared" si="35"/>
        <v>0</v>
      </c>
      <c r="H76" s="181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1.15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7"/>
      <c r="L77" s="109"/>
      <c r="M77" s="109"/>
      <c r="N77" s="110"/>
      <c r="O77" s="18"/>
      <c r="P77" s="56"/>
      <c r="Q77" s="18"/>
    </row>
    <row r="78" spans="1:17" ht="31.15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1.15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1.15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18" s="44" customFormat="1" ht="31.15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3.43</v>
      </c>
      <c r="E81" s="194">
        <f>E82+E83</f>
        <v>0.64</v>
      </c>
      <c r="F81" s="194">
        <f t="shared" ref="F81:G81" si="36">F82+F83</f>
        <v>0.5</v>
      </c>
      <c r="G81" s="194">
        <f t="shared" si="36"/>
        <v>0.5</v>
      </c>
      <c r="H81" s="203">
        <f t="shared" si="34"/>
        <v>78.125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18" s="41" customFormat="1" ht="31.15" customHeight="1" x14ac:dyDescent="0.25">
      <c r="A82" s="282" t="s">
        <v>16</v>
      </c>
      <c r="B82" s="283" t="s">
        <v>109</v>
      </c>
      <c r="C82" s="3" t="s">
        <v>4</v>
      </c>
      <c r="D82" s="189">
        <v>2.93</v>
      </c>
      <c r="E82" s="189">
        <v>0.5</v>
      </c>
      <c r="F82" s="189">
        <v>0.5</v>
      </c>
      <c r="G82" s="189">
        <v>0.5</v>
      </c>
      <c r="H82" s="186">
        <f t="shared" si="34"/>
        <v>100</v>
      </c>
      <c r="I82" s="189"/>
      <c r="J82" s="107"/>
      <c r="K82" s="107"/>
      <c r="L82" s="110"/>
      <c r="M82" s="109"/>
      <c r="N82" s="109"/>
      <c r="O82" s="40"/>
      <c r="P82" s="40"/>
      <c r="Q82" s="40"/>
    </row>
    <row r="83" spans="1:18" ht="31.15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7">SUM(D84:D87)</f>
        <v>0.5</v>
      </c>
      <c r="E83" s="196">
        <f>SUM(E84:E87)</f>
        <v>0.14000000000000001</v>
      </c>
      <c r="F83" s="196">
        <f t="shared" si="37"/>
        <v>0</v>
      </c>
      <c r="G83" s="196">
        <f t="shared" si="37"/>
        <v>0</v>
      </c>
      <c r="H83" s="181">
        <f t="shared" si="34"/>
        <v>0</v>
      </c>
      <c r="I83" s="196"/>
      <c r="J83" s="107"/>
      <c r="K83" s="107"/>
      <c r="L83" s="107"/>
      <c r="M83" s="107"/>
      <c r="N83" s="107"/>
    </row>
    <row r="84" spans="1:18" ht="31.15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</row>
    <row r="85" spans="1:18" ht="31.15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</row>
    <row r="86" spans="1:18" ht="31.15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18" ht="31.15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0.14000000000000001</v>
      </c>
      <c r="F87" s="186">
        <v>0</v>
      </c>
      <c r="G87" s="186">
        <v>0</v>
      </c>
      <c r="H87" s="181">
        <f t="shared" si="34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32"/>
    </row>
    <row r="88" spans="1:18" ht="31.15" customHeight="1" x14ac:dyDescent="0.25">
      <c r="A88" s="2" t="s">
        <v>42</v>
      </c>
      <c r="B88" s="224" t="s">
        <v>43</v>
      </c>
      <c r="C88" s="2"/>
      <c r="D88" s="181">
        <f>SUM(D89:D93)</f>
        <v>363</v>
      </c>
      <c r="E88" s="181">
        <f t="shared" ref="E88:G88" si="38">SUM(E89:E93)</f>
        <v>322</v>
      </c>
      <c r="F88" s="181">
        <f t="shared" si="38"/>
        <v>266</v>
      </c>
      <c r="G88" s="181">
        <f t="shared" si="38"/>
        <v>266</v>
      </c>
      <c r="H88" s="181">
        <f t="shared" si="34"/>
        <v>82.608695652173907</v>
      </c>
      <c r="I88" s="181"/>
      <c r="J88" s="20"/>
      <c r="K88" s="20"/>
      <c r="L88" s="28"/>
      <c r="M88" s="28"/>
      <c r="N88" s="20"/>
    </row>
    <row r="89" spans="1:18" s="84" customFormat="1" ht="31.15" customHeight="1" x14ac:dyDescent="0.25">
      <c r="A89" s="4">
        <v>1</v>
      </c>
      <c r="B89" s="227" t="s">
        <v>44</v>
      </c>
      <c r="C89" s="4" t="s">
        <v>6</v>
      </c>
      <c r="D89" s="186">
        <v>30</v>
      </c>
      <c r="E89" s="186">
        <f>31+16</f>
        <v>47</v>
      </c>
      <c r="F89" s="186">
        <v>45</v>
      </c>
      <c r="G89" s="186">
        <f>F89</f>
        <v>45</v>
      </c>
      <c r="H89" s="186">
        <f t="shared" si="34"/>
        <v>95.744680851063833</v>
      </c>
      <c r="I89" s="186"/>
      <c r="J89" s="112"/>
      <c r="K89" s="157"/>
      <c r="L89" s="208"/>
      <c r="M89" s="209"/>
      <c r="N89" s="112"/>
    </row>
    <row r="90" spans="1:18" s="84" customFormat="1" ht="31.15" customHeight="1" x14ac:dyDescent="0.25">
      <c r="A90" s="4">
        <v>2</v>
      </c>
      <c r="B90" s="227" t="s">
        <v>45</v>
      </c>
      <c r="C90" s="4" t="s">
        <v>6</v>
      </c>
      <c r="D90" s="186">
        <f>51+5</f>
        <v>56</v>
      </c>
      <c r="E90" s="186">
        <f>50+8</f>
        <v>58</v>
      </c>
      <c r="F90" s="186">
        <v>56</v>
      </c>
      <c r="G90" s="186">
        <f>F90</f>
        <v>56</v>
      </c>
      <c r="H90" s="186">
        <f t="shared" si="34"/>
        <v>96.551724137931032</v>
      </c>
      <c r="I90" s="186"/>
      <c r="J90" s="112"/>
      <c r="K90" s="117"/>
      <c r="L90" s="208"/>
      <c r="M90" s="209"/>
      <c r="N90" s="112"/>
    </row>
    <row r="91" spans="1:18" s="84" customFormat="1" ht="31.15" customHeight="1" x14ac:dyDescent="0.25">
      <c r="A91" s="4">
        <v>3</v>
      </c>
      <c r="B91" s="227" t="s">
        <v>46</v>
      </c>
      <c r="C91" s="4" t="s">
        <v>6</v>
      </c>
      <c r="D91" s="186">
        <f>29+10</f>
        <v>39</v>
      </c>
      <c r="E91" s="186">
        <f>20+6</f>
        <v>26</v>
      </c>
      <c r="F91" s="186">
        <v>20</v>
      </c>
      <c r="G91" s="186">
        <f>F91</f>
        <v>20</v>
      </c>
      <c r="H91" s="186">
        <f t="shared" si="34"/>
        <v>76.923076923076934</v>
      </c>
      <c r="I91" s="186"/>
      <c r="J91" s="112"/>
      <c r="K91" s="117"/>
      <c r="L91" s="208"/>
      <c r="M91" s="209"/>
      <c r="N91" s="112"/>
    </row>
    <row r="92" spans="1:18" ht="31.15" customHeight="1" x14ac:dyDescent="0.25">
      <c r="A92" s="4">
        <v>4</v>
      </c>
      <c r="B92" s="227" t="s">
        <v>47</v>
      </c>
      <c r="C92" s="4" t="s">
        <v>6</v>
      </c>
      <c r="D92" s="186"/>
      <c r="E92" s="186"/>
      <c r="F92" s="186"/>
      <c r="G92" s="186"/>
      <c r="H92" s="181"/>
      <c r="I92" s="186"/>
      <c r="J92" s="20"/>
      <c r="K92" s="20"/>
      <c r="L92" s="210"/>
      <c r="M92" s="209"/>
      <c r="N92" s="20"/>
    </row>
    <row r="93" spans="1:18" s="84" customFormat="1" ht="31.15" customHeight="1" x14ac:dyDescent="0.25">
      <c r="A93" s="4">
        <v>5</v>
      </c>
      <c r="B93" s="227" t="s">
        <v>48</v>
      </c>
      <c r="C93" s="4" t="s">
        <v>6</v>
      </c>
      <c r="D93" s="186">
        <f>223+15</f>
        <v>238</v>
      </c>
      <c r="E93" s="186">
        <f>211-20</f>
        <v>191</v>
      </c>
      <c r="F93" s="186">
        <v>145</v>
      </c>
      <c r="G93" s="186">
        <f>F93</f>
        <v>145</v>
      </c>
      <c r="H93" s="186">
        <f t="shared" si="34"/>
        <v>75.916230366492144</v>
      </c>
      <c r="I93" s="186"/>
      <c r="J93" s="157"/>
      <c r="K93" s="157"/>
      <c r="L93" s="210"/>
      <c r="M93" s="209"/>
      <c r="N93" s="112"/>
    </row>
    <row r="94" spans="1:18" s="23" customFormat="1" ht="31.15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39">E95</f>
        <v>0</v>
      </c>
      <c r="F94" s="181">
        <f t="shared" si="39"/>
        <v>0</v>
      </c>
      <c r="G94" s="181">
        <f t="shared" si="39"/>
        <v>0</v>
      </c>
      <c r="H94" s="181"/>
      <c r="I94" s="181"/>
      <c r="J94" s="22"/>
      <c r="K94" s="22"/>
      <c r="L94" s="22"/>
      <c r="M94" s="22"/>
      <c r="N94" s="22"/>
    </row>
    <row r="95" spans="1:18" ht="31.15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1"/>
      <c r="I95" s="186"/>
      <c r="J95" s="104"/>
      <c r="K95" s="20"/>
      <c r="L95" s="20"/>
      <c r="M95" s="20"/>
      <c r="N95" s="20"/>
    </row>
    <row r="96" spans="1:18" ht="31.15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0">E97+E98</f>
        <v>0</v>
      </c>
      <c r="F96" s="181">
        <f t="shared" si="40"/>
        <v>0</v>
      </c>
      <c r="G96" s="181">
        <f t="shared" si="40"/>
        <v>0</v>
      </c>
      <c r="H96" s="181"/>
      <c r="I96" s="181"/>
      <c r="J96" s="20"/>
      <c r="K96" s="20"/>
      <c r="L96" s="20"/>
      <c r="M96" s="20"/>
      <c r="N96" s="20"/>
    </row>
    <row r="97" spans="1:14" ht="31.15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1.15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1"/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9055118110236227" bottom="0.55118110236220474" header="0" footer="0"/>
  <pageSetup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984"/>
  <sheetViews>
    <sheetView zoomScale="90" zoomScaleNormal="9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6.21875" style="220" customWidth="1"/>
    <col min="2" max="2" width="31" style="220" customWidth="1"/>
    <col min="3" max="3" width="9.6640625" style="220" customWidth="1"/>
    <col min="4" max="4" width="17.77734375" style="220" customWidth="1"/>
    <col min="5" max="5" width="17.88671875" style="220" customWidth="1"/>
    <col min="6" max="9" width="12.6640625" style="220" customWidth="1"/>
    <col min="10" max="10" width="8.88671875" style="17" customWidth="1"/>
    <col min="11" max="11" width="20.77734375" style="17" customWidth="1"/>
    <col min="12" max="12" width="11.5546875" style="17" customWidth="1"/>
    <col min="13" max="14" width="8.88671875" style="17" customWidth="1"/>
    <col min="15" max="16384" width="11.21875" style="17"/>
  </cols>
  <sheetData>
    <row r="1" spans="1:14" ht="15" customHeight="1" x14ac:dyDescent="0.25">
      <c r="H1" s="422"/>
      <c r="I1" s="422"/>
    </row>
    <row r="2" spans="1:14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4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4" ht="16.5" x14ac:dyDescent="0.25">
      <c r="A4" s="418" t="s">
        <v>154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4" ht="16.5" x14ac:dyDescent="0.25">
      <c r="A5" s="430" t="str">
        <f>'ĐĂK SIÊNG(10)'!A5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4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4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113</v>
      </c>
      <c r="M7" s="19"/>
      <c r="N7" s="19"/>
    </row>
    <row r="8" spans="1:14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416</v>
      </c>
      <c r="M8" s="19"/>
      <c r="N8" s="19"/>
    </row>
    <row r="9" spans="1:14" s="23" customFormat="1" ht="32.450000000000003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88.3</v>
      </c>
      <c r="E9" s="181">
        <f t="shared" ref="E9:G9" si="0">E13+E28+E37+E43+E46+E67</f>
        <v>96.78</v>
      </c>
      <c r="F9" s="181">
        <f t="shared" si="0"/>
        <v>78.7</v>
      </c>
      <c r="G9" s="181">
        <f t="shared" si="0"/>
        <v>78.7</v>
      </c>
      <c r="H9" s="181">
        <f>F9/E9*100</f>
        <v>81.31845422607978</v>
      </c>
      <c r="I9" s="181"/>
      <c r="J9" s="103"/>
      <c r="K9" s="103"/>
      <c r="L9" s="103"/>
      <c r="M9" s="103"/>
      <c r="N9" s="103"/>
    </row>
    <row r="10" spans="1:14" s="23" customFormat="1" ht="32.450000000000003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</v>
      </c>
      <c r="F10" s="181">
        <f t="shared" si="1"/>
        <v>1</v>
      </c>
      <c r="G10" s="181">
        <f t="shared" si="1"/>
        <v>1</v>
      </c>
      <c r="H10" s="181">
        <f t="shared" ref="H10:H73" si="2">F10/E10*100</f>
        <v>100</v>
      </c>
      <c r="I10" s="181"/>
      <c r="J10" s="103"/>
      <c r="K10" s="103"/>
      <c r="L10" s="103"/>
      <c r="M10" s="103"/>
      <c r="N10" s="103"/>
    </row>
    <row r="11" spans="1:14" s="23" customFormat="1" ht="32.450000000000003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3.69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14" s="23" customFormat="1" ht="32.450000000000003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0</v>
      </c>
      <c r="F12" s="181">
        <f t="shared" si="4"/>
        <v>0</v>
      </c>
      <c r="G12" s="181">
        <f t="shared" si="4"/>
        <v>0</v>
      </c>
      <c r="H12" s="181"/>
      <c r="I12" s="181"/>
      <c r="J12" s="103"/>
      <c r="K12" s="103"/>
      <c r="L12" s="103"/>
      <c r="M12" s="103"/>
      <c r="N12" s="103"/>
    </row>
    <row r="13" spans="1:14" ht="32.450000000000003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>E16+E19</f>
        <v>0</v>
      </c>
      <c r="F13" s="181">
        <f t="shared" ref="F13" si="5">F16+F19</f>
        <v>0</v>
      </c>
      <c r="G13" s="181">
        <f>G16+G19</f>
        <v>0</v>
      </c>
      <c r="H13" s="181"/>
      <c r="I13" s="181"/>
      <c r="J13" s="19"/>
      <c r="K13" s="19"/>
      <c r="L13" s="19"/>
      <c r="M13" s="19"/>
      <c r="N13" s="19"/>
    </row>
    <row r="14" spans="1:14" ht="32.450000000000003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4" ht="32.450000000000003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0</v>
      </c>
      <c r="F15" s="186">
        <f t="shared" si="7"/>
        <v>0</v>
      </c>
      <c r="G15" s="186">
        <f t="shared" si="7"/>
        <v>0</v>
      </c>
      <c r="H15" s="181"/>
      <c r="I15" s="186"/>
      <c r="J15" s="19"/>
      <c r="K15" s="19"/>
      <c r="L15" s="19"/>
      <c r="M15" s="19"/>
      <c r="N15" s="19"/>
    </row>
    <row r="16" spans="1:14" ht="32.450000000000003" customHeight="1" x14ac:dyDescent="0.25">
      <c r="A16" s="2" t="s">
        <v>18</v>
      </c>
      <c r="B16" s="225" t="s">
        <v>19</v>
      </c>
      <c r="C16" s="2" t="s">
        <v>4</v>
      </c>
      <c r="D16" s="181"/>
      <c r="E16" s="181"/>
      <c r="F16" s="186"/>
      <c r="G16" s="186"/>
      <c r="H16" s="181"/>
      <c r="I16" s="186"/>
      <c r="J16" s="19"/>
      <c r="K16" s="19"/>
      <c r="L16" s="19"/>
      <c r="M16" s="19"/>
      <c r="N16" s="19"/>
    </row>
    <row r="17" spans="1:19" ht="32.450000000000003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/>
      <c r="G17" s="186"/>
      <c r="H17" s="181">
        <f t="shared" si="2"/>
        <v>0</v>
      </c>
      <c r="I17" s="186"/>
      <c r="J17" s="19"/>
      <c r="K17" s="19"/>
      <c r="L17" s="19"/>
      <c r="M17" s="19"/>
      <c r="N17" s="19"/>
    </row>
    <row r="18" spans="1:19" ht="32.450000000000003" customHeight="1" x14ac:dyDescent="0.25">
      <c r="A18" s="2"/>
      <c r="B18" s="227" t="s">
        <v>141</v>
      </c>
      <c r="C18" s="4" t="s">
        <v>15</v>
      </c>
      <c r="D18" s="181"/>
      <c r="E18" s="181"/>
      <c r="F18" s="186"/>
      <c r="G18" s="186"/>
      <c r="H18" s="181"/>
      <c r="I18" s="186"/>
      <c r="J18" s="19"/>
      <c r="K18" s="19"/>
      <c r="L18" s="19"/>
      <c r="M18" s="19"/>
      <c r="N18" s="19"/>
    </row>
    <row r="19" spans="1:19" ht="32.450000000000003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8">D22+D25</f>
        <v>0</v>
      </c>
      <c r="E19" s="181">
        <f t="shared" si="8"/>
        <v>0</v>
      </c>
      <c r="F19" s="181">
        <f t="shared" si="8"/>
        <v>0</v>
      </c>
      <c r="G19" s="181">
        <f t="shared" si="8"/>
        <v>0</v>
      </c>
      <c r="H19" s="181"/>
      <c r="I19" s="181"/>
      <c r="J19" s="19"/>
      <c r="K19" s="19"/>
      <c r="L19" s="19"/>
      <c r="M19" s="19"/>
      <c r="N19" s="19"/>
    </row>
    <row r="20" spans="1:19" ht="32.450000000000003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9">(E23+E26)/2</f>
        <v>26.770000000000003</v>
      </c>
      <c r="F20" s="186">
        <f t="shared" si="9"/>
        <v>0</v>
      </c>
      <c r="G20" s="186">
        <f t="shared" si="9"/>
        <v>0</v>
      </c>
      <c r="H20" s="181">
        <f t="shared" si="2"/>
        <v>0</v>
      </c>
      <c r="I20" s="186"/>
      <c r="J20" s="19"/>
      <c r="K20" s="19"/>
      <c r="L20" s="19"/>
      <c r="M20" s="19"/>
      <c r="N20" s="19"/>
    </row>
    <row r="21" spans="1:19" ht="32.450000000000003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0">E19*E20/10</f>
        <v>0</v>
      </c>
      <c r="F21" s="186">
        <f t="shared" si="10"/>
        <v>0</v>
      </c>
      <c r="G21" s="186">
        <f t="shared" si="10"/>
        <v>0</v>
      </c>
      <c r="H21" s="181"/>
      <c r="I21" s="186"/>
      <c r="J21" s="19"/>
      <c r="K21" s="19"/>
      <c r="L21" s="19"/>
      <c r="M21" s="19"/>
      <c r="N21" s="19"/>
    </row>
    <row r="22" spans="1:19" ht="32.450000000000003" customHeight="1" x14ac:dyDescent="0.25">
      <c r="A22" s="269" t="s">
        <v>22</v>
      </c>
      <c r="B22" s="270" t="s">
        <v>23</v>
      </c>
      <c r="C22" s="269" t="s">
        <v>4</v>
      </c>
      <c r="D22" s="181"/>
      <c r="E22" s="186">
        <v>0</v>
      </c>
      <c r="F22" s="186"/>
      <c r="G22" s="186"/>
      <c r="H22" s="181"/>
      <c r="I22" s="186"/>
      <c r="J22" s="19"/>
      <c r="K22" s="19"/>
      <c r="L22" s="19"/>
      <c r="M22" s="19"/>
      <c r="N22" s="19"/>
    </row>
    <row r="23" spans="1:19" ht="32.450000000000003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9"/>
      <c r="K23" s="19"/>
      <c r="L23" s="19"/>
      <c r="M23" s="19"/>
      <c r="N23" s="19"/>
    </row>
    <row r="24" spans="1:19" ht="32.450000000000003" customHeight="1" x14ac:dyDescent="0.25">
      <c r="A24" s="269"/>
      <c r="B24" s="227" t="s">
        <v>141</v>
      </c>
      <c r="C24" s="4" t="s">
        <v>15</v>
      </c>
      <c r="D24" s="181">
        <f>D22*D23/10</f>
        <v>0</v>
      </c>
      <c r="E24" s="181">
        <f t="shared" ref="E24:G24" si="11">E22*E23/10</f>
        <v>0</v>
      </c>
      <c r="F24" s="181">
        <f t="shared" si="11"/>
        <v>0</v>
      </c>
      <c r="G24" s="181">
        <f t="shared" si="11"/>
        <v>0</v>
      </c>
      <c r="H24" s="181"/>
      <c r="I24" s="181"/>
      <c r="J24" s="19"/>
      <c r="K24" s="19"/>
      <c r="L24" s="19"/>
      <c r="M24" s="19"/>
      <c r="N24" s="19"/>
    </row>
    <row r="25" spans="1:19" ht="32.450000000000003" customHeight="1" x14ac:dyDescent="0.25">
      <c r="A25" s="269" t="s">
        <v>22</v>
      </c>
      <c r="B25" s="270" t="s">
        <v>24</v>
      </c>
      <c r="C25" s="269" t="s">
        <v>4</v>
      </c>
      <c r="D25" s="181"/>
      <c r="E25" s="181">
        <v>0</v>
      </c>
      <c r="F25" s="186"/>
      <c r="G25" s="186"/>
      <c r="H25" s="181"/>
      <c r="I25" s="186"/>
      <c r="J25" s="13"/>
      <c r="K25" s="13"/>
      <c r="L25" s="13"/>
      <c r="M25" s="13"/>
      <c r="N25" s="13"/>
      <c r="O25" s="14"/>
      <c r="P25" s="14"/>
      <c r="Q25" s="14"/>
      <c r="R25" s="14"/>
      <c r="S25" s="18"/>
    </row>
    <row r="26" spans="1:19" ht="32.450000000000003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/>
      <c r="I26" s="186"/>
      <c r="J26" s="13"/>
      <c r="K26" s="13"/>
      <c r="L26" s="13"/>
      <c r="M26" s="13"/>
      <c r="N26" s="13"/>
      <c r="O26" s="14"/>
      <c r="P26" s="14"/>
      <c r="Q26" s="14"/>
      <c r="R26" s="14"/>
      <c r="S26" s="18"/>
    </row>
    <row r="27" spans="1:19" ht="32.450000000000003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 t="shared" ref="E27:G27" si="12">E25*E26/10</f>
        <v>0</v>
      </c>
      <c r="F27" s="186">
        <f t="shared" si="12"/>
        <v>0</v>
      </c>
      <c r="G27" s="186">
        <f t="shared" si="12"/>
        <v>0</v>
      </c>
      <c r="H27" s="181"/>
      <c r="I27" s="186"/>
      <c r="J27" s="13"/>
      <c r="K27" s="13"/>
      <c r="L27" s="13"/>
      <c r="M27" s="13"/>
      <c r="N27" s="13"/>
      <c r="O27" s="14"/>
      <c r="P27" s="14"/>
      <c r="Q27" s="14"/>
      <c r="R27" s="14"/>
      <c r="S27" s="18"/>
    </row>
    <row r="28" spans="1:19" ht="32.450000000000003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3">D31+D34</f>
        <v>1</v>
      </c>
      <c r="E28" s="181">
        <f t="shared" si="13"/>
        <v>1</v>
      </c>
      <c r="F28" s="181">
        <f t="shared" si="13"/>
        <v>1</v>
      </c>
      <c r="G28" s="181">
        <f t="shared" si="13"/>
        <v>1</v>
      </c>
      <c r="H28" s="181">
        <f t="shared" si="2"/>
        <v>100</v>
      </c>
      <c r="I28" s="181"/>
      <c r="J28" s="19"/>
      <c r="K28" s="19"/>
      <c r="L28" s="19"/>
      <c r="M28" s="19"/>
      <c r="N28" s="19"/>
    </row>
    <row r="29" spans="1:19" s="69" customFormat="1" ht="32.450000000000003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4">E35</f>
        <v>36.9</v>
      </c>
      <c r="F29" s="186">
        <f t="shared" si="14"/>
        <v>0</v>
      </c>
      <c r="G29" s="186">
        <f t="shared" si="14"/>
        <v>0</v>
      </c>
      <c r="H29" s="181">
        <f t="shared" si="2"/>
        <v>0</v>
      </c>
      <c r="I29" s="186"/>
      <c r="J29" s="19"/>
      <c r="K29" s="19"/>
      <c r="L29" s="123"/>
      <c r="M29" s="123"/>
      <c r="N29" s="123"/>
    </row>
    <row r="30" spans="1:19" s="69" customFormat="1" ht="32.450000000000003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5">E28*E29/10</f>
        <v>3.69</v>
      </c>
      <c r="F30" s="186">
        <f t="shared" si="15"/>
        <v>0</v>
      </c>
      <c r="G30" s="186">
        <f t="shared" si="15"/>
        <v>0</v>
      </c>
      <c r="H30" s="181">
        <f t="shared" si="2"/>
        <v>0</v>
      </c>
      <c r="I30" s="186"/>
      <c r="J30" s="19"/>
      <c r="K30" s="19"/>
      <c r="L30" s="123"/>
      <c r="M30" s="123"/>
      <c r="N30" s="123"/>
    </row>
    <row r="31" spans="1:19" ht="32.450000000000003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9"/>
      <c r="K31" s="6"/>
      <c r="L31" s="61"/>
      <c r="M31" s="61"/>
      <c r="N31" s="61"/>
      <c r="O31" s="61"/>
    </row>
    <row r="32" spans="1:19" ht="32.450000000000003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9"/>
      <c r="K32" s="6"/>
      <c r="L32" s="61"/>
      <c r="M32" s="61"/>
      <c r="N32" s="61"/>
      <c r="O32" s="61"/>
    </row>
    <row r="33" spans="1:21" ht="32.450000000000003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9"/>
      <c r="K33" s="6"/>
      <c r="L33" s="61"/>
      <c r="M33" s="61"/>
      <c r="N33" s="61"/>
      <c r="O33" s="61"/>
    </row>
    <row r="34" spans="1:21" ht="32.450000000000003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6"/>
      <c r="J34" s="19"/>
      <c r="K34" s="29"/>
      <c r="L34" s="29"/>
      <c r="M34" s="29"/>
      <c r="N34" s="29"/>
      <c r="O34" s="29"/>
    </row>
    <row r="35" spans="1:21" s="69" customFormat="1" ht="32.450000000000003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9"/>
      <c r="K35" s="29"/>
      <c r="L35" s="126"/>
      <c r="M35" s="126"/>
      <c r="N35" s="126"/>
      <c r="O35" s="126"/>
    </row>
    <row r="36" spans="1:21" s="69" customFormat="1" ht="32.450000000000003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6">E34*E35/10</f>
        <v>3.69</v>
      </c>
      <c r="F36" s="186">
        <f t="shared" si="16"/>
        <v>0</v>
      </c>
      <c r="G36" s="186">
        <f t="shared" si="16"/>
        <v>0</v>
      </c>
      <c r="H36" s="181">
        <f t="shared" si="2"/>
        <v>0</v>
      </c>
      <c r="I36" s="186"/>
      <c r="J36" s="19"/>
      <c r="K36" s="29"/>
      <c r="L36" s="126"/>
      <c r="M36" s="126"/>
      <c r="N36" s="126"/>
      <c r="O36" s="126"/>
    </row>
    <row r="37" spans="1:21" ht="32.450000000000003" customHeight="1" x14ac:dyDescent="0.25">
      <c r="A37" s="2">
        <v>2</v>
      </c>
      <c r="B37" s="225" t="s">
        <v>28</v>
      </c>
      <c r="C37" s="2" t="s">
        <v>4</v>
      </c>
      <c r="D37" s="181">
        <v>27</v>
      </c>
      <c r="E37" s="181">
        <v>24.31</v>
      </c>
      <c r="F37" s="181">
        <v>24.31</v>
      </c>
      <c r="G37" s="181">
        <v>24.31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14"/>
      <c r="Q37" s="14"/>
      <c r="R37" s="14"/>
      <c r="S37" s="14"/>
      <c r="T37" s="14"/>
      <c r="U37" s="14"/>
    </row>
    <row r="38" spans="1:21" s="69" customFormat="1" ht="32.450000000000003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79"/>
      <c r="M38" s="79"/>
      <c r="N38" s="79"/>
      <c r="O38" s="79"/>
      <c r="P38" s="78"/>
      <c r="Q38" s="78"/>
      <c r="R38" s="78"/>
      <c r="S38" s="78"/>
      <c r="T38" s="78"/>
      <c r="U38" s="78"/>
    </row>
    <row r="39" spans="1:21" s="69" customFormat="1" ht="32.450000000000003" customHeight="1" x14ac:dyDescent="0.25">
      <c r="A39" s="2"/>
      <c r="B39" s="227" t="s">
        <v>141</v>
      </c>
      <c r="C39" s="4" t="s">
        <v>15</v>
      </c>
      <c r="D39" s="186">
        <f>D37*D38/10</f>
        <v>371.25</v>
      </c>
      <c r="E39" s="186">
        <f t="shared" ref="E39:G39" si="17">E37*E38/10</f>
        <v>340.34</v>
      </c>
      <c r="F39" s="186">
        <f t="shared" si="17"/>
        <v>0</v>
      </c>
      <c r="G39" s="186">
        <f t="shared" si="17"/>
        <v>0</v>
      </c>
      <c r="H39" s="181">
        <f t="shared" si="2"/>
        <v>0</v>
      </c>
      <c r="I39" s="186"/>
      <c r="J39" s="13"/>
      <c r="K39" s="8"/>
      <c r="L39" s="79"/>
      <c r="M39" s="79"/>
      <c r="N39" s="79"/>
      <c r="O39" s="79"/>
      <c r="P39" s="78"/>
      <c r="Q39" s="78"/>
      <c r="R39" s="78"/>
      <c r="S39" s="78"/>
      <c r="T39" s="78"/>
      <c r="U39" s="78"/>
    </row>
    <row r="40" spans="1:21" s="69" customFormat="1" ht="32.450000000000003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79"/>
      <c r="M40" s="79"/>
      <c r="N40" s="79"/>
      <c r="O40" s="79"/>
      <c r="P40" s="78"/>
      <c r="Q40" s="78"/>
      <c r="R40" s="78"/>
      <c r="S40" s="78"/>
      <c r="T40" s="78"/>
      <c r="U40" s="78"/>
    </row>
    <row r="41" spans="1:21" s="69" customFormat="1" ht="32.450000000000003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79"/>
      <c r="M41" s="79"/>
      <c r="N41" s="79"/>
      <c r="O41" s="79"/>
      <c r="P41" s="78"/>
      <c r="Q41" s="78"/>
      <c r="R41" s="78"/>
      <c r="S41" s="78"/>
      <c r="T41" s="78"/>
      <c r="U41" s="78"/>
    </row>
    <row r="42" spans="1:21" s="69" customFormat="1" ht="32.450000000000003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8">F40*F41/10</f>
        <v>0</v>
      </c>
      <c r="G42" s="188">
        <f t="shared" si="18"/>
        <v>0</v>
      </c>
      <c r="H42" s="181">
        <f t="shared" si="2"/>
        <v>0</v>
      </c>
      <c r="I42" s="186"/>
      <c r="J42" s="13"/>
      <c r="K42" s="8"/>
      <c r="L42" s="79"/>
      <c r="M42" s="79"/>
      <c r="N42" s="79"/>
      <c r="O42" s="79"/>
      <c r="P42" s="78"/>
      <c r="Q42" s="78"/>
      <c r="R42" s="78"/>
      <c r="S42" s="78"/>
      <c r="T42" s="78"/>
      <c r="U42" s="78"/>
    </row>
    <row r="43" spans="1:21" ht="32.450000000000003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26"/>
      <c r="L43" s="105"/>
      <c r="M43" s="105"/>
      <c r="N43" s="105"/>
      <c r="O43" s="105"/>
    </row>
    <row r="44" spans="1:21" ht="32.450000000000003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14"/>
      <c r="L44" s="19"/>
      <c r="M44" s="19"/>
      <c r="N44" s="19"/>
    </row>
    <row r="45" spans="1:21" ht="32.450000000000003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1" ht="32.450000000000003" customHeight="1" x14ac:dyDescent="0.25">
      <c r="A46" s="2">
        <v>5</v>
      </c>
      <c r="B46" s="225" t="s">
        <v>30</v>
      </c>
      <c r="C46" s="2" t="s">
        <v>4</v>
      </c>
      <c r="D46" s="181">
        <f>D47+D55+D64</f>
        <v>28.86</v>
      </c>
      <c r="E46" s="181">
        <f t="shared" ref="E46:G46" si="20">E47+E55+E64</f>
        <v>41.46</v>
      </c>
      <c r="F46" s="181">
        <f t="shared" si="20"/>
        <v>29.46</v>
      </c>
      <c r="G46" s="181">
        <f t="shared" si="20"/>
        <v>29.46</v>
      </c>
      <c r="H46" s="181">
        <f t="shared" si="2"/>
        <v>71.056439942112888</v>
      </c>
      <c r="I46" s="181"/>
      <c r="J46" s="19"/>
      <c r="K46" s="19"/>
      <c r="L46" s="19"/>
      <c r="M46" s="19"/>
      <c r="N46" s="19"/>
    </row>
    <row r="47" spans="1:21" ht="32.450000000000003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20.36</v>
      </c>
      <c r="E47" s="181">
        <f t="shared" ref="E47:G47" si="21">E48+E49</f>
        <v>31.36</v>
      </c>
      <c r="F47" s="181">
        <f t="shared" si="21"/>
        <v>20.36</v>
      </c>
      <c r="G47" s="181">
        <f t="shared" si="21"/>
        <v>20.36</v>
      </c>
      <c r="H47" s="181">
        <f t="shared" si="2"/>
        <v>64.923469387755105</v>
      </c>
      <c r="I47" s="181"/>
      <c r="J47" s="19"/>
      <c r="K47" s="19"/>
      <c r="L47" s="19"/>
      <c r="M47" s="19"/>
      <c r="N47" s="19"/>
    </row>
    <row r="48" spans="1:21" ht="32.450000000000003" customHeight="1" x14ac:dyDescent="0.25">
      <c r="A48" s="5" t="s">
        <v>22</v>
      </c>
      <c r="B48" s="273" t="s">
        <v>117</v>
      </c>
      <c r="C48" s="274" t="s">
        <v>4</v>
      </c>
      <c r="D48" s="186">
        <v>19.5</v>
      </c>
      <c r="E48" s="186">
        <f>D48+D49</f>
        <v>20.36</v>
      </c>
      <c r="F48" s="186">
        <v>20.36</v>
      </c>
      <c r="G48" s="186">
        <v>20.36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  <c r="Q48" s="14"/>
      <c r="R48" s="14"/>
    </row>
    <row r="49" spans="1:18" s="23" customFormat="1" ht="32.450000000000003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0.86</v>
      </c>
      <c r="E49" s="181">
        <f t="shared" ref="E49:G49" si="22">E50+E51</f>
        <v>11</v>
      </c>
      <c r="F49" s="181">
        <f t="shared" si="22"/>
        <v>0</v>
      </c>
      <c r="G49" s="181">
        <f t="shared" si="22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8" ht="32.450000000000003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10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16"/>
      <c r="L50" s="116"/>
      <c r="M50" s="116"/>
      <c r="N50" s="116"/>
    </row>
    <row r="51" spans="1:18" ht="32.450000000000003" customHeight="1" x14ac:dyDescent="0.25">
      <c r="A51" s="274" t="s">
        <v>16</v>
      </c>
      <c r="B51" s="276" t="s">
        <v>33</v>
      </c>
      <c r="C51" s="4" t="s">
        <v>4</v>
      </c>
      <c r="D51" s="186">
        <v>0.86</v>
      </c>
      <c r="E51" s="186">
        <v>1</v>
      </c>
      <c r="F51" s="186">
        <v>0</v>
      </c>
      <c r="G51" s="186">
        <v>0</v>
      </c>
      <c r="H51" s="181">
        <f t="shared" si="2"/>
        <v>0</v>
      </c>
      <c r="I51" s="186"/>
      <c r="J51" s="19"/>
      <c r="K51" s="116"/>
      <c r="L51" s="116"/>
      <c r="M51" s="116"/>
      <c r="N51" s="116"/>
    </row>
    <row r="52" spans="1:18" s="23" customFormat="1" ht="32.450000000000003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16.18</v>
      </c>
      <c r="E52" s="181">
        <f t="shared" ref="E52:G52" si="23">E53+E54</f>
        <v>16.574999999999999</v>
      </c>
      <c r="F52" s="181">
        <f t="shared" si="23"/>
        <v>16.579999999999998</v>
      </c>
      <c r="G52" s="181">
        <f t="shared" si="23"/>
        <v>16.579999999999998</v>
      </c>
      <c r="H52" s="181">
        <f t="shared" si="2"/>
        <v>100.03016591251885</v>
      </c>
      <c r="I52" s="181"/>
      <c r="J52" s="103"/>
      <c r="K52" s="103"/>
      <c r="L52" s="103"/>
      <c r="M52" s="103"/>
      <c r="N52" s="103"/>
    </row>
    <row r="53" spans="1:18" ht="32.450000000000003" customHeight="1" x14ac:dyDescent="0.25">
      <c r="A53" s="277" t="s">
        <v>16</v>
      </c>
      <c r="B53" s="276" t="s">
        <v>119</v>
      </c>
      <c r="C53" s="4" t="s">
        <v>4</v>
      </c>
      <c r="D53" s="186">
        <f>12.68-1</f>
        <v>11.68</v>
      </c>
      <c r="E53" s="186">
        <f>D48*85%</f>
        <v>16.574999999999999</v>
      </c>
      <c r="F53" s="186">
        <v>16.579999999999998</v>
      </c>
      <c r="G53" s="186">
        <v>16.579999999999998</v>
      </c>
      <c r="H53" s="186">
        <f t="shared" si="2"/>
        <v>100.03016591251885</v>
      </c>
      <c r="I53" s="186"/>
      <c r="J53" s="19"/>
      <c r="K53" s="19"/>
      <c r="L53" s="114"/>
      <c r="M53" s="19"/>
      <c r="N53" s="19"/>
    </row>
    <row r="54" spans="1:18" ht="32.450000000000003" customHeight="1" x14ac:dyDescent="0.25">
      <c r="A54" s="4"/>
      <c r="B54" s="276" t="s">
        <v>120</v>
      </c>
      <c r="C54" s="4" t="s">
        <v>4</v>
      </c>
      <c r="D54" s="186">
        <v>4.5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8" ht="32.450000000000003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8.5</v>
      </c>
      <c r="E55" s="181">
        <f t="shared" ref="E55:G55" si="24">E56+E57</f>
        <v>10.1</v>
      </c>
      <c r="F55" s="181">
        <f t="shared" si="24"/>
        <v>9.1</v>
      </c>
      <c r="G55" s="181">
        <f t="shared" si="24"/>
        <v>9.1</v>
      </c>
      <c r="H55" s="181">
        <f t="shared" si="2"/>
        <v>90.099009900990097</v>
      </c>
      <c r="I55" s="181"/>
      <c r="J55" s="19"/>
      <c r="K55" s="19"/>
      <c r="L55" s="19"/>
      <c r="M55" s="19"/>
      <c r="N55" s="19"/>
    </row>
    <row r="56" spans="1:18" ht="32.450000000000003" customHeight="1" x14ac:dyDescent="0.25">
      <c r="A56" s="4" t="s">
        <v>22</v>
      </c>
      <c r="B56" s="273" t="s">
        <v>118</v>
      </c>
      <c r="C56" s="4" t="s">
        <v>4</v>
      </c>
      <c r="D56" s="186">
        <v>8.5</v>
      </c>
      <c r="E56" s="186">
        <f>D56+E58</f>
        <v>9.1</v>
      </c>
      <c r="F56" s="186">
        <v>9.1</v>
      </c>
      <c r="G56" s="186">
        <v>9.1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8" ht="32.450000000000003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>E58+E61</f>
        <v>1</v>
      </c>
      <c r="F57" s="186">
        <f t="shared" ref="F57:G57" si="25">F58+F61</f>
        <v>0</v>
      </c>
      <c r="G57" s="186">
        <f t="shared" si="25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8" s="41" customFormat="1" ht="32.450000000000003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6">E59+E60</f>
        <v>0.6</v>
      </c>
      <c r="F58" s="189">
        <f t="shared" si="26"/>
        <v>0</v>
      </c>
      <c r="G58" s="189">
        <f t="shared" si="26"/>
        <v>0</v>
      </c>
      <c r="H58" s="181">
        <f t="shared" si="2"/>
        <v>0</v>
      </c>
      <c r="I58" s="189"/>
      <c r="J58" s="107"/>
      <c r="K58" s="109"/>
      <c r="L58" s="109"/>
      <c r="M58" s="109"/>
      <c r="N58" s="109"/>
      <c r="O58" s="109"/>
    </row>
    <row r="59" spans="1:18" ht="32.450000000000003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0.3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24"/>
      <c r="L59" s="6"/>
      <c r="M59" s="6"/>
      <c r="N59" s="6"/>
      <c r="O59" s="6"/>
      <c r="P59" s="30"/>
      <c r="Q59" s="30"/>
      <c r="R59" s="30"/>
    </row>
    <row r="60" spans="1:18" ht="32.450000000000003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0.3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24"/>
      <c r="L60" s="6"/>
      <c r="M60" s="6"/>
      <c r="N60" s="6"/>
      <c r="O60" s="6"/>
      <c r="P60" s="30"/>
      <c r="Q60" s="30"/>
      <c r="R60" s="30"/>
    </row>
    <row r="61" spans="1:18" s="41" customFormat="1" ht="32.450000000000003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7">E62+E63</f>
        <v>0.4</v>
      </c>
      <c r="F61" s="189">
        <f t="shared" si="27"/>
        <v>0</v>
      </c>
      <c r="G61" s="189">
        <f t="shared" si="27"/>
        <v>0</v>
      </c>
      <c r="H61" s="181">
        <f t="shared" si="2"/>
        <v>0</v>
      </c>
      <c r="I61" s="189"/>
      <c r="J61" s="104"/>
      <c r="K61" s="34"/>
      <c r="L61" s="34"/>
      <c r="M61" s="34"/>
      <c r="N61" s="34"/>
      <c r="O61" s="51"/>
      <c r="P61" s="48"/>
      <c r="Q61" s="48"/>
      <c r="R61" s="48"/>
    </row>
    <row r="62" spans="1:18" ht="32.450000000000003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0.3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24"/>
      <c r="L62" s="6"/>
      <c r="M62" s="6"/>
      <c r="N62" s="6"/>
      <c r="O62" s="6"/>
      <c r="P62" s="30"/>
      <c r="Q62" s="30"/>
      <c r="R62" s="30"/>
    </row>
    <row r="63" spans="1:18" ht="32.450000000000003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24"/>
      <c r="L63" s="6"/>
      <c r="M63" s="6"/>
      <c r="N63" s="6"/>
      <c r="O63" s="6"/>
      <c r="P63" s="30"/>
      <c r="Q63" s="30"/>
      <c r="R63" s="30"/>
    </row>
    <row r="64" spans="1:18" ht="32.450000000000003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8">E65+E66</f>
        <v>0</v>
      </c>
      <c r="F64" s="181">
        <f t="shared" si="28"/>
        <v>0</v>
      </c>
      <c r="G64" s="181">
        <f t="shared" si="28"/>
        <v>0</v>
      </c>
      <c r="H64" s="181"/>
      <c r="I64" s="181"/>
      <c r="J64" s="19"/>
      <c r="K64" s="47"/>
      <c r="L64" s="47"/>
      <c r="M64" s="47"/>
      <c r="N64" s="47"/>
      <c r="O64" s="30"/>
      <c r="P64" s="30"/>
      <c r="Q64" s="30"/>
      <c r="R64" s="30"/>
    </row>
    <row r="65" spans="1:17" ht="32.450000000000003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9"/>
      <c r="K65" s="19"/>
      <c r="L65" s="19"/>
      <c r="M65" s="19"/>
      <c r="N65" s="19"/>
    </row>
    <row r="66" spans="1:17" ht="32.450000000000003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2.450000000000003" customHeight="1" x14ac:dyDescent="0.25">
      <c r="A67" s="2">
        <v>6</v>
      </c>
      <c r="B67" s="225" t="s">
        <v>36</v>
      </c>
      <c r="C67" s="2" t="s">
        <v>4</v>
      </c>
      <c r="D67" s="181">
        <f>D68+D71</f>
        <v>30.94</v>
      </c>
      <c r="E67" s="181">
        <f t="shared" ref="E67:G67" si="29">E68+E71</f>
        <v>29.51</v>
      </c>
      <c r="F67" s="181">
        <f t="shared" si="29"/>
        <v>23.66</v>
      </c>
      <c r="G67" s="181">
        <f t="shared" si="29"/>
        <v>23.66</v>
      </c>
      <c r="H67" s="181">
        <f t="shared" si="2"/>
        <v>80.1762114537445</v>
      </c>
      <c r="I67" s="181"/>
      <c r="J67" s="19"/>
      <c r="K67" s="19"/>
      <c r="L67" s="19"/>
      <c r="M67" s="19"/>
      <c r="N67" s="19"/>
    </row>
    <row r="68" spans="1:17" ht="32.450000000000003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0">E69+E70</f>
        <v>5</v>
      </c>
      <c r="F68" s="181">
        <f t="shared" si="30"/>
        <v>0</v>
      </c>
      <c r="G68" s="181">
        <f t="shared" si="30"/>
        <v>0</v>
      </c>
      <c r="H68" s="181">
        <f t="shared" si="2"/>
        <v>0</v>
      </c>
      <c r="I68" s="181"/>
      <c r="J68" s="19"/>
      <c r="K68" s="19"/>
      <c r="L68" s="19"/>
      <c r="M68" s="19"/>
      <c r="N68" s="19"/>
    </row>
    <row r="69" spans="1:17" ht="32.450000000000003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19"/>
      <c r="L69" s="19"/>
      <c r="M69" s="19"/>
      <c r="N69" s="19"/>
    </row>
    <row r="70" spans="1:17" ht="32.450000000000003" customHeight="1" x14ac:dyDescent="0.25">
      <c r="A70" s="4" t="s">
        <v>16</v>
      </c>
      <c r="B70" s="273" t="s">
        <v>127</v>
      </c>
      <c r="C70" s="4" t="s">
        <v>4</v>
      </c>
      <c r="D70" s="186"/>
      <c r="E70" s="186">
        <v>5</v>
      </c>
      <c r="F70" s="186"/>
      <c r="G70" s="186"/>
      <c r="H70" s="181">
        <f t="shared" si="2"/>
        <v>0</v>
      </c>
      <c r="I70" s="186"/>
      <c r="J70" s="19"/>
      <c r="K70" s="13"/>
      <c r="L70" s="13"/>
      <c r="M70" s="13"/>
      <c r="N70" s="19"/>
    </row>
    <row r="71" spans="1:17" ht="32.450000000000003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30.94</v>
      </c>
      <c r="E71" s="181">
        <f t="shared" ref="E71:G71" si="31">E72+E73</f>
        <v>24.51</v>
      </c>
      <c r="F71" s="181">
        <f t="shared" si="31"/>
        <v>23.66</v>
      </c>
      <c r="G71" s="181">
        <f t="shared" si="31"/>
        <v>23.66</v>
      </c>
      <c r="H71" s="181">
        <f t="shared" si="2"/>
        <v>96.532027743778045</v>
      </c>
      <c r="I71" s="181"/>
      <c r="J71" s="19"/>
      <c r="K71" s="19"/>
      <c r="L71" s="19"/>
      <c r="M71" s="19"/>
      <c r="N71" s="19"/>
    </row>
    <row r="72" spans="1:17" ht="32.450000000000003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30.44</v>
      </c>
      <c r="E72" s="192">
        <f t="shared" ref="E72:G73" si="32">E75+E82</f>
        <v>23.66</v>
      </c>
      <c r="F72" s="192">
        <f t="shared" si="32"/>
        <v>23.66</v>
      </c>
      <c r="G72" s="192">
        <f t="shared" si="32"/>
        <v>23.66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17" ht="32.450000000000003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si="32"/>
        <v>0.85</v>
      </c>
      <c r="F73" s="181">
        <f t="shared" si="32"/>
        <v>0</v>
      </c>
      <c r="G73" s="181">
        <f t="shared" si="32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2.450000000000003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23.16</v>
      </c>
      <c r="E74" s="194">
        <f t="shared" ref="E74:G74" si="33">E75+E76</f>
        <v>23.66</v>
      </c>
      <c r="F74" s="194">
        <f t="shared" si="33"/>
        <v>23.16</v>
      </c>
      <c r="G74" s="194">
        <f t="shared" si="33"/>
        <v>23.16</v>
      </c>
      <c r="H74" s="203">
        <f t="shared" ref="H74:H98" si="34">F74/E74*100</f>
        <v>97.886728655959416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2.450000000000003" customHeight="1" x14ac:dyDescent="0.25">
      <c r="A75" s="5" t="s">
        <v>22</v>
      </c>
      <c r="B75" s="281" t="s">
        <v>117</v>
      </c>
      <c r="C75" s="4" t="s">
        <v>4</v>
      </c>
      <c r="D75" s="196">
        <f>20.16+3</f>
        <v>23.16</v>
      </c>
      <c r="E75" s="196">
        <f>D75+D76</f>
        <v>23.16</v>
      </c>
      <c r="F75" s="196">
        <v>23.16</v>
      </c>
      <c r="G75" s="196">
        <v>23.16</v>
      </c>
      <c r="H75" s="186">
        <f t="shared" si="34"/>
        <v>100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17" ht="32.450000000000003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>SUM(E77:E80)</f>
        <v>0.5</v>
      </c>
      <c r="F76" s="197">
        <f t="shared" ref="F76:G76" si="35">SUM(F77:F80)</f>
        <v>0</v>
      </c>
      <c r="G76" s="197">
        <f t="shared" si="35"/>
        <v>0</v>
      </c>
      <c r="H76" s="181">
        <f t="shared" si="34"/>
        <v>0</v>
      </c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2.450000000000003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0.5</v>
      </c>
      <c r="F77" s="186">
        <v>0</v>
      </c>
      <c r="G77" s="186">
        <v>0</v>
      </c>
      <c r="H77" s="181">
        <f t="shared" si="34"/>
        <v>0</v>
      </c>
      <c r="I77" s="186"/>
      <c r="J77" s="107"/>
      <c r="K77" s="107"/>
      <c r="L77" s="109"/>
      <c r="M77" s="110"/>
      <c r="N77" s="110"/>
      <c r="O77" s="18"/>
      <c r="P77" s="56"/>
      <c r="Q77" s="56"/>
    </row>
    <row r="78" spans="1:17" ht="32.450000000000003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2.450000000000003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2.450000000000003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19" s="44" customFormat="1" ht="32.450000000000003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7.78</v>
      </c>
      <c r="E81" s="194">
        <f>E82+E83</f>
        <v>0.85</v>
      </c>
      <c r="F81" s="194">
        <f t="shared" ref="F81:G81" si="36">F82+F83</f>
        <v>0.5</v>
      </c>
      <c r="G81" s="194">
        <f t="shared" si="36"/>
        <v>0.5</v>
      </c>
      <c r="H81" s="203">
        <f t="shared" si="34"/>
        <v>58.82352941176471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19" s="41" customFormat="1" ht="32.450000000000003" customHeight="1" x14ac:dyDescent="0.25">
      <c r="A82" s="282" t="s">
        <v>16</v>
      </c>
      <c r="B82" s="283" t="s">
        <v>109</v>
      </c>
      <c r="C82" s="3" t="s">
        <v>4</v>
      </c>
      <c r="D82" s="189">
        <v>7.28</v>
      </c>
      <c r="E82" s="189">
        <v>0.5</v>
      </c>
      <c r="F82" s="189">
        <v>0.5</v>
      </c>
      <c r="G82" s="189">
        <v>0.5</v>
      </c>
      <c r="H82" s="189">
        <f t="shared" si="34"/>
        <v>100</v>
      </c>
      <c r="I82" s="189"/>
      <c r="J82" s="107"/>
      <c r="K82" s="107"/>
      <c r="L82" s="109"/>
      <c r="M82" s="109"/>
      <c r="N82" s="109"/>
      <c r="O82" s="40"/>
      <c r="P82" s="40"/>
      <c r="Q82" s="40"/>
    </row>
    <row r="83" spans="1:19" ht="32.450000000000003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7">SUM(D84:D87)</f>
        <v>0.5</v>
      </c>
      <c r="E83" s="196">
        <f>SUM(E84:E87)</f>
        <v>0.35</v>
      </c>
      <c r="F83" s="196">
        <f t="shared" si="37"/>
        <v>0</v>
      </c>
      <c r="G83" s="196">
        <f t="shared" si="37"/>
        <v>0</v>
      </c>
      <c r="H83" s="181">
        <f t="shared" si="34"/>
        <v>0</v>
      </c>
      <c r="I83" s="196"/>
      <c r="J83" s="107"/>
      <c r="K83" s="107"/>
      <c r="L83" s="109"/>
      <c r="M83" s="109"/>
      <c r="N83" s="109"/>
      <c r="O83" s="18"/>
      <c r="P83" s="18"/>
      <c r="Q83" s="18"/>
    </row>
    <row r="84" spans="1:19" ht="32.450000000000003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</row>
    <row r="85" spans="1:19" ht="32.450000000000003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</row>
    <row r="86" spans="1:19" ht="32.450000000000003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19" ht="32.450000000000003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0.35</v>
      </c>
      <c r="F87" s="186"/>
      <c r="G87" s="186">
        <v>0</v>
      </c>
      <c r="H87" s="181">
        <f t="shared" si="34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32"/>
      <c r="S87" s="32"/>
    </row>
    <row r="88" spans="1:19" ht="32.450000000000003" customHeight="1" x14ac:dyDescent="0.25">
      <c r="A88" s="2" t="s">
        <v>42</v>
      </c>
      <c r="B88" s="224" t="s">
        <v>43</v>
      </c>
      <c r="C88" s="2"/>
      <c r="D88" s="181">
        <f>SUM(D89:D93)</f>
        <v>840</v>
      </c>
      <c r="E88" s="181">
        <f t="shared" ref="E88:G88" si="38">SUM(E89:E93)</f>
        <v>1383</v>
      </c>
      <c r="F88" s="181">
        <f t="shared" si="38"/>
        <v>1095</v>
      </c>
      <c r="G88" s="181">
        <f t="shared" si="38"/>
        <v>1095</v>
      </c>
      <c r="H88" s="181">
        <f t="shared" si="34"/>
        <v>79.175704989154013</v>
      </c>
      <c r="I88" s="181"/>
      <c r="J88" s="20"/>
      <c r="K88" s="20"/>
      <c r="L88" s="28"/>
      <c r="M88" s="28"/>
      <c r="N88" s="20"/>
    </row>
    <row r="89" spans="1:19" s="84" customFormat="1" ht="32.450000000000003" customHeight="1" x14ac:dyDescent="0.25">
      <c r="A89" s="4">
        <v>1</v>
      </c>
      <c r="B89" s="227" t="s">
        <v>44</v>
      </c>
      <c r="C89" s="4" t="s">
        <v>6</v>
      </c>
      <c r="D89" s="186">
        <v>76</v>
      </c>
      <c r="E89" s="186">
        <f>50+27</f>
        <v>77</v>
      </c>
      <c r="F89" s="186">
        <v>75</v>
      </c>
      <c r="G89" s="186">
        <f>F89</f>
        <v>75</v>
      </c>
      <c r="H89" s="186">
        <f t="shared" si="34"/>
        <v>97.402597402597408</v>
      </c>
      <c r="I89" s="186"/>
      <c r="J89" s="112"/>
      <c r="K89" s="102"/>
      <c r="L89" s="208"/>
      <c r="M89" s="209"/>
      <c r="N89" s="102"/>
    </row>
    <row r="90" spans="1:19" s="84" customFormat="1" ht="32.450000000000003" customHeight="1" x14ac:dyDescent="0.25">
      <c r="A90" s="4">
        <v>2</v>
      </c>
      <c r="B90" s="227" t="s">
        <v>45</v>
      </c>
      <c r="C90" s="4" t="s">
        <v>6</v>
      </c>
      <c r="D90" s="186">
        <v>127</v>
      </c>
      <c r="E90" s="186">
        <f>125+20</f>
        <v>145</v>
      </c>
      <c r="F90" s="186">
        <v>141</v>
      </c>
      <c r="G90" s="186">
        <f>F90</f>
        <v>141</v>
      </c>
      <c r="H90" s="186">
        <f t="shared" si="34"/>
        <v>97.241379310344826</v>
      </c>
      <c r="I90" s="186"/>
      <c r="J90" s="112"/>
      <c r="K90" s="157"/>
      <c r="L90" s="208"/>
      <c r="M90" s="209"/>
      <c r="N90" s="112"/>
    </row>
    <row r="91" spans="1:19" s="84" customFormat="1" ht="32.450000000000003" customHeight="1" x14ac:dyDescent="0.25">
      <c r="A91" s="4">
        <v>3</v>
      </c>
      <c r="B91" s="227" t="s">
        <v>46</v>
      </c>
      <c r="C91" s="4" t="s">
        <v>6</v>
      </c>
      <c r="D91" s="186">
        <v>72</v>
      </c>
      <c r="E91" s="186">
        <f>73+23</f>
        <v>96</v>
      </c>
      <c r="F91" s="186">
        <v>80</v>
      </c>
      <c r="G91" s="186">
        <f>F91</f>
        <v>80</v>
      </c>
      <c r="H91" s="186">
        <f t="shared" si="34"/>
        <v>83.333333333333343</v>
      </c>
      <c r="I91" s="186"/>
      <c r="J91" s="112"/>
      <c r="K91" s="157"/>
      <c r="L91" s="208"/>
      <c r="M91" s="209"/>
      <c r="N91" s="112"/>
    </row>
    <row r="92" spans="1:19" s="84" customFormat="1" ht="32.450000000000003" customHeight="1" x14ac:dyDescent="0.25">
      <c r="A92" s="4">
        <v>4</v>
      </c>
      <c r="B92" s="227" t="s">
        <v>47</v>
      </c>
      <c r="C92" s="4" t="s">
        <v>6</v>
      </c>
      <c r="D92" s="186">
        <v>10</v>
      </c>
      <c r="E92" s="186">
        <f>12+3</f>
        <v>15</v>
      </c>
      <c r="F92" s="186">
        <v>14</v>
      </c>
      <c r="G92" s="186">
        <f>F92</f>
        <v>14</v>
      </c>
      <c r="H92" s="186">
        <f t="shared" si="34"/>
        <v>93.333333333333329</v>
      </c>
      <c r="I92" s="186"/>
      <c r="J92" s="112"/>
      <c r="K92" s="157"/>
      <c r="L92" s="210"/>
      <c r="M92" s="209"/>
      <c r="N92" s="112"/>
    </row>
    <row r="93" spans="1:19" s="84" customFormat="1" ht="32.450000000000003" customHeight="1" x14ac:dyDescent="0.25">
      <c r="A93" s="4">
        <v>5</v>
      </c>
      <c r="B93" s="227" t="s">
        <v>48</v>
      </c>
      <c r="C93" s="4" t="s">
        <v>6</v>
      </c>
      <c r="D93" s="186">
        <v>555</v>
      </c>
      <c r="E93" s="186">
        <f>1000+50</f>
        <v>1050</v>
      </c>
      <c r="F93" s="186">
        <v>785</v>
      </c>
      <c r="G93" s="186">
        <f>F93</f>
        <v>785</v>
      </c>
      <c r="H93" s="186">
        <f t="shared" si="34"/>
        <v>74.761904761904759</v>
      </c>
      <c r="I93" s="186"/>
      <c r="J93" s="157"/>
      <c r="K93" s="157"/>
      <c r="L93" s="210"/>
      <c r="M93" s="209"/>
      <c r="N93" s="112"/>
    </row>
    <row r="94" spans="1:19" s="23" customFormat="1" ht="32.450000000000003" customHeight="1" x14ac:dyDescent="0.25">
      <c r="A94" s="2" t="s">
        <v>49</v>
      </c>
      <c r="B94" s="225" t="s">
        <v>50</v>
      </c>
      <c r="C94" s="2" t="s">
        <v>4</v>
      </c>
      <c r="D94" s="181">
        <f>D95</f>
        <v>1.1000000000000001</v>
      </c>
      <c r="E94" s="181">
        <f t="shared" ref="E94:G94" si="39">E95</f>
        <v>1.1000000000000001</v>
      </c>
      <c r="F94" s="181">
        <f t="shared" si="39"/>
        <v>1.1000000000000001</v>
      </c>
      <c r="G94" s="181">
        <f t="shared" si="39"/>
        <v>1.1000000000000001</v>
      </c>
      <c r="H94" s="181">
        <f t="shared" si="34"/>
        <v>100</v>
      </c>
      <c r="I94" s="181"/>
      <c r="J94" s="211"/>
      <c r="K94" s="211"/>
      <c r="L94" s="22"/>
      <c r="M94" s="22"/>
      <c r="N94" s="22"/>
    </row>
    <row r="95" spans="1:19" ht="32.450000000000003" customHeight="1" x14ac:dyDescent="0.25">
      <c r="A95" s="3" t="s">
        <v>16</v>
      </c>
      <c r="B95" s="279" t="s">
        <v>51</v>
      </c>
      <c r="C95" s="3" t="s">
        <v>4</v>
      </c>
      <c r="D95" s="186">
        <v>1.1000000000000001</v>
      </c>
      <c r="E95" s="186">
        <v>1.1000000000000001</v>
      </c>
      <c r="F95" s="186">
        <v>1.1000000000000001</v>
      </c>
      <c r="G95" s="186">
        <v>1.1000000000000001</v>
      </c>
      <c r="H95" s="186">
        <f t="shared" si="34"/>
        <v>100</v>
      </c>
      <c r="I95" s="186"/>
      <c r="J95" s="20"/>
      <c r="K95" s="20"/>
      <c r="L95" s="20"/>
      <c r="M95" s="20"/>
      <c r="N95" s="20"/>
    </row>
    <row r="96" spans="1:19" ht="32.450000000000003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2.8</v>
      </c>
      <c r="E96" s="181">
        <f t="shared" ref="E96:G96" si="40">E97+E98</f>
        <v>0.85000000000000009</v>
      </c>
      <c r="F96" s="181">
        <f t="shared" si="40"/>
        <v>0</v>
      </c>
      <c r="G96" s="181">
        <f t="shared" si="40"/>
        <v>0</v>
      </c>
      <c r="H96" s="181">
        <f t="shared" si="34"/>
        <v>0</v>
      </c>
      <c r="I96" s="181"/>
      <c r="J96" s="20"/>
      <c r="K96" s="20"/>
      <c r="L96" s="20"/>
      <c r="M96" s="20"/>
      <c r="N96" s="20"/>
    </row>
    <row r="97" spans="1:14" ht="32.450000000000003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0.2</v>
      </c>
      <c r="F97" s="186"/>
      <c r="G97" s="186"/>
      <c r="H97" s="181">
        <f t="shared" si="34"/>
        <v>0</v>
      </c>
      <c r="I97" s="186"/>
      <c r="J97" s="20"/>
      <c r="K97" s="20"/>
      <c r="L97" s="20"/>
      <c r="M97" s="20"/>
      <c r="N97" s="20"/>
    </row>
    <row r="98" spans="1:14" ht="32.450000000000003" customHeight="1" x14ac:dyDescent="0.25">
      <c r="A98" s="285" t="s">
        <v>16</v>
      </c>
      <c r="B98" s="281" t="s">
        <v>54</v>
      </c>
      <c r="C98" s="3" t="s">
        <v>4</v>
      </c>
      <c r="D98" s="186">
        <v>2.8</v>
      </c>
      <c r="E98" s="186">
        <v>0.65</v>
      </c>
      <c r="F98" s="186"/>
      <c r="G98" s="186"/>
      <c r="H98" s="181">
        <f t="shared" si="34"/>
        <v>0</v>
      </c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39370078740157483" right="0.35433070866141736" top="0.51181102362204722" bottom="0.31496062992125984" header="0" footer="0"/>
  <pageSetup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44140625" style="220" customWidth="1"/>
    <col min="2" max="2" width="28.5546875" style="220" customWidth="1"/>
    <col min="3" max="3" width="9" style="220" customWidth="1"/>
    <col min="4" max="4" width="16.109375" style="220" customWidth="1"/>
    <col min="5" max="5" width="19.44140625" style="220" customWidth="1"/>
    <col min="6" max="9" width="12.6640625" style="220" customWidth="1"/>
    <col min="10" max="10" width="8.88671875" style="17" customWidth="1"/>
    <col min="11" max="11" width="20.7773437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155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'KON TUN(11)'!A5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88"/>
      <c r="D6" s="288"/>
      <c r="E6" s="288"/>
      <c r="F6" s="288"/>
      <c r="G6" s="288"/>
      <c r="H6" s="288"/>
      <c r="I6" s="288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37" t="s">
        <v>1</v>
      </c>
      <c r="C7" s="409" t="s">
        <v>9</v>
      </c>
      <c r="D7" s="409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206</v>
      </c>
      <c r="M7" s="19"/>
      <c r="N7" s="19"/>
    </row>
    <row r="8" spans="1:18" ht="33.6" customHeight="1" x14ac:dyDescent="0.25">
      <c r="A8" s="426"/>
      <c r="B8" s="438"/>
      <c r="C8" s="417"/>
      <c r="D8" s="409"/>
      <c r="E8" s="221" t="s">
        <v>178</v>
      </c>
      <c r="F8" s="221" t="s">
        <v>182</v>
      </c>
      <c r="G8" s="221" t="s">
        <v>183</v>
      </c>
      <c r="H8" s="221" t="s">
        <v>179</v>
      </c>
      <c r="I8" s="421"/>
      <c r="J8" s="19"/>
      <c r="K8" s="45" t="s">
        <v>137</v>
      </c>
      <c r="L8" s="66">
        <v>748</v>
      </c>
      <c r="M8" s="19"/>
      <c r="N8" s="19"/>
    </row>
    <row r="9" spans="1:18" s="23" customFormat="1" ht="31.9" customHeight="1" x14ac:dyDescent="0.25">
      <c r="A9" s="2" t="s">
        <v>10</v>
      </c>
      <c r="B9" s="225" t="s">
        <v>11</v>
      </c>
      <c r="C9" s="290" t="s">
        <v>4</v>
      </c>
      <c r="D9" s="182">
        <f>D13+D28+D37+D43+D46+D67</f>
        <v>126.44</v>
      </c>
      <c r="E9" s="182">
        <f t="shared" ref="E9:G9" si="0">E13+E28+E37+E43+E46+E67</f>
        <v>140.79999999999998</v>
      </c>
      <c r="F9" s="182">
        <f t="shared" si="0"/>
        <v>122.8</v>
      </c>
      <c r="G9" s="182">
        <f t="shared" si="0"/>
        <v>122.8</v>
      </c>
      <c r="H9" s="182">
        <f>F9/E9*100</f>
        <v>87.215909090909093</v>
      </c>
      <c r="I9" s="182"/>
      <c r="J9" s="103"/>
      <c r="K9" s="103"/>
      <c r="L9" s="103"/>
      <c r="M9" s="103"/>
      <c r="N9" s="103"/>
    </row>
    <row r="10" spans="1:18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8.3000000000000007</v>
      </c>
      <c r="F10" s="181">
        <f t="shared" si="1"/>
        <v>2.2999999999999998</v>
      </c>
      <c r="G10" s="181">
        <f t="shared" si="1"/>
        <v>2.2999999999999998</v>
      </c>
      <c r="H10" s="182">
        <f t="shared" ref="H10:H73" si="2">F10/E10*100</f>
        <v>27.710843373493972</v>
      </c>
      <c r="I10" s="181"/>
      <c r="J10" s="103"/>
      <c r="K10" s="103"/>
      <c r="L10" s="103"/>
      <c r="M10" s="103"/>
      <c r="N10" s="103"/>
    </row>
    <row r="11" spans="1:18" s="70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22.914550000000002</v>
      </c>
      <c r="F11" s="181">
        <f t="shared" si="3"/>
        <v>0</v>
      </c>
      <c r="G11" s="181">
        <f t="shared" si="3"/>
        <v>0</v>
      </c>
      <c r="H11" s="182">
        <f t="shared" si="2"/>
        <v>0</v>
      </c>
      <c r="I11" s="181"/>
      <c r="J11" s="103"/>
      <c r="K11" s="103"/>
      <c r="L11" s="122"/>
      <c r="M11" s="122"/>
      <c r="N11" s="122"/>
    </row>
    <row r="12" spans="1:18" s="70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19.224550000000001</v>
      </c>
      <c r="F12" s="181">
        <f t="shared" si="4"/>
        <v>0</v>
      </c>
      <c r="G12" s="181">
        <f t="shared" si="4"/>
        <v>0</v>
      </c>
      <c r="H12" s="182">
        <f t="shared" si="2"/>
        <v>0</v>
      </c>
      <c r="I12" s="181"/>
      <c r="J12" s="103"/>
      <c r="K12" s="103"/>
      <c r="L12" s="122"/>
      <c r="M12" s="122"/>
      <c r="N12" s="122"/>
    </row>
    <row r="13" spans="1:18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7.3</v>
      </c>
      <c r="F13" s="181">
        <f t="shared" si="5"/>
        <v>1.3</v>
      </c>
      <c r="G13" s="181">
        <f t="shared" si="5"/>
        <v>1.3</v>
      </c>
      <c r="H13" s="182">
        <f t="shared" si="2"/>
        <v>17.808219178082194</v>
      </c>
      <c r="I13" s="181"/>
      <c r="J13" s="19"/>
      <c r="K13" s="124"/>
      <c r="L13" s="124"/>
      <c r="M13" s="124"/>
      <c r="N13" s="19"/>
    </row>
    <row r="14" spans="1:18" ht="31.9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26.335000000000001</v>
      </c>
      <c r="F14" s="186">
        <f t="shared" si="6"/>
        <v>0</v>
      </c>
      <c r="G14" s="186">
        <f t="shared" si="6"/>
        <v>0</v>
      </c>
      <c r="H14" s="182">
        <f t="shared" si="2"/>
        <v>0</v>
      </c>
      <c r="I14" s="186"/>
      <c r="J14" s="19"/>
      <c r="K14" s="19"/>
      <c r="L14" s="19"/>
      <c r="M14" s="19"/>
      <c r="N14" s="19"/>
    </row>
    <row r="15" spans="1:18" ht="31.9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19.224550000000001</v>
      </c>
      <c r="F15" s="186">
        <f t="shared" si="7"/>
        <v>0</v>
      </c>
      <c r="G15" s="186">
        <f t="shared" si="7"/>
        <v>0</v>
      </c>
      <c r="H15" s="182">
        <f t="shared" si="2"/>
        <v>0</v>
      </c>
      <c r="I15" s="186"/>
      <c r="J15" s="19"/>
      <c r="K15" s="19"/>
      <c r="L15" s="19"/>
      <c r="M15" s="19"/>
      <c r="N15" s="19"/>
    </row>
    <row r="16" spans="1:18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1.3</v>
      </c>
      <c r="F16" s="181">
        <v>1.3</v>
      </c>
      <c r="G16" s="181">
        <v>1.3</v>
      </c>
      <c r="H16" s="182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1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2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1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4.3550000000000004</v>
      </c>
      <c r="F18" s="186">
        <f t="shared" si="8"/>
        <v>0</v>
      </c>
      <c r="G18" s="186">
        <f t="shared" si="8"/>
        <v>0</v>
      </c>
      <c r="H18" s="182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1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6</v>
      </c>
      <c r="F19" s="181">
        <f t="shared" si="9"/>
        <v>0</v>
      </c>
      <c r="G19" s="181">
        <f t="shared" si="9"/>
        <v>0</v>
      </c>
      <c r="H19" s="182">
        <f t="shared" si="2"/>
        <v>0</v>
      </c>
      <c r="I19" s="181"/>
      <c r="J19" s="20"/>
      <c r="K19" s="20"/>
      <c r="L19" s="20"/>
      <c r="M19" s="20"/>
      <c r="N19" s="113"/>
      <c r="O19" s="25"/>
      <c r="P19" s="25"/>
      <c r="Q19" s="25"/>
      <c r="R19" s="25"/>
      <c r="S19" s="25"/>
      <c r="T19" s="25"/>
      <c r="U19" s="25"/>
    </row>
    <row r="20" spans="1:21" ht="31.9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19.170000000000002</v>
      </c>
      <c r="F20" s="186">
        <f t="shared" si="10"/>
        <v>0</v>
      </c>
      <c r="G20" s="186">
        <f t="shared" si="10"/>
        <v>0</v>
      </c>
      <c r="H20" s="182">
        <f t="shared" si="2"/>
        <v>0</v>
      </c>
      <c r="I20" s="186"/>
      <c r="J20" s="20"/>
      <c r="K20" s="20"/>
      <c r="L20" s="20"/>
      <c r="M20" s="20"/>
      <c r="N20" s="113"/>
      <c r="O20" s="25"/>
      <c r="P20" s="25"/>
      <c r="Q20" s="25"/>
      <c r="R20" s="25"/>
      <c r="S20" s="25"/>
      <c r="T20" s="25"/>
      <c r="U20" s="25"/>
    </row>
    <row r="21" spans="1:21" ht="31.9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11.502000000000001</v>
      </c>
      <c r="F21" s="186">
        <f t="shared" si="11"/>
        <v>0</v>
      </c>
      <c r="G21" s="186">
        <f t="shared" si="11"/>
        <v>0</v>
      </c>
      <c r="H21" s="182">
        <f t="shared" si="2"/>
        <v>0</v>
      </c>
      <c r="I21" s="186"/>
      <c r="J21" s="20"/>
      <c r="K21" s="20"/>
      <c r="L21" s="20"/>
      <c r="M21" s="20"/>
      <c r="N21" s="113"/>
      <c r="O21" s="25"/>
      <c r="P21" s="25"/>
      <c r="Q21" s="25"/>
      <c r="R21" s="25"/>
      <c r="S21" s="25"/>
      <c r="T21" s="25"/>
      <c r="U21" s="25"/>
    </row>
    <row r="22" spans="1:21" ht="31.9" customHeight="1" x14ac:dyDescent="0.25">
      <c r="A22" s="269" t="s">
        <v>22</v>
      </c>
      <c r="B22" s="270" t="s">
        <v>23</v>
      </c>
      <c r="C22" s="269" t="s">
        <v>4</v>
      </c>
      <c r="D22" s="203"/>
      <c r="E22" s="203">
        <v>6</v>
      </c>
      <c r="F22" s="203">
        <v>0</v>
      </c>
      <c r="G22" s="203">
        <v>0</v>
      </c>
      <c r="H22" s="182">
        <f t="shared" si="2"/>
        <v>0</v>
      </c>
      <c r="I22" s="181"/>
      <c r="J22" s="13"/>
      <c r="K22" s="13"/>
      <c r="L22" s="13"/>
      <c r="M22" s="13"/>
      <c r="N22" s="37"/>
      <c r="O22" s="38"/>
      <c r="P22" s="38"/>
      <c r="Q22" s="38"/>
      <c r="R22" s="38"/>
      <c r="S22" s="38"/>
      <c r="T22" s="38"/>
      <c r="U22" s="25"/>
    </row>
    <row r="23" spans="1:21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2">
        <f t="shared" si="2"/>
        <v>0</v>
      </c>
      <c r="I23" s="186"/>
      <c r="J23" s="13"/>
      <c r="K23" s="13"/>
      <c r="L23" s="13"/>
      <c r="M23" s="13"/>
      <c r="N23" s="37"/>
      <c r="O23" s="38"/>
      <c r="P23" s="38"/>
      <c r="Q23" s="38"/>
      <c r="R23" s="38"/>
      <c r="S23" s="38"/>
      <c r="T23" s="38"/>
      <c r="U23" s="25"/>
    </row>
    <row r="24" spans="1:21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23.004000000000001</v>
      </c>
      <c r="F24" s="186">
        <f t="shared" si="12"/>
        <v>0</v>
      </c>
      <c r="G24" s="186">
        <f t="shared" si="12"/>
        <v>0</v>
      </c>
      <c r="H24" s="182">
        <f t="shared" si="2"/>
        <v>0</v>
      </c>
      <c r="I24" s="186"/>
      <c r="J24" s="13"/>
      <c r="K24" s="13"/>
      <c r="L24" s="13"/>
      <c r="M24" s="13"/>
      <c r="N24" s="37"/>
      <c r="O24" s="38"/>
      <c r="P24" s="38"/>
      <c r="Q24" s="38"/>
      <c r="R24" s="38"/>
      <c r="S24" s="38"/>
      <c r="T24" s="38"/>
      <c r="U24" s="25"/>
    </row>
    <row r="25" spans="1:21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186"/>
      <c r="F25" s="186">
        <v>0</v>
      </c>
      <c r="G25" s="186">
        <v>0</v>
      </c>
      <c r="H25" s="182"/>
      <c r="I25" s="186"/>
      <c r="J25" s="13"/>
      <c r="K25" s="13"/>
      <c r="L25" s="13"/>
      <c r="M25" s="13"/>
      <c r="N25" s="13"/>
      <c r="O25" s="14"/>
      <c r="P25" s="14"/>
      <c r="Q25" s="15"/>
      <c r="R25" s="15"/>
      <c r="S25" s="15"/>
      <c r="T25" s="15"/>
    </row>
    <row r="26" spans="1:21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0</v>
      </c>
      <c r="F26" s="186"/>
      <c r="G26" s="186"/>
      <c r="H26" s="182"/>
      <c r="I26" s="186"/>
      <c r="J26" s="13"/>
      <c r="K26" s="13"/>
      <c r="L26" s="13"/>
      <c r="M26" s="13"/>
      <c r="N26" s="13"/>
      <c r="O26" s="14"/>
      <c r="P26" s="14"/>
      <c r="Q26" s="15"/>
      <c r="R26" s="15"/>
      <c r="S26" s="15"/>
      <c r="T26" s="15"/>
    </row>
    <row r="27" spans="1:21" ht="31.9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 t="shared" ref="E27:G27" si="13">E25*E26/10</f>
        <v>0</v>
      </c>
      <c r="F27" s="186">
        <f t="shared" si="13"/>
        <v>0</v>
      </c>
      <c r="G27" s="186">
        <f t="shared" si="13"/>
        <v>0</v>
      </c>
      <c r="H27" s="182"/>
      <c r="I27" s="186"/>
      <c r="J27" s="13"/>
      <c r="K27" s="13"/>
      <c r="L27" s="13"/>
      <c r="M27" s="13"/>
      <c r="N27" s="13"/>
      <c r="O27" s="14"/>
      <c r="P27" s="14"/>
      <c r="Q27" s="15"/>
      <c r="R27" s="15"/>
      <c r="S27" s="15"/>
      <c r="T27" s="15"/>
    </row>
    <row r="28" spans="1:21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4">D31+D34</f>
        <v>1</v>
      </c>
      <c r="E28" s="181">
        <f t="shared" si="14"/>
        <v>1</v>
      </c>
      <c r="F28" s="181">
        <f t="shared" si="14"/>
        <v>1</v>
      </c>
      <c r="G28" s="181">
        <f t="shared" si="14"/>
        <v>1</v>
      </c>
      <c r="H28" s="182">
        <f t="shared" si="2"/>
        <v>100</v>
      </c>
      <c r="I28" s="181"/>
      <c r="J28" s="13"/>
      <c r="K28" s="13"/>
      <c r="L28" s="13"/>
      <c r="M28" s="13"/>
      <c r="N28" s="13"/>
      <c r="O28" s="14"/>
      <c r="P28" s="14"/>
      <c r="Q28" s="15"/>
      <c r="R28" s="15"/>
      <c r="S28" s="15"/>
      <c r="T28" s="15"/>
    </row>
    <row r="29" spans="1:21" ht="31.9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5">E35</f>
        <v>36.9</v>
      </c>
      <c r="F29" s="186">
        <f t="shared" si="15"/>
        <v>0</v>
      </c>
      <c r="G29" s="186">
        <f t="shared" si="15"/>
        <v>0</v>
      </c>
      <c r="H29" s="182">
        <f t="shared" si="2"/>
        <v>0</v>
      </c>
      <c r="I29" s="186"/>
      <c r="J29" s="13"/>
      <c r="K29" s="13"/>
      <c r="L29" s="13"/>
      <c r="M29" s="13"/>
      <c r="N29" s="13"/>
      <c r="O29" s="14"/>
      <c r="P29" s="14"/>
      <c r="Q29" s="15"/>
      <c r="R29" s="15"/>
      <c r="S29" s="15"/>
      <c r="T29" s="15"/>
    </row>
    <row r="30" spans="1:21" ht="31.9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6">E28*E29/10</f>
        <v>3.69</v>
      </c>
      <c r="F30" s="186">
        <f t="shared" si="16"/>
        <v>0</v>
      </c>
      <c r="G30" s="186">
        <f t="shared" si="16"/>
        <v>0</v>
      </c>
      <c r="H30" s="182">
        <f t="shared" si="2"/>
        <v>0</v>
      </c>
      <c r="I30" s="186"/>
      <c r="J30" s="13"/>
      <c r="K30" s="13"/>
      <c r="L30" s="13"/>
      <c r="M30" s="13"/>
      <c r="N30" s="13"/>
      <c r="O30" s="14"/>
      <c r="P30" s="14"/>
      <c r="Q30" s="15"/>
      <c r="R30" s="15"/>
      <c r="S30" s="15"/>
      <c r="T30" s="15"/>
    </row>
    <row r="31" spans="1:21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2"/>
      <c r="I31" s="181"/>
      <c r="J31" s="13"/>
      <c r="K31" s="6"/>
      <c r="L31" s="61"/>
      <c r="M31" s="61"/>
      <c r="N31" s="61"/>
      <c r="O31" s="61"/>
      <c r="P31" s="14"/>
      <c r="Q31" s="15"/>
      <c r="R31" s="15"/>
      <c r="S31" s="15"/>
      <c r="T31" s="15"/>
    </row>
    <row r="32" spans="1:21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2"/>
      <c r="I32" s="181"/>
      <c r="J32" s="13"/>
      <c r="K32" s="6"/>
      <c r="L32" s="61"/>
      <c r="M32" s="61"/>
      <c r="N32" s="61"/>
      <c r="O32" s="61"/>
      <c r="P32" s="14"/>
      <c r="Q32" s="15"/>
      <c r="R32" s="15"/>
      <c r="S32" s="15"/>
      <c r="T32" s="15"/>
    </row>
    <row r="33" spans="1:20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2"/>
      <c r="I33" s="181"/>
      <c r="J33" s="13"/>
      <c r="K33" s="6"/>
      <c r="L33" s="61"/>
      <c r="M33" s="61"/>
      <c r="N33" s="61"/>
      <c r="O33" s="61"/>
      <c r="P33" s="14"/>
      <c r="Q33" s="15"/>
      <c r="R33" s="15"/>
      <c r="S33" s="15"/>
      <c r="T33" s="15"/>
    </row>
    <row r="34" spans="1:20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2">
        <f t="shared" si="2"/>
        <v>100</v>
      </c>
      <c r="I34" s="181"/>
      <c r="J34" s="13"/>
      <c r="K34" s="29"/>
      <c r="L34" s="29"/>
      <c r="M34" s="29"/>
      <c r="N34" s="29"/>
      <c r="O34" s="29"/>
      <c r="P34" s="14"/>
      <c r="Q34" s="15"/>
      <c r="R34" s="15"/>
      <c r="S34" s="15"/>
      <c r="T34" s="15"/>
    </row>
    <row r="35" spans="1:20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2">
        <f t="shared" si="2"/>
        <v>0</v>
      </c>
      <c r="I35" s="186"/>
      <c r="J35" s="13"/>
      <c r="K35" s="29"/>
      <c r="L35" s="29"/>
      <c r="M35" s="29"/>
      <c r="N35" s="29"/>
      <c r="O35" s="29"/>
      <c r="P35" s="14"/>
      <c r="Q35" s="15"/>
      <c r="R35" s="15"/>
      <c r="S35" s="15"/>
      <c r="T35" s="15"/>
    </row>
    <row r="36" spans="1:20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7">E34*E35/10</f>
        <v>3.69</v>
      </c>
      <c r="F36" s="186">
        <f t="shared" si="17"/>
        <v>0</v>
      </c>
      <c r="G36" s="186">
        <f t="shared" si="17"/>
        <v>0</v>
      </c>
      <c r="H36" s="182">
        <f t="shared" si="2"/>
        <v>0</v>
      </c>
      <c r="I36" s="186"/>
      <c r="J36" s="13"/>
      <c r="K36" s="29"/>
      <c r="L36" s="29"/>
      <c r="M36" s="29"/>
      <c r="N36" s="29"/>
      <c r="O36" s="29"/>
      <c r="P36" s="14"/>
      <c r="Q36" s="15"/>
      <c r="R36" s="15"/>
      <c r="S36" s="15"/>
      <c r="T36" s="15"/>
    </row>
    <row r="37" spans="1:20" ht="31.9" customHeight="1" x14ac:dyDescent="0.25">
      <c r="A37" s="2">
        <v>2</v>
      </c>
      <c r="B37" s="225" t="s">
        <v>28</v>
      </c>
      <c r="C37" s="2" t="s">
        <v>4</v>
      </c>
      <c r="D37" s="181">
        <v>39</v>
      </c>
      <c r="E37" s="181">
        <v>33.83</v>
      </c>
      <c r="F37" s="181">
        <v>33.83</v>
      </c>
      <c r="G37" s="181">
        <v>33.83</v>
      </c>
      <c r="H37" s="182">
        <f t="shared" si="2"/>
        <v>100</v>
      </c>
      <c r="I37" s="181"/>
      <c r="J37" s="13"/>
      <c r="K37" s="8"/>
      <c r="L37" s="8"/>
      <c r="M37" s="8"/>
      <c r="N37" s="8"/>
      <c r="O37" s="8"/>
      <c r="P37" s="13"/>
      <c r="Q37" s="13"/>
      <c r="R37" s="13"/>
      <c r="S37" s="13"/>
      <c r="T37" s="13"/>
    </row>
    <row r="38" spans="1:20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2">
        <f t="shared" si="2"/>
        <v>0</v>
      </c>
      <c r="I38" s="186"/>
      <c r="J38" s="13"/>
      <c r="K38" s="8"/>
      <c r="L38" s="8"/>
      <c r="M38" s="8"/>
      <c r="N38" s="8"/>
      <c r="O38" s="8"/>
      <c r="P38" s="13"/>
      <c r="Q38" s="13"/>
      <c r="R38" s="13"/>
      <c r="S38" s="13"/>
      <c r="T38" s="13"/>
    </row>
    <row r="39" spans="1:20" ht="31.9" customHeight="1" x14ac:dyDescent="0.25">
      <c r="A39" s="2"/>
      <c r="B39" s="227" t="s">
        <v>141</v>
      </c>
      <c r="C39" s="4" t="s">
        <v>15</v>
      </c>
      <c r="D39" s="186">
        <f>D37*D38/10</f>
        <v>536.25</v>
      </c>
      <c r="E39" s="186">
        <f t="shared" ref="E39:G39" si="18">E37*E38/10</f>
        <v>473.62</v>
      </c>
      <c r="F39" s="186">
        <f t="shared" si="18"/>
        <v>0</v>
      </c>
      <c r="G39" s="186">
        <f t="shared" si="18"/>
        <v>0</v>
      </c>
      <c r="H39" s="182">
        <f t="shared" si="2"/>
        <v>0</v>
      </c>
      <c r="I39" s="186"/>
      <c r="J39" s="13"/>
      <c r="K39" s="8"/>
      <c r="L39" s="8"/>
      <c r="M39" s="8"/>
      <c r="N39" s="8"/>
      <c r="O39" s="8"/>
      <c r="P39" s="13"/>
      <c r="Q39" s="13"/>
      <c r="R39" s="13"/>
      <c r="S39" s="13"/>
      <c r="T39" s="13"/>
    </row>
    <row r="40" spans="1:20" ht="31.9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2">
        <f t="shared" si="2"/>
        <v>0</v>
      </c>
      <c r="I40" s="186"/>
      <c r="J40" s="13"/>
      <c r="K40" s="8"/>
      <c r="L40" s="8"/>
      <c r="M40" s="8"/>
      <c r="N40" s="8"/>
      <c r="O40" s="8"/>
      <c r="P40" s="13"/>
      <c r="Q40" s="13"/>
      <c r="R40" s="13"/>
      <c r="S40" s="13"/>
      <c r="T40" s="13"/>
    </row>
    <row r="41" spans="1:20" ht="31.9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2">
        <f t="shared" si="2"/>
        <v>0</v>
      </c>
      <c r="I41" s="186"/>
      <c r="J41" s="13"/>
      <c r="K41" s="8"/>
      <c r="L41" s="8"/>
      <c r="M41" s="8"/>
      <c r="N41" s="8"/>
      <c r="O41" s="8"/>
      <c r="P41" s="13"/>
      <c r="Q41" s="13"/>
      <c r="R41" s="13"/>
      <c r="S41" s="13"/>
      <c r="T41" s="13"/>
    </row>
    <row r="42" spans="1:20" ht="31.9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9">F40*F41/10</f>
        <v>0</v>
      </c>
      <c r="G42" s="188">
        <f t="shared" si="19"/>
        <v>0</v>
      </c>
      <c r="H42" s="182">
        <f t="shared" si="2"/>
        <v>0</v>
      </c>
      <c r="I42" s="186"/>
      <c r="J42" s="13"/>
      <c r="K42" s="8"/>
      <c r="L42" s="8"/>
      <c r="M42" s="8"/>
      <c r="N42" s="8"/>
      <c r="O42" s="8"/>
      <c r="P42" s="13"/>
      <c r="Q42" s="13"/>
      <c r="R42" s="13"/>
      <c r="S42" s="13"/>
      <c r="T42" s="13"/>
    </row>
    <row r="43" spans="1:20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2">
        <f t="shared" si="2"/>
        <v>54</v>
      </c>
      <c r="I43" s="181"/>
      <c r="J43" s="19"/>
      <c r="K43" s="26"/>
      <c r="L43" s="105"/>
      <c r="M43" s="105"/>
      <c r="N43" s="105"/>
      <c r="O43" s="105"/>
    </row>
    <row r="44" spans="1:20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2">
        <f t="shared" si="2"/>
        <v>0</v>
      </c>
      <c r="I44" s="186"/>
      <c r="J44" s="19"/>
      <c r="K44" s="114"/>
      <c r="L44" s="19"/>
      <c r="M44" s="19"/>
      <c r="N44" s="19"/>
    </row>
    <row r="45" spans="1:20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20">F43*F44/10</f>
        <v>0</v>
      </c>
      <c r="G45" s="186">
        <f t="shared" si="20"/>
        <v>0</v>
      </c>
      <c r="H45" s="182">
        <f t="shared" si="2"/>
        <v>0</v>
      </c>
      <c r="I45" s="186"/>
      <c r="J45" s="19"/>
      <c r="K45" s="19"/>
      <c r="L45" s="19"/>
      <c r="M45" s="19"/>
      <c r="N45" s="19"/>
    </row>
    <row r="46" spans="1:20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39.11</v>
      </c>
      <c r="E46" s="181">
        <f t="shared" ref="E46:G46" si="21">E47+E55+E64</f>
        <v>51.11</v>
      </c>
      <c r="F46" s="181">
        <f t="shared" si="21"/>
        <v>39.909999999999997</v>
      </c>
      <c r="G46" s="181">
        <f t="shared" si="21"/>
        <v>39.909999999999997</v>
      </c>
      <c r="H46" s="182">
        <f t="shared" si="2"/>
        <v>78.086480140872624</v>
      </c>
      <c r="I46" s="181"/>
      <c r="J46" s="19"/>
      <c r="K46" s="19"/>
      <c r="L46" s="19"/>
      <c r="M46" s="19"/>
      <c r="N46" s="19"/>
    </row>
    <row r="47" spans="1:20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21.86</v>
      </c>
      <c r="E47" s="181">
        <f t="shared" ref="E47:G47" si="22">E48+E49</f>
        <v>31.86</v>
      </c>
      <c r="F47" s="181">
        <f t="shared" si="22"/>
        <v>21.86</v>
      </c>
      <c r="G47" s="181">
        <f t="shared" si="22"/>
        <v>21.86</v>
      </c>
      <c r="H47" s="182">
        <f t="shared" si="2"/>
        <v>68.612680477087252</v>
      </c>
      <c r="I47" s="181"/>
      <c r="J47" s="19"/>
      <c r="K47" s="19"/>
      <c r="L47" s="19"/>
      <c r="M47" s="19"/>
      <c r="N47" s="19"/>
    </row>
    <row r="48" spans="1:20" ht="31.9" customHeight="1" x14ac:dyDescent="0.25">
      <c r="A48" s="5" t="s">
        <v>22</v>
      </c>
      <c r="B48" s="273" t="s">
        <v>117</v>
      </c>
      <c r="C48" s="274" t="s">
        <v>4</v>
      </c>
      <c r="D48" s="186">
        <v>21</v>
      </c>
      <c r="E48" s="186">
        <f>D48+D49</f>
        <v>21.86</v>
      </c>
      <c r="F48" s="186">
        <v>21.86</v>
      </c>
      <c r="G48" s="186">
        <v>21.86</v>
      </c>
      <c r="H48" s="218">
        <f t="shared" si="2"/>
        <v>100</v>
      </c>
      <c r="I48" s="186"/>
      <c r="J48" s="13"/>
      <c r="K48" s="13"/>
      <c r="L48" s="13"/>
      <c r="M48" s="13"/>
      <c r="N48" s="13"/>
      <c r="O48" s="14"/>
      <c r="P48" s="14"/>
    </row>
    <row r="49" spans="1:19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0.86</v>
      </c>
      <c r="E49" s="181">
        <f t="shared" ref="E49:G49" si="23">E50+E51</f>
        <v>10</v>
      </c>
      <c r="F49" s="181">
        <f t="shared" si="23"/>
        <v>0</v>
      </c>
      <c r="G49" s="181">
        <f t="shared" si="23"/>
        <v>0</v>
      </c>
      <c r="H49" s="182">
        <f t="shared" si="2"/>
        <v>0</v>
      </c>
      <c r="I49" s="181"/>
      <c r="J49" s="103"/>
      <c r="K49" s="103"/>
      <c r="L49" s="103"/>
      <c r="M49" s="103"/>
      <c r="N49" s="103"/>
    </row>
    <row r="50" spans="1:19" ht="31.9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8</v>
      </c>
      <c r="F50" s="186">
        <v>0</v>
      </c>
      <c r="G50" s="186">
        <v>0</v>
      </c>
      <c r="H50" s="182">
        <f t="shared" si="2"/>
        <v>0</v>
      </c>
      <c r="I50" s="186"/>
      <c r="J50" s="19"/>
      <c r="K50" s="19"/>
      <c r="L50" s="19"/>
      <c r="M50" s="19"/>
      <c r="N50" s="19"/>
    </row>
    <row r="51" spans="1:19" ht="31.9" customHeight="1" x14ac:dyDescent="0.25">
      <c r="A51" s="274" t="s">
        <v>16</v>
      </c>
      <c r="B51" s="276" t="s">
        <v>33</v>
      </c>
      <c r="C51" s="4" t="s">
        <v>4</v>
      </c>
      <c r="D51" s="186">
        <v>0.86</v>
      </c>
      <c r="E51" s="186">
        <v>2</v>
      </c>
      <c r="F51" s="186">
        <v>0</v>
      </c>
      <c r="G51" s="186">
        <v>0</v>
      </c>
      <c r="H51" s="182">
        <f t="shared" si="2"/>
        <v>0</v>
      </c>
      <c r="I51" s="186"/>
      <c r="J51" s="19"/>
      <c r="K51" s="116"/>
      <c r="L51" s="19"/>
      <c r="M51" s="19"/>
      <c r="N51" s="19"/>
    </row>
    <row r="52" spans="1:19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11.15</v>
      </c>
      <c r="E52" s="181">
        <f t="shared" ref="E52:G52" si="24">E53+E54</f>
        <v>17.849999999999998</v>
      </c>
      <c r="F52" s="181">
        <f t="shared" si="24"/>
        <v>17.850000000000001</v>
      </c>
      <c r="G52" s="181">
        <f t="shared" si="24"/>
        <v>17.850000000000001</v>
      </c>
      <c r="H52" s="182">
        <f t="shared" si="2"/>
        <v>100.00000000000003</v>
      </c>
      <c r="I52" s="181"/>
      <c r="J52" s="103"/>
      <c r="K52" s="103"/>
      <c r="L52" s="103"/>
      <c r="M52" s="103"/>
      <c r="N52" s="103"/>
    </row>
    <row r="53" spans="1:19" ht="31.9" customHeight="1" x14ac:dyDescent="0.25">
      <c r="A53" s="277" t="s">
        <v>16</v>
      </c>
      <c r="B53" s="276" t="s">
        <v>119</v>
      </c>
      <c r="C53" s="4" t="s">
        <v>4</v>
      </c>
      <c r="D53" s="186">
        <f>13.65-6</f>
        <v>7.65</v>
      </c>
      <c r="E53" s="186">
        <f>D48*85%</f>
        <v>17.849999999999998</v>
      </c>
      <c r="F53" s="186">
        <v>17.850000000000001</v>
      </c>
      <c r="G53" s="186">
        <v>17.850000000000001</v>
      </c>
      <c r="H53" s="218">
        <f t="shared" si="2"/>
        <v>100.00000000000003</v>
      </c>
      <c r="I53" s="186"/>
      <c r="J53" s="19"/>
      <c r="K53" s="19"/>
      <c r="L53" s="114"/>
      <c r="M53" s="19"/>
      <c r="N53" s="19"/>
    </row>
    <row r="54" spans="1:19" ht="31.9" customHeight="1" x14ac:dyDescent="0.25">
      <c r="A54" s="4"/>
      <c r="B54" s="276" t="s">
        <v>120</v>
      </c>
      <c r="C54" s="4" t="s">
        <v>4</v>
      </c>
      <c r="D54" s="186">
        <v>3.5</v>
      </c>
      <c r="E54" s="186"/>
      <c r="F54" s="186"/>
      <c r="G54" s="186"/>
      <c r="H54" s="182"/>
      <c r="I54" s="186"/>
      <c r="J54" s="19"/>
      <c r="K54" s="19"/>
      <c r="L54" s="19"/>
      <c r="M54" s="19"/>
      <c r="N54" s="19"/>
    </row>
    <row r="55" spans="1:19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11.5</v>
      </c>
      <c r="E55" s="181">
        <f t="shared" ref="E55:G55" si="25">E56+E57</f>
        <v>13.5</v>
      </c>
      <c r="F55" s="181">
        <f t="shared" si="25"/>
        <v>12.3</v>
      </c>
      <c r="G55" s="181">
        <f t="shared" si="25"/>
        <v>12.3</v>
      </c>
      <c r="H55" s="182">
        <f t="shared" si="2"/>
        <v>91.111111111111114</v>
      </c>
      <c r="I55" s="181"/>
      <c r="J55" s="19"/>
      <c r="K55" s="19"/>
      <c r="L55" s="19"/>
      <c r="M55" s="19"/>
      <c r="N55" s="19"/>
    </row>
    <row r="56" spans="1:19" ht="31.9" customHeight="1" x14ac:dyDescent="0.25">
      <c r="A56" s="4" t="s">
        <v>22</v>
      </c>
      <c r="B56" s="273" t="s">
        <v>118</v>
      </c>
      <c r="C56" s="4" t="s">
        <v>4</v>
      </c>
      <c r="D56" s="186">
        <v>11.5</v>
      </c>
      <c r="E56" s="186">
        <f>D56+E58</f>
        <v>12.3</v>
      </c>
      <c r="F56" s="186">
        <v>12.3</v>
      </c>
      <c r="G56" s="186">
        <v>12.3</v>
      </c>
      <c r="H56" s="218">
        <f t="shared" si="2"/>
        <v>100</v>
      </c>
      <c r="I56" s="186"/>
      <c r="J56" s="19"/>
      <c r="K56" s="19"/>
      <c r="L56" s="19"/>
      <c r="M56" s="19"/>
      <c r="N56" s="19"/>
    </row>
    <row r="57" spans="1:19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6">E58+E61</f>
        <v>1.2000000000000002</v>
      </c>
      <c r="F57" s="186">
        <f t="shared" si="26"/>
        <v>0</v>
      </c>
      <c r="G57" s="186">
        <f t="shared" si="26"/>
        <v>0</v>
      </c>
      <c r="H57" s="182">
        <f t="shared" si="2"/>
        <v>0</v>
      </c>
      <c r="I57" s="186"/>
      <c r="J57" s="19"/>
      <c r="K57" s="19"/>
      <c r="L57" s="19"/>
      <c r="M57" s="19"/>
      <c r="N57" s="19"/>
    </row>
    <row r="58" spans="1:19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>E59+E60</f>
        <v>0.8</v>
      </c>
      <c r="F58" s="189">
        <f t="shared" ref="F58:G58" si="27">F59+F60</f>
        <v>0</v>
      </c>
      <c r="G58" s="189">
        <f t="shared" si="27"/>
        <v>0</v>
      </c>
      <c r="H58" s="182">
        <f t="shared" si="2"/>
        <v>0</v>
      </c>
      <c r="I58" s="189"/>
      <c r="J58" s="107"/>
      <c r="K58" s="34"/>
      <c r="L58" s="34"/>
      <c r="M58" s="34"/>
      <c r="N58" s="34"/>
      <c r="O58" s="34"/>
      <c r="P58" s="51"/>
      <c r="Q58" s="51"/>
      <c r="R58" s="51"/>
      <c r="S58" s="51"/>
    </row>
    <row r="59" spans="1:19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0.3</v>
      </c>
      <c r="F59" s="186">
        <v>0</v>
      </c>
      <c r="G59" s="186">
        <v>0</v>
      </c>
      <c r="H59" s="182">
        <f t="shared" si="2"/>
        <v>0</v>
      </c>
      <c r="I59" s="186"/>
      <c r="J59" s="104"/>
      <c r="K59" s="6"/>
      <c r="L59" s="6"/>
      <c r="M59" s="6"/>
      <c r="N59" s="6"/>
      <c r="O59" s="6"/>
      <c r="P59" s="39"/>
      <c r="Q59" s="39"/>
      <c r="R59" s="39"/>
      <c r="S59" s="39"/>
    </row>
    <row r="60" spans="1:19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0.5</v>
      </c>
      <c r="F60" s="186">
        <v>0</v>
      </c>
      <c r="G60" s="186">
        <v>0</v>
      </c>
      <c r="H60" s="182">
        <f t="shared" si="2"/>
        <v>0</v>
      </c>
      <c r="I60" s="186"/>
      <c r="J60" s="104"/>
      <c r="K60" s="6"/>
      <c r="L60" s="6"/>
      <c r="M60" s="6"/>
      <c r="N60" s="6"/>
      <c r="O60" s="6"/>
      <c r="P60" s="39"/>
      <c r="Q60" s="39"/>
      <c r="R60" s="39"/>
      <c r="S60" s="39"/>
    </row>
    <row r="61" spans="1:19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8">E62+E63</f>
        <v>0.4</v>
      </c>
      <c r="F61" s="189">
        <f t="shared" si="28"/>
        <v>0</v>
      </c>
      <c r="G61" s="189">
        <f t="shared" si="28"/>
        <v>0</v>
      </c>
      <c r="H61" s="182">
        <f t="shared" si="2"/>
        <v>0</v>
      </c>
      <c r="I61" s="189"/>
      <c r="J61" s="104"/>
      <c r="K61" s="34"/>
      <c r="L61" s="34"/>
      <c r="M61" s="34"/>
      <c r="N61" s="34"/>
      <c r="O61" s="51"/>
      <c r="P61" s="51"/>
      <c r="Q61" s="51"/>
      <c r="R61" s="51"/>
      <c r="S61" s="51"/>
    </row>
    <row r="62" spans="1:19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0.3</v>
      </c>
      <c r="F62" s="186">
        <v>0</v>
      </c>
      <c r="G62" s="186">
        <v>0</v>
      </c>
      <c r="H62" s="182">
        <f t="shared" si="2"/>
        <v>0</v>
      </c>
      <c r="I62" s="186"/>
      <c r="J62" s="104"/>
      <c r="K62" s="6"/>
      <c r="L62" s="6"/>
      <c r="M62" s="6"/>
      <c r="N62" s="6"/>
      <c r="O62" s="6"/>
      <c r="P62" s="39"/>
      <c r="Q62" s="39"/>
      <c r="R62" s="39"/>
      <c r="S62" s="39"/>
    </row>
    <row r="63" spans="1:19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2">
        <f t="shared" si="2"/>
        <v>0</v>
      </c>
      <c r="I63" s="186"/>
      <c r="J63" s="104"/>
      <c r="K63" s="6"/>
      <c r="L63" s="6"/>
      <c r="M63" s="6"/>
      <c r="N63" s="6"/>
      <c r="O63" s="6"/>
      <c r="P63" s="39"/>
      <c r="Q63" s="39"/>
      <c r="R63" s="39"/>
      <c r="S63" s="39"/>
    </row>
    <row r="64" spans="1:19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5.75</v>
      </c>
      <c r="E64" s="181">
        <f t="shared" ref="E64:G64" si="29">E65+E66</f>
        <v>5.75</v>
      </c>
      <c r="F64" s="181">
        <f t="shared" si="29"/>
        <v>5.75</v>
      </c>
      <c r="G64" s="181">
        <f t="shared" si="29"/>
        <v>5.75</v>
      </c>
      <c r="H64" s="182">
        <f t="shared" si="2"/>
        <v>100</v>
      </c>
      <c r="I64" s="181"/>
      <c r="J64" s="19"/>
      <c r="K64" s="47"/>
      <c r="L64" s="47"/>
      <c r="M64" s="47"/>
      <c r="N64" s="47"/>
      <c r="O64" s="30"/>
      <c r="P64" s="30"/>
      <c r="Q64" s="30"/>
      <c r="R64" s="30"/>
      <c r="S64" s="30"/>
    </row>
    <row r="65" spans="1:19" ht="31.9" customHeight="1" x14ac:dyDescent="0.25">
      <c r="A65" s="4" t="s">
        <v>16</v>
      </c>
      <c r="B65" s="273" t="s">
        <v>117</v>
      </c>
      <c r="C65" s="4" t="s">
        <v>4</v>
      </c>
      <c r="D65" s="186">
        <v>5.75</v>
      </c>
      <c r="E65" s="186">
        <v>5.75</v>
      </c>
      <c r="F65" s="186">
        <v>5.75</v>
      </c>
      <c r="G65" s="186">
        <v>5.75</v>
      </c>
      <c r="H65" s="218">
        <f t="shared" si="2"/>
        <v>100</v>
      </c>
      <c r="I65" s="186"/>
      <c r="J65" s="19"/>
      <c r="K65" s="47"/>
      <c r="L65" s="47"/>
      <c r="M65" s="47"/>
      <c r="N65" s="47"/>
      <c r="O65" s="30"/>
      <c r="P65" s="30"/>
      <c r="Q65" s="30"/>
      <c r="R65" s="30"/>
      <c r="S65" s="30"/>
    </row>
    <row r="66" spans="1:19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2"/>
      <c r="I66" s="186"/>
      <c r="J66" s="19"/>
      <c r="K66" s="47"/>
      <c r="L66" s="47"/>
      <c r="M66" s="47"/>
      <c r="N66" s="47"/>
      <c r="O66" s="30"/>
      <c r="P66" s="30"/>
      <c r="Q66" s="30"/>
      <c r="R66" s="30"/>
      <c r="S66" s="30"/>
    </row>
    <row r="67" spans="1:19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46.83</v>
      </c>
      <c r="E67" s="181">
        <f t="shared" ref="E67:G67" si="30">E68+E71</f>
        <v>47.059999999999995</v>
      </c>
      <c r="F67" s="181">
        <f t="shared" si="30"/>
        <v>46.489999999999995</v>
      </c>
      <c r="G67" s="181">
        <f t="shared" si="30"/>
        <v>46.489999999999995</v>
      </c>
      <c r="H67" s="182">
        <f t="shared" si="2"/>
        <v>98.788780280492986</v>
      </c>
      <c r="I67" s="181"/>
      <c r="J67" s="19"/>
      <c r="K67" s="47"/>
      <c r="L67" s="47"/>
      <c r="M67" s="47"/>
      <c r="N67" s="47"/>
      <c r="O67" s="30"/>
      <c r="P67" s="30"/>
      <c r="Q67" s="30"/>
      <c r="R67" s="30"/>
      <c r="S67" s="30"/>
    </row>
    <row r="68" spans="1:19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1">E69+E70</f>
        <v>0</v>
      </c>
      <c r="F68" s="181">
        <f t="shared" si="31"/>
        <v>0</v>
      </c>
      <c r="G68" s="181">
        <f t="shared" si="31"/>
        <v>0</v>
      </c>
      <c r="H68" s="182"/>
      <c r="I68" s="181"/>
      <c r="J68" s="19"/>
      <c r="K68" s="47"/>
      <c r="L68" s="47"/>
      <c r="M68" s="47"/>
      <c r="N68" s="47"/>
      <c r="O68" s="30"/>
      <c r="P68" s="30"/>
      <c r="Q68" s="30"/>
      <c r="R68" s="30"/>
      <c r="S68" s="30"/>
    </row>
    <row r="69" spans="1:19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2"/>
      <c r="I69" s="186"/>
      <c r="J69" s="19"/>
      <c r="K69" s="47"/>
      <c r="L69" s="47"/>
      <c r="M69" s="47"/>
      <c r="N69" s="47"/>
      <c r="O69" s="30"/>
      <c r="P69" s="30"/>
      <c r="Q69" s="30"/>
      <c r="R69" s="30"/>
      <c r="S69" s="30"/>
    </row>
    <row r="70" spans="1:19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2"/>
      <c r="I70" s="186"/>
      <c r="J70" s="19"/>
      <c r="K70" s="47"/>
      <c r="L70" s="47"/>
      <c r="M70" s="47"/>
      <c r="N70" s="47"/>
      <c r="O70" s="30"/>
      <c r="P70" s="30"/>
      <c r="Q70" s="30"/>
      <c r="R70" s="30"/>
      <c r="S70" s="30"/>
    </row>
    <row r="71" spans="1:19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46.83</v>
      </c>
      <c r="E71" s="181">
        <f t="shared" ref="E71:G71" si="32">E72+E73</f>
        <v>47.059999999999995</v>
      </c>
      <c r="F71" s="181">
        <f t="shared" si="32"/>
        <v>46.489999999999995</v>
      </c>
      <c r="G71" s="181">
        <f t="shared" si="32"/>
        <v>46.489999999999995</v>
      </c>
      <c r="H71" s="182">
        <f t="shared" si="2"/>
        <v>98.788780280492986</v>
      </c>
      <c r="I71" s="181"/>
      <c r="J71" s="19"/>
      <c r="K71" s="47"/>
      <c r="L71" s="47"/>
      <c r="M71" s="47"/>
      <c r="N71" s="47"/>
      <c r="O71" s="30"/>
      <c r="P71" s="30"/>
      <c r="Q71" s="30"/>
      <c r="R71" s="30"/>
      <c r="S71" s="30"/>
    </row>
    <row r="72" spans="1:19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46.33</v>
      </c>
      <c r="E72" s="192">
        <f t="shared" ref="E72:G72" si="33">E75+E82</f>
        <v>46.489999999999995</v>
      </c>
      <c r="F72" s="192">
        <f t="shared" si="33"/>
        <v>46.489999999999995</v>
      </c>
      <c r="G72" s="192">
        <f t="shared" si="33"/>
        <v>46.489999999999995</v>
      </c>
      <c r="H72" s="182">
        <f t="shared" si="2"/>
        <v>100</v>
      </c>
      <c r="I72" s="192"/>
      <c r="J72" s="19"/>
      <c r="K72" s="47"/>
      <c r="L72" s="47"/>
      <c r="M72" s="47"/>
      <c r="N72" s="47"/>
      <c r="O72" s="30"/>
      <c r="P72" s="30"/>
      <c r="Q72" s="30"/>
      <c r="R72" s="30"/>
      <c r="S72" s="30"/>
    </row>
    <row r="73" spans="1:19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>E76+E83</f>
        <v>0.56999999999999995</v>
      </c>
      <c r="F73" s="181">
        <f t="shared" ref="F73:G73" si="34">F76+F83</f>
        <v>0</v>
      </c>
      <c r="G73" s="181">
        <f t="shared" si="34"/>
        <v>0</v>
      </c>
      <c r="H73" s="182">
        <f t="shared" si="2"/>
        <v>0</v>
      </c>
      <c r="I73" s="181"/>
      <c r="J73" s="103"/>
      <c r="K73" s="118"/>
      <c r="L73" s="118"/>
      <c r="M73" s="118"/>
      <c r="N73" s="118"/>
      <c r="O73" s="30"/>
      <c r="P73" s="30"/>
      <c r="Q73" s="30"/>
      <c r="R73" s="30"/>
      <c r="S73" s="30"/>
    </row>
    <row r="74" spans="1:19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34.299999999999997</v>
      </c>
      <c r="E74" s="194">
        <f t="shared" ref="E74:G74" si="35">E75+E76</f>
        <v>34.299999999999997</v>
      </c>
      <c r="F74" s="194">
        <f t="shared" si="35"/>
        <v>34.299999999999997</v>
      </c>
      <c r="G74" s="194">
        <f t="shared" si="35"/>
        <v>34.299999999999997</v>
      </c>
      <c r="H74" s="219">
        <f t="shared" ref="H74:H95" si="36">F74/E74*100</f>
        <v>100</v>
      </c>
      <c r="I74" s="194"/>
      <c r="J74" s="36"/>
      <c r="K74" s="119"/>
      <c r="L74" s="42"/>
      <c r="M74" s="42"/>
      <c r="N74" s="42"/>
      <c r="O74" s="42"/>
      <c r="P74" s="42"/>
      <c r="Q74" s="42"/>
      <c r="R74" s="30"/>
      <c r="S74" s="30"/>
    </row>
    <row r="75" spans="1:19" ht="31.9" customHeight="1" x14ac:dyDescent="0.25">
      <c r="A75" s="5" t="s">
        <v>22</v>
      </c>
      <c r="B75" s="281" t="s">
        <v>117</v>
      </c>
      <c r="C75" s="4" t="s">
        <v>4</v>
      </c>
      <c r="D75" s="196">
        <f>33.3+1</f>
        <v>34.299999999999997</v>
      </c>
      <c r="E75" s="196">
        <f>D75+D76</f>
        <v>34.299999999999997</v>
      </c>
      <c r="F75" s="196">
        <v>34.299999999999997</v>
      </c>
      <c r="G75" s="196">
        <v>34.299999999999997</v>
      </c>
      <c r="H75" s="218">
        <f t="shared" si="36"/>
        <v>100</v>
      </c>
      <c r="I75" s="186"/>
      <c r="J75" s="19"/>
      <c r="K75" s="47"/>
      <c r="L75" s="125"/>
      <c r="M75" s="24"/>
      <c r="N75" s="24"/>
      <c r="O75" s="39"/>
      <c r="P75" s="39"/>
      <c r="Q75" s="39"/>
      <c r="R75" s="30"/>
      <c r="S75" s="30"/>
    </row>
    <row r="76" spans="1:19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>SUM(E77:E80)</f>
        <v>0</v>
      </c>
      <c r="F76" s="197">
        <f t="shared" ref="F76:G76" si="37">SUM(F77:F80)</f>
        <v>0</v>
      </c>
      <c r="G76" s="197">
        <f t="shared" si="37"/>
        <v>0</v>
      </c>
      <c r="H76" s="182"/>
      <c r="I76" s="197"/>
      <c r="J76" s="107"/>
      <c r="K76" s="108"/>
      <c r="L76" s="34"/>
      <c r="M76" s="34"/>
      <c r="N76" s="34"/>
      <c r="O76" s="39"/>
      <c r="P76" s="39"/>
      <c r="Q76" s="39"/>
      <c r="R76" s="30"/>
      <c r="S76" s="30"/>
    </row>
    <row r="77" spans="1:19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</v>
      </c>
      <c r="F77" s="186"/>
      <c r="G77" s="186"/>
      <c r="H77" s="182"/>
      <c r="I77" s="186"/>
      <c r="J77" s="107"/>
      <c r="K77" s="108"/>
      <c r="L77" s="34"/>
      <c r="M77" s="34"/>
      <c r="N77" s="120"/>
      <c r="O77" s="39"/>
      <c r="P77" s="49"/>
      <c r="Q77" s="39"/>
      <c r="R77" s="30"/>
      <c r="S77" s="30"/>
    </row>
    <row r="78" spans="1:19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2"/>
      <c r="I78" s="186"/>
      <c r="J78" s="107"/>
      <c r="K78" s="108"/>
      <c r="L78" s="34"/>
      <c r="M78" s="34"/>
      <c r="N78" s="34"/>
      <c r="O78" s="39"/>
      <c r="P78" s="39"/>
      <c r="Q78" s="39"/>
      <c r="R78" s="30"/>
      <c r="S78" s="30"/>
    </row>
    <row r="79" spans="1:19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2"/>
      <c r="I79" s="186"/>
      <c r="J79" s="107"/>
      <c r="K79" s="108"/>
      <c r="L79" s="34"/>
      <c r="M79" s="34"/>
      <c r="N79" s="34"/>
      <c r="O79" s="39"/>
      <c r="P79" s="39"/>
      <c r="Q79" s="39"/>
      <c r="R79" s="30"/>
      <c r="S79" s="30"/>
    </row>
    <row r="80" spans="1:19" ht="31.9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2"/>
      <c r="I80" s="186"/>
      <c r="J80" s="107"/>
      <c r="K80" s="108"/>
      <c r="L80" s="34"/>
      <c r="M80" s="34"/>
      <c r="N80" s="34"/>
      <c r="O80" s="39"/>
      <c r="P80" s="39"/>
      <c r="Q80" s="39"/>
      <c r="R80" s="30"/>
      <c r="S80" s="30"/>
    </row>
    <row r="81" spans="1:19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12.53</v>
      </c>
      <c r="E81" s="194">
        <f t="shared" ref="E81:G81" si="38">E82+E83</f>
        <v>12.76</v>
      </c>
      <c r="F81" s="194">
        <f t="shared" si="38"/>
        <v>12.19</v>
      </c>
      <c r="G81" s="194">
        <f t="shared" si="38"/>
        <v>12.19</v>
      </c>
      <c r="H81" s="219">
        <f t="shared" si="36"/>
        <v>95.532915360501562</v>
      </c>
      <c r="I81" s="194"/>
      <c r="J81" s="36"/>
      <c r="K81" s="119"/>
      <c r="L81" s="42"/>
      <c r="M81" s="42"/>
      <c r="N81" s="42"/>
      <c r="O81" s="42"/>
      <c r="P81" s="42"/>
      <c r="Q81" s="42"/>
      <c r="R81" s="50"/>
      <c r="S81" s="50"/>
    </row>
    <row r="82" spans="1:19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12.03</v>
      </c>
      <c r="E82" s="189">
        <v>12.19</v>
      </c>
      <c r="F82" s="189">
        <v>12.19</v>
      </c>
      <c r="G82" s="189">
        <v>12.19</v>
      </c>
      <c r="H82" s="218">
        <f t="shared" si="36"/>
        <v>100</v>
      </c>
      <c r="I82" s="189"/>
      <c r="J82" s="107"/>
      <c r="K82" s="108"/>
      <c r="L82" s="120"/>
      <c r="M82" s="34"/>
      <c r="N82" s="34"/>
      <c r="O82" s="51"/>
      <c r="P82" s="51"/>
      <c r="Q82" s="51"/>
      <c r="R82" s="48"/>
      <c r="S82" s="48"/>
    </row>
    <row r="83" spans="1:19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9">SUM(D84:D87)</f>
        <v>0.5</v>
      </c>
      <c r="E83" s="196">
        <f>SUM(E84:E87)</f>
        <v>0.56999999999999995</v>
      </c>
      <c r="F83" s="196">
        <f t="shared" si="39"/>
        <v>0</v>
      </c>
      <c r="G83" s="196">
        <f t="shared" si="39"/>
        <v>0</v>
      </c>
      <c r="H83" s="182">
        <f t="shared" si="36"/>
        <v>0</v>
      </c>
      <c r="I83" s="196"/>
      <c r="J83" s="107"/>
      <c r="K83" s="108"/>
      <c r="L83" s="34"/>
      <c r="M83" s="34"/>
      <c r="N83" s="34"/>
      <c r="O83" s="39"/>
      <c r="P83" s="39"/>
      <c r="Q83" s="39"/>
      <c r="R83" s="30"/>
      <c r="S83" s="30"/>
    </row>
    <row r="84" spans="1:19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2"/>
      <c r="I84" s="186"/>
      <c r="J84" s="109"/>
      <c r="K84" s="34"/>
      <c r="L84" s="34"/>
      <c r="M84" s="34"/>
      <c r="N84" s="34"/>
      <c r="O84" s="30"/>
      <c r="P84" s="30"/>
      <c r="Q84" s="30"/>
      <c r="R84" s="30"/>
      <c r="S84" s="30"/>
    </row>
    <row r="85" spans="1:19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2"/>
      <c r="I85" s="186"/>
      <c r="J85" s="109"/>
      <c r="K85" s="34"/>
      <c r="L85" s="34"/>
      <c r="M85" s="34"/>
      <c r="N85" s="34"/>
      <c r="O85" s="30"/>
      <c r="P85" s="30"/>
      <c r="Q85" s="30"/>
      <c r="R85" s="30"/>
      <c r="S85" s="30"/>
    </row>
    <row r="86" spans="1:19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2"/>
      <c r="I86" s="186"/>
      <c r="J86" s="109"/>
      <c r="K86" s="34"/>
      <c r="L86" s="34"/>
      <c r="M86" s="34"/>
      <c r="N86" s="39"/>
      <c r="O86" s="39"/>
      <c r="P86" s="39"/>
      <c r="Q86" s="39"/>
      <c r="R86" s="30"/>
      <c r="S86" s="30"/>
    </row>
    <row r="87" spans="1:19" ht="31.9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0.56999999999999995</v>
      </c>
      <c r="F87" s="186">
        <v>0</v>
      </c>
      <c r="G87" s="186">
        <v>0</v>
      </c>
      <c r="H87" s="182">
        <f t="shared" si="36"/>
        <v>0</v>
      </c>
      <c r="I87" s="186"/>
      <c r="J87" s="109"/>
      <c r="K87" s="34"/>
      <c r="L87" s="120"/>
      <c r="M87" s="120"/>
      <c r="N87" s="120"/>
      <c r="O87" s="49"/>
      <c r="P87" s="49"/>
      <c r="Q87" s="49"/>
      <c r="R87" s="33"/>
      <c r="S87" s="33"/>
    </row>
    <row r="88" spans="1:19" ht="31.9" customHeight="1" x14ac:dyDescent="0.25">
      <c r="A88" s="2" t="s">
        <v>42</v>
      </c>
      <c r="B88" s="224" t="s">
        <v>43</v>
      </c>
      <c r="C88" s="2"/>
      <c r="D88" s="181">
        <f>SUM(D89:D93)</f>
        <v>1028</v>
      </c>
      <c r="E88" s="181">
        <f t="shared" ref="E88:G88" si="40">SUM(E89:E93)</f>
        <v>1308</v>
      </c>
      <c r="F88" s="181">
        <f t="shared" si="40"/>
        <v>1175</v>
      </c>
      <c r="G88" s="181">
        <f t="shared" si="40"/>
        <v>1175</v>
      </c>
      <c r="H88" s="182">
        <f t="shared" si="36"/>
        <v>89.831804281345569</v>
      </c>
      <c r="I88" s="181"/>
      <c r="J88" s="20"/>
      <c r="K88" s="24"/>
      <c r="L88" s="28"/>
      <c r="M88" s="28"/>
      <c r="N88" s="24"/>
      <c r="O88" s="30"/>
      <c r="P88" s="30"/>
      <c r="Q88" s="30"/>
      <c r="R88" s="30"/>
      <c r="S88" s="30"/>
    </row>
    <row r="89" spans="1:19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104</v>
      </c>
      <c r="E89" s="186">
        <f>55+29</f>
        <v>84</v>
      </c>
      <c r="F89" s="186">
        <v>83</v>
      </c>
      <c r="G89" s="186">
        <f>F89</f>
        <v>83</v>
      </c>
      <c r="H89" s="218">
        <f t="shared" si="36"/>
        <v>98.80952380952381</v>
      </c>
      <c r="I89" s="186"/>
      <c r="J89" s="112"/>
      <c r="K89" s="105"/>
      <c r="L89" s="208"/>
      <c r="M89" s="209"/>
      <c r="N89" s="121"/>
      <c r="O89" s="92"/>
      <c r="P89" s="92"/>
      <c r="Q89" s="92"/>
      <c r="R89" s="92"/>
      <c r="S89" s="92"/>
    </row>
    <row r="90" spans="1:19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v>159</v>
      </c>
      <c r="E90" s="186">
        <f>150+24</f>
        <v>174</v>
      </c>
      <c r="F90" s="186">
        <v>171</v>
      </c>
      <c r="G90" s="186">
        <f>F90</f>
        <v>171</v>
      </c>
      <c r="H90" s="218">
        <f t="shared" si="36"/>
        <v>98.275862068965509</v>
      </c>
      <c r="I90" s="186"/>
      <c r="J90" s="112"/>
      <c r="K90" s="63"/>
      <c r="L90" s="208"/>
      <c r="M90" s="209"/>
      <c r="N90" s="121"/>
      <c r="O90" s="92"/>
      <c r="P90" s="92"/>
      <c r="Q90" s="92"/>
      <c r="R90" s="92"/>
      <c r="S90" s="92"/>
    </row>
    <row r="91" spans="1:19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v>93</v>
      </c>
      <c r="E91" s="186">
        <f>134+42</f>
        <v>176</v>
      </c>
      <c r="F91" s="186">
        <v>169</v>
      </c>
      <c r="G91" s="186">
        <f>F91</f>
        <v>169</v>
      </c>
      <c r="H91" s="218">
        <f t="shared" si="36"/>
        <v>96.022727272727266</v>
      </c>
      <c r="I91" s="186"/>
      <c r="J91" s="112"/>
      <c r="K91" s="105"/>
      <c r="L91" s="208"/>
      <c r="M91" s="209"/>
      <c r="N91" s="121"/>
      <c r="O91" s="92"/>
      <c r="P91" s="92"/>
      <c r="Q91" s="92"/>
      <c r="R91" s="92"/>
      <c r="S91" s="92"/>
    </row>
    <row r="92" spans="1:19" ht="31.9" customHeight="1" x14ac:dyDescent="0.25">
      <c r="A92" s="4">
        <v>4</v>
      </c>
      <c r="B92" s="227" t="s">
        <v>47</v>
      </c>
      <c r="C92" s="4" t="s">
        <v>6</v>
      </c>
      <c r="D92" s="186"/>
      <c r="E92" s="186">
        <f>2+1</f>
        <v>3</v>
      </c>
      <c r="F92" s="186">
        <v>2</v>
      </c>
      <c r="G92" s="186">
        <f>F92</f>
        <v>2</v>
      </c>
      <c r="H92" s="218">
        <f t="shared" si="36"/>
        <v>66.666666666666657</v>
      </c>
      <c r="I92" s="186"/>
      <c r="J92" s="20"/>
      <c r="K92" s="26"/>
      <c r="L92" s="210"/>
      <c r="M92" s="209"/>
      <c r="N92" s="24"/>
      <c r="O92" s="30"/>
      <c r="P92" s="30"/>
      <c r="Q92" s="30"/>
      <c r="R92" s="30"/>
      <c r="S92" s="30"/>
    </row>
    <row r="93" spans="1:19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672</v>
      </c>
      <c r="E93" s="186">
        <f>964-93</f>
        <v>871</v>
      </c>
      <c r="F93" s="186">
        <v>750</v>
      </c>
      <c r="G93" s="186">
        <f>F93</f>
        <v>750</v>
      </c>
      <c r="H93" s="218">
        <f t="shared" si="36"/>
        <v>86.107921928817461</v>
      </c>
      <c r="I93" s="186"/>
      <c r="J93" s="157"/>
      <c r="K93" s="105"/>
      <c r="L93" s="210"/>
      <c r="M93" s="209"/>
      <c r="N93" s="121"/>
      <c r="O93" s="92"/>
      <c r="P93" s="92"/>
      <c r="Q93" s="92"/>
      <c r="R93" s="92"/>
      <c r="S93" s="92"/>
    </row>
    <row r="94" spans="1:19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1.1000000000000001</v>
      </c>
      <c r="E94" s="181">
        <f t="shared" ref="E94:G94" si="41">E95</f>
        <v>1.1000000000000001</v>
      </c>
      <c r="F94" s="181">
        <f t="shared" si="41"/>
        <v>1.1000000000000001</v>
      </c>
      <c r="G94" s="181">
        <f t="shared" si="41"/>
        <v>1.1000000000000001</v>
      </c>
      <c r="H94" s="182">
        <f t="shared" si="36"/>
        <v>100</v>
      </c>
      <c r="I94" s="181"/>
      <c r="J94" s="211"/>
      <c r="K94" s="90"/>
      <c r="L94" s="21"/>
      <c r="M94" s="21"/>
      <c r="N94" s="21"/>
      <c r="O94" s="35"/>
      <c r="P94" s="35"/>
      <c r="Q94" s="35"/>
      <c r="R94" s="35"/>
      <c r="S94" s="35"/>
    </row>
    <row r="95" spans="1:19" ht="31.9" customHeight="1" x14ac:dyDescent="0.25">
      <c r="A95" s="3" t="s">
        <v>16</v>
      </c>
      <c r="B95" s="279" t="s">
        <v>51</v>
      </c>
      <c r="C95" s="3" t="s">
        <v>4</v>
      </c>
      <c r="D95" s="186">
        <v>1.1000000000000001</v>
      </c>
      <c r="E95" s="186">
        <v>1.1000000000000001</v>
      </c>
      <c r="F95" s="186">
        <v>1.1000000000000001</v>
      </c>
      <c r="G95" s="186">
        <v>1.1000000000000001</v>
      </c>
      <c r="H95" s="218">
        <f t="shared" si="36"/>
        <v>100</v>
      </c>
      <c r="I95" s="186"/>
      <c r="J95" s="20"/>
      <c r="K95" s="24"/>
      <c r="L95" s="24"/>
      <c r="M95" s="24"/>
      <c r="N95" s="24"/>
      <c r="O95" s="30"/>
      <c r="P95" s="30"/>
      <c r="Q95" s="30"/>
      <c r="R95" s="30"/>
      <c r="S95" s="30"/>
    </row>
    <row r="96" spans="1:19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2">E97+E98</f>
        <v>0</v>
      </c>
      <c r="F96" s="181">
        <f t="shared" si="42"/>
        <v>0</v>
      </c>
      <c r="G96" s="181">
        <f t="shared" si="42"/>
        <v>0</v>
      </c>
      <c r="H96" s="182"/>
      <c r="I96" s="181"/>
      <c r="J96" s="20"/>
      <c r="K96" s="24"/>
      <c r="L96" s="24"/>
      <c r="M96" s="24"/>
      <c r="N96" s="24"/>
      <c r="O96" s="30"/>
      <c r="P96" s="30"/>
      <c r="Q96" s="30"/>
      <c r="R96" s="30"/>
      <c r="S96" s="30"/>
    </row>
    <row r="97" spans="1:19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0</v>
      </c>
      <c r="F97" s="186"/>
      <c r="G97" s="186"/>
      <c r="H97" s="182"/>
      <c r="I97" s="186"/>
      <c r="J97" s="20"/>
      <c r="K97" s="24"/>
      <c r="L97" s="26"/>
      <c r="M97" s="24"/>
      <c r="N97" s="24"/>
      <c r="O97" s="30"/>
      <c r="P97" s="30"/>
      <c r="Q97" s="30"/>
      <c r="R97" s="30"/>
      <c r="S97" s="30"/>
    </row>
    <row r="98" spans="1:19" ht="31.9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2"/>
      <c r="I98" s="186"/>
      <c r="J98" s="20"/>
      <c r="K98" s="24"/>
      <c r="L98" s="24"/>
      <c r="M98" s="24"/>
      <c r="N98" s="24"/>
      <c r="O98" s="30"/>
      <c r="P98" s="30"/>
      <c r="Q98" s="30"/>
      <c r="R98" s="30"/>
      <c r="S98" s="30"/>
    </row>
    <row r="99" spans="1:19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47"/>
      <c r="L99" s="47"/>
      <c r="M99" s="47"/>
      <c r="N99" s="47"/>
      <c r="O99" s="30"/>
      <c r="P99" s="30"/>
      <c r="Q99" s="30"/>
      <c r="R99" s="30"/>
      <c r="S99" s="30"/>
    </row>
    <row r="100" spans="1:19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9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9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9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9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9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9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9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9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9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9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9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9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9055118110236227" bottom="0.55118110236220474" header="0" footer="0"/>
  <pageSetup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84"/>
  <sheetViews>
    <sheetView zoomScaleNormal="100" workbookViewId="0">
      <pane ySplit="8" topLeftCell="A33" activePane="bottomLeft" state="frozen"/>
      <selection pane="bottomLeft" activeCell="F34" sqref="F34"/>
    </sheetView>
  </sheetViews>
  <sheetFormatPr defaultColWidth="11.21875" defaultRowHeight="15" customHeight="1" x14ac:dyDescent="0.25"/>
  <cols>
    <col min="1" max="1" width="7.6640625" style="220" customWidth="1"/>
    <col min="2" max="2" width="29.109375" style="220" customWidth="1"/>
    <col min="3" max="3" width="10.6640625" style="220" customWidth="1"/>
    <col min="4" max="5" width="16.88671875" style="220" customWidth="1"/>
    <col min="6" max="9" width="12.6640625" style="220" customWidth="1"/>
    <col min="10" max="10" width="8.88671875" style="17" customWidth="1"/>
    <col min="11" max="11" width="21.7773437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156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'MÔ PẢ(12)'!A5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1"/>
      <c r="I7" s="409" t="s">
        <v>180</v>
      </c>
      <c r="J7" s="19"/>
      <c r="K7" s="45" t="s">
        <v>136</v>
      </c>
      <c r="L7" s="66">
        <v>89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68" t="s">
        <v>179</v>
      </c>
      <c r="I8" s="409"/>
      <c r="J8" s="19"/>
      <c r="K8" s="45" t="s">
        <v>137</v>
      </c>
      <c r="L8" s="66">
        <v>515</v>
      </c>
      <c r="M8" s="19"/>
      <c r="N8" s="19"/>
    </row>
    <row r="9" spans="1:18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65.8</v>
      </c>
      <c r="E9" s="182">
        <f t="shared" ref="E9:G9" si="0">E13+E28+E37+E43+E46+E67</f>
        <v>93.550000000000011</v>
      </c>
      <c r="F9" s="182">
        <f t="shared" si="0"/>
        <v>74.8</v>
      </c>
      <c r="G9" s="182">
        <f t="shared" si="0"/>
        <v>74.8</v>
      </c>
      <c r="H9" s="181">
        <f>F9/E9*100</f>
        <v>79.957242116515218</v>
      </c>
      <c r="I9" s="182"/>
      <c r="J9" s="103"/>
      <c r="K9" s="103"/>
      <c r="L9" s="103"/>
      <c r="M9" s="103"/>
      <c r="N9" s="103"/>
    </row>
    <row r="10" spans="1:18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1.5</v>
      </c>
      <c r="E10" s="181">
        <f t="shared" ref="E10:G10" si="1">E13+E28</f>
        <v>10.76</v>
      </c>
      <c r="F10" s="181">
        <f t="shared" si="1"/>
        <v>3.71</v>
      </c>
      <c r="G10" s="181">
        <f t="shared" si="1"/>
        <v>3.71</v>
      </c>
      <c r="H10" s="181">
        <f t="shared" ref="H10:H73" si="2">F10/E10*100</f>
        <v>34.479553903345725</v>
      </c>
      <c r="I10" s="181"/>
      <c r="J10" s="103"/>
      <c r="K10" s="103"/>
      <c r="L10" s="103"/>
      <c r="M10" s="103"/>
      <c r="N10" s="103"/>
    </row>
    <row r="11" spans="1:18" s="70" customFormat="1" ht="31.9" customHeight="1" x14ac:dyDescent="0.25">
      <c r="A11" s="2"/>
      <c r="B11" s="224" t="s">
        <v>14</v>
      </c>
      <c r="C11" s="2" t="s">
        <v>15</v>
      </c>
      <c r="D11" s="181">
        <f>D12+D30</f>
        <v>5.5275000000000007</v>
      </c>
      <c r="E11" s="181">
        <f t="shared" ref="E11:G11" si="3">E12+E30</f>
        <v>33.440009999999994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22"/>
      <c r="M11" s="122"/>
      <c r="N11" s="122"/>
    </row>
    <row r="12" spans="1:18" s="70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27.905009999999997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22"/>
      <c r="M12" s="122"/>
      <c r="N12" s="122"/>
    </row>
    <row r="13" spans="1:18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9.26</v>
      </c>
      <c r="F13" s="181">
        <f t="shared" si="5"/>
        <v>2.21</v>
      </c>
      <c r="G13" s="181">
        <f t="shared" si="5"/>
        <v>2.21</v>
      </c>
      <c r="H13" s="181">
        <f t="shared" si="2"/>
        <v>23.866090712742981</v>
      </c>
      <c r="I13" s="181"/>
      <c r="J13" s="19"/>
      <c r="K13" s="19"/>
      <c r="L13" s="19"/>
      <c r="M13" s="19"/>
      <c r="N13" s="19"/>
    </row>
    <row r="14" spans="1:18" s="69" customFormat="1" ht="31.9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23"/>
      <c r="M14" s="123"/>
      <c r="N14" s="123"/>
    </row>
    <row r="15" spans="1:18" s="69" customFormat="1" ht="31.9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27.905009999999997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23"/>
      <c r="M15" s="123"/>
      <c r="N15" s="123"/>
    </row>
    <row r="16" spans="1:18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2.21</v>
      </c>
      <c r="F16" s="181">
        <v>2.21</v>
      </c>
      <c r="G16" s="181">
        <v>2.21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2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2" ht="31.9" customHeight="1" x14ac:dyDescent="0.25">
      <c r="A18" s="2"/>
      <c r="B18" s="227" t="s">
        <v>141</v>
      </c>
      <c r="C18" s="4" t="s">
        <v>15</v>
      </c>
      <c r="D18" s="181"/>
      <c r="E18" s="186">
        <f>E16*E17/10</f>
        <v>7.4034999999999993</v>
      </c>
      <c r="F18" s="186">
        <f t="shared" ref="F18:G18" si="8">F16*F17/10</f>
        <v>0</v>
      </c>
      <c r="G18" s="186">
        <f t="shared" si="8"/>
        <v>0</v>
      </c>
      <c r="H18" s="181">
        <f t="shared" si="2"/>
        <v>0</v>
      </c>
      <c r="I18" s="186"/>
      <c r="J18" s="104"/>
      <c r="K18" s="129"/>
      <c r="L18" s="104"/>
      <c r="M18" s="104"/>
      <c r="N18" s="104"/>
      <c r="O18" s="27"/>
      <c r="P18" s="27"/>
      <c r="Q18" s="27"/>
      <c r="R18" s="27"/>
    </row>
    <row r="19" spans="1:22" ht="31.9" customHeight="1" x14ac:dyDescent="0.25">
      <c r="A19" s="269" t="s">
        <v>20</v>
      </c>
      <c r="B19" s="270" t="s">
        <v>21</v>
      </c>
      <c r="C19" s="269" t="s">
        <v>4</v>
      </c>
      <c r="D19" s="203">
        <f t="shared" ref="D19:G19" si="9">D22+D25</f>
        <v>0</v>
      </c>
      <c r="E19" s="203">
        <f t="shared" si="9"/>
        <v>7.05</v>
      </c>
      <c r="F19" s="203">
        <f t="shared" si="9"/>
        <v>0</v>
      </c>
      <c r="G19" s="203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113"/>
      <c r="O19" s="25"/>
      <c r="P19" s="25"/>
      <c r="Q19" s="25"/>
      <c r="R19" s="25"/>
      <c r="S19" s="25"/>
      <c r="T19" s="25"/>
      <c r="U19" s="25"/>
      <c r="V19" s="25"/>
    </row>
    <row r="20" spans="1:22" ht="31.9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26.770000000000003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113"/>
      <c r="O20" s="25"/>
      <c r="P20" s="25"/>
      <c r="Q20" s="25"/>
      <c r="R20" s="25"/>
      <c r="S20" s="25"/>
      <c r="T20" s="25"/>
      <c r="U20" s="25"/>
      <c r="V20" s="25"/>
    </row>
    <row r="21" spans="1:22" ht="31.9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18.872850000000003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113"/>
      <c r="O21" s="25"/>
      <c r="P21" s="25"/>
      <c r="Q21" s="25"/>
      <c r="R21" s="25"/>
      <c r="S21" s="25"/>
      <c r="T21" s="25"/>
      <c r="U21" s="25"/>
      <c r="V21" s="25"/>
    </row>
    <row r="22" spans="1:22" ht="31.9" customHeight="1" x14ac:dyDescent="0.25">
      <c r="A22" s="269" t="s">
        <v>22</v>
      </c>
      <c r="B22" s="270" t="s">
        <v>23</v>
      </c>
      <c r="C22" s="269" t="s">
        <v>4</v>
      </c>
      <c r="D22" s="203"/>
      <c r="E22" s="203">
        <v>6.05</v>
      </c>
      <c r="F22" s="203">
        <v>0</v>
      </c>
      <c r="G22" s="203">
        <v>0</v>
      </c>
      <c r="H22" s="181">
        <f t="shared" si="2"/>
        <v>0</v>
      </c>
      <c r="I22" s="181"/>
      <c r="J22" s="13"/>
      <c r="K22" s="13"/>
      <c r="L22" s="13"/>
      <c r="M22" s="13"/>
      <c r="N22" s="37"/>
      <c r="O22" s="38"/>
      <c r="P22" s="38"/>
      <c r="Q22" s="38"/>
      <c r="R22" s="38"/>
      <c r="S22" s="38"/>
      <c r="T22" s="38"/>
      <c r="U22" s="38"/>
      <c r="V22" s="25"/>
    </row>
    <row r="23" spans="1:22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37"/>
      <c r="O23" s="38"/>
      <c r="P23" s="38"/>
      <c r="Q23" s="38"/>
      <c r="R23" s="38"/>
      <c r="S23" s="38"/>
      <c r="T23" s="38"/>
      <c r="U23" s="38"/>
      <c r="V23" s="25"/>
    </row>
    <row r="24" spans="1:22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23.195700000000002</v>
      </c>
      <c r="F24" s="186">
        <f t="shared" si="12"/>
        <v>0</v>
      </c>
      <c r="G24" s="186">
        <f t="shared" si="12"/>
        <v>0</v>
      </c>
      <c r="H24" s="181">
        <f t="shared" si="2"/>
        <v>0</v>
      </c>
      <c r="I24" s="186"/>
      <c r="J24" s="13"/>
      <c r="K24" s="13"/>
      <c r="L24" s="13"/>
      <c r="M24" s="13"/>
      <c r="N24" s="37"/>
      <c r="O24" s="38"/>
      <c r="P24" s="38"/>
      <c r="Q24" s="38"/>
      <c r="R24" s="38"/>
      <c r="S24" s="38"/>
      <c r="T24" s="38"/>
      <c r="U24" s="38"/>
      <c r="V24" s="25"/>
    </row>
    <row r="25" spans="1:22" ht="31.9" customHeight="1" x14ac:dyDescent="0.25">
      <c r="A25" s="269" t="s">
        <v>22</v>
      </c>
      <c r="B25" s="270" t="s">
        <v>24</v>
      </c>
      <c r="C25" s="269" t="s">
        <v>4</v>
      </c>
      <c r="D25" s="203"/>
      <c r="E25" s="203">
        <v>1</v>
      </c>
      <c r="F25" s="203">
        <v>0</v>
      </c>
      <c r="G25" s="203">
        <v>0</v>
      </c>
      <c r="H25" s="181">
        <f t="shared" si="2"/>
        <v>0</v>
      </c>
      <c r="I25" s="181"/>
      <c r="J25" s="13"/>
      <c r="K25" s="13"/>
      <c r="L25" s="13"/>
      <c r="M25" s="13"/>
      <c r="N25" s="37"/>
      <c r="O25" s="38"/>
      <c r="P25" s="38"/>
      <c r="Q25" s="38"/>
      <c r="R25" s="38"/>
      <c r="S25" s="38"/>
      <c r="T25" s="38"/>
      <c r="U25" s="38"/>
      <c r="V25" s="25"/>
    </row>
    <row r="26" spans="1:22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>
        <f t="shared" si="2"/>
        <v>0</v>
      </c>
      <c r="I26" s="186"/>
      <c r="J26" s="13"/>
      <c r="K26" s="13"/>
      <c r="L26" s="13"/>
      <c r="M26" s="13"/>
      <c r="N26" s="37"/>
      <c r="O26" s="38"/>
      <c r="P26" s="38"/>
      <c r="Q26" s="38"/>
      <c r="R26" s="38"/>
      <c r="S26" s="38"/>
      <c r="T26" s="38"/>
      <c r="U26" s="38"/>
      <c r="V26" s="25"/>
    </row>
    <row r="27" spans="1:22" ht="31.9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 t="shared" ref="E27:G27" si="13">E25*E26/10</f>
        <v>1.52</v>
      </c>
      <c r="F27" s="186">
        <f t="shared" si="13"/>
        <v>0</v>
      </c>
      <c r="G27" s="186">
        <f t="shared" si="13"/>
        <v>0</v>
      </c>
      <c r="H27" s="181">
        <f t="shared" si="2"/>
        <v>0</v>
      </c>
      <c r="I27" s="186"/>
      <c r="J27" s="13"/>
      <c r="K27" s="13"/>
      <c r="L27" s="13"/>
      <c r="M27" s="13"/>
      <c r="N27" s="37"/>
      <c r="O27" s="38"/>
      <c r="P27" s="38"/>
      <c r="Q27" s="38"/>
      <c r="R27" s="38"/>
      <c r="S27" s="38"/>
      <c r="T27" s="38"/>
      <c r="U27" s="38"/>
      <c r="V27" s="25"/>
    </row>
    <row r="28" spans="1:22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4">D31+D34</f>
        <v>1.5</v>
      </c>
      <c r="E28" s="181">
        <f t="shared" si="14"/>
        <v>1.5</v>
      </c>
      <c r="F28" s="181">
        <f t="shared" si="14"/>
        <v>1.5</v>
      </c>
      <c r="G28" s="181">
        <f t="shared" si="14"/>
        <v>1.5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  <c r="T28" s="15"/>
      <c r="U28" s="15"/>
    </row>
    <row r="29" spans="1:22" ht="31.9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5">E35</f>
        <v>36.9</v>
      </c>
      <c r="F29" s="186">
        <f t="shared" si="15"/>
        <v>0</v>
      </c>
      <c r="G29" s="186">
        <f t="shared" si="15"/>
        <v>0</v>
      </c>
      <c r="H29" s="181">
        <f t="shared" si="2"/>
        <v>0</v>
      </c>
      <c r="I29" s="186"/>
      <c r="J29" s="16"/>
      <c r="K29" s="16"/>
      <c r="L29" s="16"/>
      <c r="M29" s="16"/>
      <c r="N29" s="16"/>
      <c r="O29" s="15"/>
      <c r="P29" s="15"/>
      <c r="Q29" s="15"/>
      <c r="R29" s="15"/>
      <c r="S29" s="15"/>
      <c r="T29" s="15"/>
      <c r="U29" s="15"/>
    </row>
    <row r="30" spans="1:22" ht="31.9" customHeight="1" x14ac:dyDescent="0.25">
      <c r="A30" s="2"/>
      <c r="B30" s="227" t="s">
        <v>141</v>
      </c>
      <c r="C30" s="4" t="s">
        <v>15</v>
      </c>
      <c r="D30" s="186">
        <f>D28*D29/10</f>
        <v>5.5275000000000007</v>
      </c>
      <c r="E30" s="186">
        <f t="shared" ref="E30:G30" si="16">E28*E29/10</f>
        <v>5.5349999999999993</v>
      </c>
      <c r="F30" s="186">
        <f t="shared" si="16"/>
        <v>0</v>
      </c>
      <c r="G30" s="186">
        <f t="shared" si="16"/>
        <v>0</v>
      </c>
      <c r="H30" s="181">
        <f t="shared" si="2"/>
        <v>0</v>
      </c>
      <c r="I30" s="186"/>
      <c r="J30" s="16"/>
      <c r="K30" s="16"/>
      <c r="L30" s="16"/>
      <c r="M30" s="16"/>
      <c r="N30" s="16"/>
      <c r="O30" s="15"/>
      <c r="P30" s="15"/>
      <c r="Q30" s="15"/>
      <c r="R30" s="15"/>
      <c r="S30" s="15"/>
      <c r="T30" s="15"/>
      <c r="U30" s="15"/>
    </row>
    <row r="31" spans="1:22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6"/>
      <c r="K31" s="16"/>
      <c r="L31" s="16"/>
      <c r="M31" s="16"/>
      <c r="N31" s="16"/>
      <c r="O31" s="15"/>
      <c r="P31" s="15"/>
      <c r="Q31" s="15"/>
      <c r="R31" s="15"/>
      <c r="S31" s="15"/>
      <c r="T31" s="15"/>
      <c r="U31" s="15"/>
    </row>
    <row r="32" spans="1:22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16"/>
      <c r="L32" s="16"/>
      <c r="M32" s="16"/>
      <c r="N32" s="16"/>
      <c r="O32" s="15"/>
      <c r="P32" s="15"/>
      <c r="Q32" s="15"/>
      <c r="R32" s="15"/>
      <c r="S32" s="15"/>
      <c r="T32" s="15"/>
      <c r="U32" s="15"/>
    </row>
    <row r="33" spans="1:21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16"/>
      <c r="L33" s="16"/>
      <c r="M33" s="16"/>
      <c r="N33" s="16"/>
      <c r="O33" s="15"/>
      <c r="P33" s="15"/>
      <c r="Q33" s="15"/>
      <c r="R33" s="15"/>
      <c r="S33" s="15"/>
      <c r="T33" s="15"/>
      <c r="U33" s="15"/>
    </row>
    <row r="34" spans="1:21" ht="31.9" customHeight="1" x14ac:dyDescent="0.25">
      <c r="A34" s="269" t="s">
        <v>20</v>
      </c>
      <c r="B34" s="270" t="s">
        <v>27</v>
      </c>
      <c r="C34" s="269" t="s">
        <v>4</v>
      </c>
      <c r="D34" s="203">
        <v>1.5</v>
      </c>
      <c r="E34" s="203">
        <v>1.5</v>
      </c>
      <c r="F34" s="203">
        <v>1.5</v>
      </c>
      <c r="G34" s="203">
        <v>1.5</v>
      </c>
      <c r="H34" s="181">
        <f t="shared" si="2"/>
        <v>100</v>
      </c>
      <c r="I34" s="203"/>
      <c r="J34" s="16"/>
      <c r="K34" s="29"/>
      <c r="L34" s="29"/>
      <c r="M34" s="29"/>
      <c r="N34" s="29"/>
      <c r="O34" s="29"/>
      <c r="P34" s="15"/>
      <c r="Q34" s="15"/>
      <c r="R34" s="15"/>
      <c r="S34" s="15"/>
      <c r="T34" s="15"/>
      <c r="U34" s="15"/>
    </row>
    <row r="35" spans="1:21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29"/>
      <c r="L35" s="29"/>
      <c r="M35" s="29"/>
      <c r="N35" s="29"/>
      <c r="O35" s="29"/>
      <c r="P35" s="15"/>
      <c r="Q35" s="15"/>
      <c r="R35" s="15"/>
      <c r="S35" s="15"/>
      <c r="T35" s="15"/>
      <c r="U35" s="15"/>
    </row>
    <row r="36" spans="1:21" ht="31.9" customHeight="1" x14ac:dyDescent="0.25">
      <c r="A36" s="269"/>
      <c r="B36" s="227" t="s">
        <v>141</v>
      </c>
      <c r="C36" s="4" t="s">
        <v>15</v>
      </c>
      <c r="D36" s="186">
        <f>D34*D35/10</f>
        <v>5.5275000000000007</v>
      </c>
      <c r="E36" s="186">
        <f t="shared" ref="E36:G36" si="17">E34*E35/10</f>
        <v>5.5349999999999993</v>
      </c>
      <c r="F36" s="186">
        <f t="shared" si="17"/>
        <v>0</v>
      </c>
      <c r="G36" s="186">
        <f t="shared" si="17"/>
        <v>0</v>
      </c>
      <c r="H36" s="181">
        <f t="shared" si="2"/>
        <v>0</v>
      </c>
      <c r="I36" s="186"/>
      <c r="J36" s="16"/>
      <c r="K36" s="29"/>
      <c r="L36" s="29"/>
      <c r="M36" s="29"/>
      <c r="N36" s="29"/>
      <c r="O36" s="29"/>
      <c r="P36" s="15"/>
      <c r="Q36" s="15"/>
      <c r="R36" s="15"/>
      <c r="S36" s="15"/>
      <c r="T36" s="15"/>
      <c r="U36" s="15"/>
    </row>
    <row r="37" spans="1:21" ht="31.9" customHeight="1" x14ac:dyDescent="0.25">
      <c r="A37" s="2">
        <v>2</v>
      </c>
      <c r="B37" s="225" t="s">
        <v>28</v>
      </c>
      <c r="C37" s="2" t="s">
        <v>4</v>
      </c>
      <c r="D37" s="181"/>
      <c r="E37" s="181">
        <v>0</v>
      </c>
      <c r="F37" s="181">
        <v>0</v>
      </c>
      <c r="G37" s="181">
        <v>0</v>
      </c>
      <c r="H37" s="181"/>
      <c r="I37" s="181"/>
      <c r="J37" s="16"/>
      <c r="K37" s="13"/>
      <c r="L37" s="16"/>
      <c r="M37" s="16"/>
      <c r="N37" s="16"/>
      <c r="O37" s="15"/>
      <c r="P37" s="15"/>
      <c r="Q37" s="15"/>
      <c r="R37" s="15"/>
      <c r="S37" s="15"/>
      <c r="T37" s="15"/>
      <c r="U37" s="15"/>
    </row>
    <row r="38" spans="1:21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6"/>
      <c r="K38" s="16"/>
      <c r="L38" s="16"/>
      <c r="M38" s="16"/>
      <c r="N38" s="16"/>
      <c r="O38" s="15"/>
      <c r="P38" s="15"/>
      <c r="Q38" s="15"/>
      <c r="R38" s="15"/>
      <c r="S38" s="15"/>
      <c r="T38" s="15"/>
      <c r="U38" s="15"/>
    </row>
    <row r="39" spans="1:21" ht="31.9" customHeight="1" x14ac:dyDescent="0.25">
      <c r="A39" s="2"/>
      <c r="B39" s="227" t="s">
        <v>141</v>
      </c>
      <c r="C39" s="4" t="s">
        <v>15</v>
      </c>
      <c r="D39" s="186">
        <f>D37*D38/10</f>
        <v>0</v>
      </c>
      <c r="E39" s="186">
        <f t="shared" ref="E39:G39" si="18">E37*E38/10</f>
        <v>0</v>
      </c>
      <c r="F39" s="186">
        <f t="shared" si="18"/>
        <v>0</v>
      </c>
      <c r="G39" s="186">
        <f t="shared" si="18"/>
        <v>0</v>
      </c>
      <c r="H39" s="181"/>
      <c r="I39" s="186"/>
      <c r="J39" s="16"/>
      <c r="K39" s="16"/>
      <c r="L39" s="16"/>
      <c r="M39" s="16"/>
      <c r="N39" s="16"/>
      <c r="O39" s="15"/>
      <c r="P39" s="15"/>
      <c r="Q39" s="15"/>
      <c r="R39" s="15"/>
      <c r="S39" s="15"/>
      <c r="T39" s="15"/>
      <c r="U39" s="15"/>
    </row>
    <row r="40" spans="1:21" ht="31.9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6"/>
      <c r="K40" s="16"/>
      <c r="L40" s="16"/>
      <c r="M40" s="16"/>
      <c r="N40" s="16"/>
      <c r="O40" s="15"/>
      <c r="P40" s="15"/>
      <c r="Q40" s="15"/>
      <c r="R40" s="15"/>
      <c r="S40" s="15"/>
      <c r="T40" s="15"/>
      <c r="U40" s="15"/>
    </row>
    <row r="41" spans="1:21" ht="31.9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6"/>
      <c r="K41" s="16"/>
      <c r="L41" s="16"/>
      <c r="M41" s="16"/>
      <c r="N41" s="16"/>
      <c r="O41" s="15"/>
      <c r="P41" s="15"/>
      <c r="Q41" s="15"/>
      <c r="R41" s="15"/>
      <c r="S41" s="15"/>
      <c r="T41" s="15"/>
      <c r="U41" s="15"/>
    </row>
    <row r="42" spans="1:21" ht="31.9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9">F40*F41/10</f>
        <v>0</v>
      </c>
      <c r="G42" s="188">
        <f t="shared" si="19"/>
        <v>0</v>
      </c>
      <c r="H42" s="181">
        <f t="shared" si="2"/>
        <v>0</v>
      </c>
      <c r="I42" s="186"/>
      <c r="J42" s="16"/>
      <c r="K42" s="16"/>
      <c r="L42" s="16"/>
      <c r="M42" s="16"/>
      <c r="N42" s="16"/>
      <c r="O42" s="15"/>
      <c r="P42" s="15"/>
      <c r="Q42" s="15"/>
      <c r="R42" s="15"/>
      <c r="S42" s="15"/>
      <c r="T42" s="15"/>
      <c r="U42" s="15"/>
    </row>
    <row r="43" spans="1:21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6"/>
      <c r="K43" s="16"/>
      <c r="L43" s="16"/>
      <c r="M43" s="16"/>
      <c r="N43" s="16"/>
      <c r="O43" s="15"/>
      <c r="P43" s="15"/>
      <c r="Q43" s="15"/>
      <c r="R43" s="15"/>
      <c r="S43" s="15"/>
      <c r="T43" s="15"/>
      <c r="U43" s="15"/>
    </row>
    <row r="44" spans="1:21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9"/>
      <c r="L44" s="19"/>
      <c r="M44" s="19"/>
      <c r="N44" s="19"/>
    </row>
    <row r="45" spans="1:21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20">F43*F44/10</f>
        <v>0</v>
      </c>
      <c r="G45" s="186">
        <f t="shared" si="20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1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42.23</v>
      </c>
      <c r="E46" s="181">
        <f t="shared" ref="E46:G46" si="21">E47+E55+E64</f>
        <v>60.45</v>
      </c>
      <c r="F46" s="181">
        <f t="shared" si="21"/>
        <v>49.25</v>
      </c>
      <c r="G46" s="181">
        <f t="shared" si="21"/>
        <v>49.25</v>
      </c>
      <c r="H46" s="181">
        <f t="shared" si="2"/>
        <v>81.4722911497105</v>
      </c>
      <c r="I46" s="181"/>
      <c r="J46" s="19"/>
      <c r="K46" s="19"/>
      <c r="L46" s="19"/>
      <c r="M46" s="19"/>
      <c r="N46" s="19"/>
    </row>
    <row r="47" spans="1:21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30.45</v>
      </c>
      <c r="E47" s="181">
        <f t="shared" ref="E47:G47" si="22">E48+E49</f>
        <v>40.450000000000003</v>
      </c>
      <c r="F47" s="181">
        <f t="shared" si="22"/>
        <v>30.45</v>
      </c>
      <c r="G47" s="181">
        <f t="shared" si="22"/>
        <v>30.45</v>
      </c>
      <c r="H47" s="181">
        <f t="shared" si="2"/>
        <v>75.278121137206426</v>
      </c>
      <c r="I47" s="181"/>
      <c r="J47" s="19"/>
      <c r="K47" s="19"/>
      <c r="L47" s="19"/>
      <c r="M47" s="19"/>
      <c r="N47" s="19"/>
    </row>
    <row r="48" spans="1:21" ht="31.9" customHeight="1" x14ac:dyDescent="0.25">
      <c r="A48" s="5" t="s">
        <v>22</v>
      </c>
      <c r="B48" s="273" t="s">
        <v>117</v>
      </c>
      <c r="C48" s="274" t="s">
        <v>4</v>
      </c>
      <c r="D48" s="186">
        <v>30.45</v>
      </c>
      <c r="E48" s="186">
        <f>D48+D49</f>
        <v>30.45</v>
      </c>
      <c r="F48" s="186">
        <v>30.45</v>
      </c>
      <c r="G48" s="186">
        <v>30.45</v>
      </c>
      <c r="H48" s="181">
        <f t="shared" si="2"/>
        <v>100</v>
      </c>
      <c r="I48" s="186"/>
      <c r="J48" s="13"/>
      <c r="K48" s="13"/>
      <c r="L48" s="13"/>
      <c r="M48" s="13"/>
      <c r="N48" s="13"/>
      <c r="O48" s="14"/>
      <c r="P48" s="14"/>
    </row>
    <row r="49" spans="1:20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</v>
      </c>
      <c r="E49" s="181">
        <f t="shared" ref="E49:G49" si="23">E50+E51</f>
        <v>10</v>
      </c>
      <c r="F49" s="181">
        <f t="shared" si="23"/>
        <v>0</v>
      </c>
      <c r="G49" s="181">
        <f t="shared" si="23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20" ht="31.9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8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9"/>
      <c r="L50" s="19"/>
      <c r="M50" s="19"/>
      <c r="N50" s="19"/>
    </row>
    <row r="51" spans="1:20" ht="31.9" customHeight="1" x14ac:dyDescent="0.25">
      <c r="A51" s="274" t="s">
        <v>16</v>
      </c>
      <c r="B51" s="276" t="s">
        <v>33</v>
      </c>
      <c r="C51" s="4" t="s">
        <v>4</v>
      </c>
      <c r="D51" s="186"/>
      <c r="E51" s="186">
        <v>2</v>
      </c>
      <c r="F51" s="186">
        <v>0</v>
      </c>
      <c r="G51" s="186">
        <v>0</v>
      </c>
      <c r="H51" s="181">
        <f t="shared" si="2"/>
        <v>0</v>
      </c>
      <c r="I51" s="186"/>
      <c r="J51" s="19"/>
      <c r="K51" s="19"/>
      <c r="L51" s="19"/>
      <c r="M51" s="19"/>
      <c r="N51" s="19"/>
    </row>
    <row r="52" spans="1:20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16.759999999999998</v>
      </c>
      <c r="E52" s="181">
        <f t="shared" ref="E52:G52" si="24">E53+E54</f>
        <v>25.8825</v>
      </c>
      <c r="F52" s="181">
        <f t="shared" si="24"/>
        <v>25.88</v>
      </c>
      <c r="G52" s="181">
        <f t="shared" si="24"/>
        <v>25.88</v>
      </c>
      <c r="H52" s="181">
        <f t="shared" si="2"/>
        <v>99.990340963971789</v>
      </c>
      <c r="I52" s="181"/>
      <c r="J52" s="103"/>
      <c r="K52" s="103"/>
      <c r="L52" s="103"/>
      <c r="M52" s="103"/>
      <c r="N52" s="103"/>
    </row>
    <row r="53" spans="1:20" ht="31.9" customHeight="1" x14ac:dyDescent="0.25">
      <c r="A53" s="277" t="s">
        <v>16</v>
      </c>
      <c r="B53" s="276" t="s">
        <v>119</v>
      </c>
      <c r="C53" s="4" t="s">
        <v>4</v>
      </c>
      <c r="D53" s="186">
        <f>14.29-1.23</f>
        <v>13.059999999999999</v>
      </c>
      <c r="E53" s="186">
        <f>D48*85%</f>
        <v>25.8825</v>
      </c>
      <c r="F53" s="186">
        <v>25.88</v>
      </c>
      <c r="G53" s="186">
        <v>25.88</v>
      </c>
      <c r="H53" s="186">
        <f t="shared" si="2"/>
        <v>99.990340963971789</v>
      </c>
      <c r="I53" s="186"/>
      <c r="J53" s="19"/>
      <c r="K53" s="47"/>
      <c r="L53" s="106"/>
      <c r="M53" s="47"/>
      <c r="N53" s="47"/>
      <c r="O53" s="30"/>
      <c r="P53" s="30"/>
      <c r="Q53" s="30"/>
      <c r="R53" s="30"/>
      <c r="S53" s="30"/>
      <c r="T53" s="30"/>
    </row>
    <row r="54" spans="1:20" ht="31.9" customHeight="1" x14ac:dyDescent="0.25">
      <c r="A54" s="4"/>
      <c r="B54" s="276" t="s">
        <v>120</v>
      </c>
      <c r="C54" s="4" t="s">
        <v>4</v>
      </c>
      <c r="D54" s="186">
        <v>3.7</v>
      </c>
      <c r="E54" s="186"/>
      <c r="F54" s="186"/>
      <c r="G54" s="186"/>
      <c r="H54" s="181"/>
      <c r="I54" s="186"/>
      <c r="J54" s="19"/>
      <c r="K54" s="47"/>
      <c r="L54" s="47"/>
      <c r="M54" s="47"/>
      <c r="N54" s="47"/>
      <c r="O54" s="30"/>
      <c r="P54" s="30"/>
      <c r="Q54" s="30"/>
      <c r="R54" s="30"/>
      <c r="S54" s="30"/>
      <c r="T54" s="30"/>
    </row>
    <row r="55" spans="1:20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11.78</v>
      </c>
      <c r="E55" s="181">
        <f t="shared" ref="E55:G55" si="25">E56+E57</f>
        <v>13.5</v>
      </c>
      <c r="F55" s="181">
        <f t="shared" si="25"/>
        <v>12.3</v>
      </c>
      <c r="G55" s="181">
        <f t="shared" si="25"/>
        <v>12.3</v>
      </c>
      <c r="H55" s="181">
        <f t="shared" si="2"/>
        <v>91.111111111111114</v>
      </c>
      <c r="I55" s="181"/>
      <c r="J55" s="19"/>
      <c r="K55" s="47"/>
      <c r="L55" s="47"/>
      <c r="M55" s="47"/>
      <c r="N55" s="47"/>
      <c r="O55" s="30"/>
      <c r="P55" s="30"/>
      <c r="Q55" s="30"/>
      <c r="R55" s="30"/>
      <c r="S55" s="30"/>
      <c r="T55" s="30"/>
    </row>
    <row r="56" spans="1:20" ht="31.9" customHeight="1" x14ac:dyDescent="0.25">
      <c r="A56" s="4" t="s">
        <v>22</v>
      </c>
      <c r="B56" s="273" t="s">
        <v>118</v>
      </c>
      <c r="C56" s="4" t="s">
        <v>4</v>
      </c>
      <c r="D56" s="186">
        <v>11.5</v>
      </c>
      <c r="E56" s="186">
        <f>D56+E58</f>
        <v>12.3</v>
      </c>
      <c r="F56" s="186">
        <v>12.3</v>
      </c>
      <c r="G56" s="186">
        <v>12.3</v>
      </c>
      <c r="H56" s="186">
        <f t="shared" si="2"/>
        <v>100</v>
      </c>
      <c r="I56" s="186"/>
      <c r="J56" s="19"/>
      <c r="K56" s="47"/>
      <c r="L56" s="47"/>
      <c r="M56" s="47"/>
      <c r="N56" s="47"/>
      <c r="O56" s="30"/>
      <c r="P56" s="30"/>
      <c r="Q56" s="30"/>
      <c r="R56" s="30"/>
      <c r="S56" s="30"/>
      <c r="T56" s="30"/>
    </row>
    <row r="57" spans="1:20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0.28000000000000003</v>
      </c>
      <c r="E57" s="186">
        <f t="shared" ref="E57:G57" si="26">E58+E61</f>
        <v>1.2000000000000002</v>
      </c>
      <c r="F57" s="186">
        <f t="shared" si="26"/>
        <v>0</v>
      </c>
      <c r="G57" s="186">
        <f t="shared" si="26"/>
        <v>0</v>
      </c>
      <c r="H57" s="181">
        <f t="shared" si="2"/>
        <v>0</v>
      </c>
      <c r="I57" s="186"/>
      <c r="J57" s="19"/>
      <c r="K57" s="47"/>
      <c r="L57" s="47"/>
      <c r="M57" s="47"/>
      <c r="N57" s="47"/>
      <c r="O57" s="30"/>
      <c r="P57" s="30"/>
      <c r="Q57" s="30"/>
      <c r="R57" s="30"/>
      <c r="S57" s="30"/>
      <c r="T57" s="30"/>
    </row>
    <row r="58" spans="1:20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0.28000000000000003</v>
      </c>
      <c r="E58" s="189">
        <f>E59+E60</f>
        <v>0.8</v>
      </c>
      <c r="F58" s="189">
        <f t="shared" ref="F58:G58" si="27">F59+F60</f>
        <v>0</v>
      </c>
      <c r="G58" s="189">
        <f t="shared" si="27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34"/>
      <c r="Q58" s="48"/>
      <c r="R58" s="48"/>
      <c r="S58" s="48"/>
      <c r="T58" s="48"/>
    </row>
    <row r="59" spans="1:20" ht="31.9" customHeight="1" x14ac:dyDescent="0.25">
      <c r="A59" s="4" t="s">
        <v>16</v>
      </c>
      <c r="B59" s="273" t="s">
        <v>123</v>
      </c>
      <c r="C59" s="4" t="s">
        <v>4</v>
      </c>
      <c r="D59" s="186">
        <v>0.28000000000000003</v>
      </c>
      <c r="E59" s="186">
        <v>0.3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24"/>
      <c r="L59" s="6"/>
      <c r="M59" s="6"/>
      <c r="N59" s="6"/>
      <c r="O59" s="6"/>
      <c r="P59" s="6"/>
      <c r="Q59" s="30"/>
      <c r="R59" s="30"/>
      <c r="S59" s="30"/>
      <c r="T59" s="30"/>
    </row>
    <row r="60" spans="1:20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0.5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24"/>
      <c r="L60" s="6"/>
      <c r="M60" s="6"/>
      <c r="N60" s="6"/>
      <c r="O60" s="6"/>
      <c r="P60" s="6"/>
      <c r="Q60" s="30"/>
      <c r="R60" s="30"/>
      <c r="S60" s="30"/>
      <c r="T60" s="30"/>
    </row>
    <row r="61" spans="1:20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>E62+E63</f>
        <v>0.4</v>
      </c>
      <c r="F61" s="189">
        <f t="shared" ref="F61:G61" si="28">F62+F63</f>
        <v>0</v>
      </c>
      <c r="G61" s="189">
        <f t="shared" si="28"/>
        <v>0</v>
      </c>
      <c r="H61" s="181">
        <f t="shared" si="2"/>
        <v>0</v>
      </c>
      <c r="I61" s="189"/>
      <c r="J61" s="104"/>
      <c r="K61" s="34"/>
      <c r="L61" s="34"/>
      <c r="M61" s="34"/>
      <c r="N61" s="34"/>
      <c r="O61" s="34"/>
      <c r="P61" s="51"/>
      <c r="Q61" s="48"/>
      <c r="R61" s="48"/>
      <c r="S61" s="48"/>
      <c r="T61" s="48"/>
    </row>
    <row r="62" spans="1:20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0.3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24"/>
      <c r="L62" s="6"/>
      <c r="M62" s="6"/>
      <c r="N62" s="6"/>
      <c r="O62" s="6"/>
      <c r="P62" s="6"/>
      <c r="Q62" s="30"/>
      <c r="R62" s="30"/>
      <c r="S62" s="30"/>
      <c r="T62" s="30"/>
    </row>
    <row r="63" spans="1:20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24"/>
      <c r="L63" s="6"/>
      <c r="M63" s="6"/>
      <c r="N63" s="6"/>
      <c r="O63" s="6"/>
      <c r="P63" s="6"/>
      <c r="Q63" s="30"/>
      <c r="R63" s="30"/>
      <c r="S63" s="30"/>
      <c r="T63" s="30"/>
    </row>
    <row r="64" spans="1:20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9">E65+E66</f>
        <v>6.5</v>
      </c>
      <c r="F64" s="181">
        <f t="shared" si="29"/>
        <v>6.5</v>
      </c>
      <c r="G64" s="181">
        <f t="shared" si="29"/>
        <v>6.5</v>
      </c>
      <c r="H64" s="181">
        <f t="shared" si="2"/>
        <v>100</v>
      </c>
      <c r="I64" s="181"/>
      <c r="J64" s="19"/>
      <c r="K64" s="47"/>
      <c r="L64" s="47"/>
      <c r="M64" s="47"/>
      <c r="N64" s="47"/>
      <c r="O64" s="30"/>
      <c r="P64" s="30"/>
      <c r="Q64" s="30"/>
      <c r="R64" s="30"/>
      <c r="S64" s="30"/>
      <c r="T64" s="30"/>
    </row>
    <row r="65" spans="1:20" ht="31.9" customHeight="1" x14ac:dyDescent="0.25">
      <c r="A65" s="4" t="s">
        <v>16</v>
      </c>
      <c r="B65" s="273" t="s">
        <v>117</v>
      </c>
      <c r="C65" s="4" t="s">
        <v>4</v>
      </c>
      <c r="D65" s="186"/>
      <c r="E65" s="186">
        <v>6.5</v>
      </c>
      <c r="F65" s="186">
        <v>6.5</v>
      </c>
      <c r="G65" s="186">
        <v>6.5</v>
      </c>
      <c r="H65" s="186">
        <f t="shared" si="2"/>
        <v>100</v>
      </c>
      <c r="I65" s="186"/>
      <c r="J65" s="19"/>
      <c r="K65" s="47"/>
      <c r="L65" s="47"/>
      <c r="M65" s="47"/>
      <c r="N65" s="47"/>
      <c r="O65" s="30"/>
      <c r="P65" s="30"/>
      <c r="Q65" s="30"/>
      <c r="R65" s="30"/>
      <c r="S65" s="30"/>
      <c r="T65" s="30"/>
    </row>
    <row r="66" spans="1:20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47"/>
      <c r="L66" s="47"/>
      <c r="M66" s="47"/>
      <c r="N66" s="47"/>
      <c r="O66" s="30"/>
      <c r="P66" s="30"/>
      <c r="Q66" s="30"/>
      <c r="R66" s="30"/>
      <c r="S66" s="30"/>
      <c r="T66" s="30"/>
    </row>
    <row r="67" spans="1:20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21.57</v>
      </c>
      <c r="E67" s="181">
        <f t="shared" ref="E67:G67" si="30">E68+E71</f>
        <v>21.84</v>
      </c>
      <c r="F67" s="181">
        <f t="shared" si="30"/>
        <v>21.57</v>
      </c>
      <c r="G67" s="181">
        <f t="shared" si="30"/>
        <v>21.57</v>
      </c>
      <c r="H67" s="181">
        <f t="shared" si="2"/>
        <v>98.763736263736263</v>
      </c>
      <c r="I67" s="181"/>
      <c r="J67" s="19"/>
      <c r="K67" s="47"/>
      <c r="L67" s="47"/>
      <c r="M67" s="47"/>
      <c r="N67" s="47"/>
      <c r="O67" s="30"/>
      <c r="P67" s="30"/>
      <c r="Q67" s="30"/>
      <c r="R67" s="30"/>
      <c r="S67" s="30"/>
      <c r="T67" s="30"/>
    </row>
    <row r="68" spans="1:20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1">E69+E70</f>
        <v>0</v>
      </c>
      <c r="F68" s="181">
        <f t="shared" si="31"/>
        <v>0</v>
      </c>
      <c r="G68" s="181">
        <f t="shared" si="31"/>
        <v>0</v>
      </c>
      <c r="H68" s="181"/>
      <c r="I68" s="181"/>
      <c r="J68" s="19"/>
      <c r="K68" s="47"/>
      <c r="L68" s="47"/>
      <c r="M68" s="47"/>
      <c r="N68" s="47"/>
      <c r="O68" s="30"/>
      <c r="P68" s="30"/>
      <c r="Q68" s="30"/>
      <c r="R68" s="30"/>
      <c r="S68" s="30"/>
      <c r="T68" s="30"/>
    </row>
    <row r="69" spans="1:20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47"/>
      <c r="L69" s="47"/>
      <c r="M69" s="47"/>
      <c r="N69" s="47"/>
      <c r="O69" s="30"/>
      <c r="P69" s="30"/>
      <c r="Q69" s="30"/>
      <c r="R69" s="30"/>
      <c r="S69" s="30"/>
      <c r="T69" s="30"/>
    </row>
    <row r="70" spans="1:20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1"/>
      <c r="I70" s="186"/>
      <c r="J70" s="19"/>
      <c r="K70" s="47"/>
      <c r="L70" s="47"/>
      <c r="M70" s="47"/>
      <c r="N70" s="47"/>
      <c r="O70" s="30"/>
      <c r="P70" s="30"/>
      <c r="Q70" s="30"/>
      <c r="R70" s="30"/>
      <c r="S70" s="30"/>
      <c r="T70" s="30"/>
    </row>
    <row r="71" spans="1:20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21.57</v>
      </c>
      <c r="E71" s="181">
        <f t="shared" ref="E71:G71" si="32">E72+E73</f>
        <v>21.84</v>
      </c>
      <c r="F71" s="181">
        <f t="shared" si="32"/>
        <v>21.57</v>
      </c>
      <c r="G71" s="181">
        <f t="shared" si="32"/>
        <v>21.57</v>
      </c>
      <c r="H71" s="181">
        <f t="shared" si="2"/>
        <v>98.763736263736263</v>
      </c>
      <c r="I71" s="181"/>
      <c r="J71" s="19"/>
      <c r="K71" s="47"/>
      <c r="L71" s="47"/>
      <c r="M71" s="47"/>
      <c r="N71" s="47"/>
      <c r="O71" s="30"/>
      <c r="P71" s="30"/>
      <c r="Q71" s="30"/>
      <c r="R71" s="30"/>
      <c r="S71" s="30"/>
      <c r="T71" s="30"/>
    </row>
    <row r="72" spans="1:20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21.07</v>
      </c>
      <c r="E72" s="192">
        <f t="shared" ref="E72:G73" si="33">E75+E82</f>
        <v>21.57</v>
      </c>
      <c r="F72" s="192">
        <f t="shared" si="33"/>
        <v>21.57</v>
      </c>
      <c r="G72" s="192">
        <f t="shared" si="33"/>
        <v>21.57</v>
      </c>
      <c r="H72" s="181">
        <f t="shared" si="2"/>
        <v>100</v>
      </c>
      <c r="I72" s="192"/>
      <c r="J72" s="19"/>
      <c r="K72" s="47"/>
      <c r="L72" s="47"/>
      <c r="M72" s="47"/>
      <c r="N72" s="47"/>
      <c r="O72" s="30"/>
      <c r="P72" s="30"/>
      <c r="Q72" s="30"/>
      <c r="R72" s="30"/>
      <c r="S72" s="30"/>
      <c r="T72" s="30"/>
    </row>
    <row r="73" spans="1:20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si="33"/>
        <v>0.27</v>
      </c>
      <c r="F73" s="181">
        <f t="shared" si="33"/>
        <v>0</v>
      </c>
      <c r="G73" s="181">
        <f t="shared" si="33"/>
        <v>0</v>
      </c>
      <c r="H73" s="181">
        <f t="shared" si="2"/>
        <v>0</v>
      </c>
      <c r="I73" s="181"/>
      <c r="J73" s="103"/>
      <c r="K73" s="118"/>
      <c r="L73" s="118"/>
      <c r="M73" s="118"/>
      <c r="N73" s="118"/>
      <c r="O73" s="30"/>
      <c r="P73" s="30"/>
      <c r="Q73" s="30"/>
      <c r="R73" s="30"/>
      <c r="S73" s="30"/>
      <c r="T73" s="30"/>
    </row>
    <row r="74" spans="1:20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15.98</v>
      </c>
      <c r="E74" s="194">
        <f t="shared" ref="E74:G74" si="34">E75+E76</f>
        <v>15.98</v>
      </c>
      <c r="F74" s="194">
        <f t="shared" si="34"/>
        <v>15.98</v>
      </c>
      <c r="G74" s="194">
        <f t="shared" si="34"/>
        <v>15.98</v>
      </c>
      <c r="H74" s="203">
        <f t="shared" ref="H74:H97" si="35">F74/E74*100</f>
        <v>100</v>
      </c>
      <c r="I74" s="194"/>
      <c r="J74" s="36"/>
      <c r="K74" s="119"/>
      <c r="L74" s="42"/>
      <c r="M74" s="42"/>
      <c r="N74" s="42"/>
      <c r="O74" s="42"/>
      <c r="P74" s="42"/>
      <c r="Q74" s="42"/>
      <c r="R74" s="30"/>
      <c r="S74" s="30"/>
      <c r="T74" s="30"/>
    </row>
    <row r="75" spans="1:20" ht="31.9" customHeight="1" x14ac:dyDescent="0.25">
      <c r="A75" s="5" t="s">
        <v>22</v>
      </c>
      <c r="B75" s="281" t="s">
        <v>117</v>
      </c>
      <c r="C75" s="4" t="s">
        <v>4</v>
      </c>
      <c r="D75" s="196">
        <v>15.48</v>
      </c>
      <c r="E75" s="196">
        <f>D75+D76</f>
        <v>15.98</v>
      </c>
      <c r="F75" s="196">
        <v>15.98</v>
      </c>
      <c r="G75" s="196">
        <v>15.98</v>
      </c>
      <c r="H75" s="186">
        <f t="shared" si="35"/>
        <v>100</v>
      </c>
      <c r="I75" s="186"/>
      <c r="J75" s="19"/>
      <c r="K75" s="47"/>
      <c r="L75" s="24"/>
      <c r="M75" s="24"/>
      <c r="N75" s="24"/>
      <c r="O75" s="39"/>
      <c r="P75" s="39"/>
      <c r="Q75" s="39"/>
      <c r="R75" s="30"/>
      <c r="S75" s="30"/>
      <c r="T75" s="30"/>
    </row>
    <row r="76" spans="1:20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0.5</v>
      </c>
      <c r="E76" s="197">
        <f>SUM(E77:E80)</f>
        <v>0</v>
      </c>
      <c r="F76" s="197">
        <f t="shared" ref="F76:G76" si="36">SUM(F77:F80)</f>
        <v>0</v>
      </c>
      <c r="G76" s="197">
        <f t="shared" si="36"/>
        <v>0</v>
      </c>
      <c r="H76" s="181"/>
      <c r="I76" s="197"/>
      <c r="J76" s="107"/>
      <c r="K76" s="108"/>
      <c r="L76" s="34"/>
      <c r="M76" s="34"/>
      <c r="N76" s="34"/>
      <c r="O76" s="39"/>
      <c r="P76" s="39"/>
      <c r="Q76" s="39"/>
      <c r="R76" s="30"/>
      <c r="S76" s="30"/>
      <c r="T76" s="30"/>
    </row>
    <row r="77" spans="1:20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8"/>
      <c r="L77" s="34"/>
      <c r="M77" s="120"/>
      <c r="N77" s="120"/>
      <c r="O77" s="39"/>
      <c r="P77" s="49"/>
      <c r="Q77" s="49"/>
      <c r="R77" s="30"/>
      <c r="S77" s="30"/>
      <c r="T77" s="30"/>
    </row>
    <row r="78" spans="1:20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8"/>
      <c r="L78" s="34"/>
      <c r="M78" s="34"/>
      <c r="N78" s="34"/>
      <c r="O78" s="39"/>
      <c r="P78" s="39"/>
      <c r="Q78" s="39"/>
      <c r="R78" s="30"/>
      <c r="S78" s="30"/>
      <c r="T78" s="30"/>
    </row>
    <row r="79" spans="1:20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8"/>
      <c r="L79" s="34"/>
      <c r="M79" s="34"/>
      <c r="N79" s="34"/>
      <c r="O79" s="39"/>
      <c r="P79" s="39"/>
      <c r="Q79" s="39"/>
      <c r="R79" s="30"/>
      <c r="S79" s="30"/>
      <c r="T79" s="30"/>
    </row>
    <row r="80" spans="1:20" ht="31.9" customHeight="1" x14ac:dyDescent="0.25">
      <c r="A80" s="3" t="s">
        <v>16</v>
      </c>
      <c r="B80" s="284" t="s">
        <v>129</v>
      </c>
      <c r="C80" s="3" t="s">
        <v>4</v>
      </c>
      <c r="D80" s="186">
        <v>0.5</v>
      </c>
      <c r="E80" s="186"/>
      <c r="F80" s="186"/>
      <c r="G80" s="186"/>
      <c r="H80" s="181"/>
      <c r="I80" s="186"/>
      <c r="J80" s="107"/>
      <c r="K80" s="108"/>
      <c r="L80" s="34"/>
      <c r="M80" s="34"/>
      <c r="N80" s="34"/>
      <c r="O80" s="39"/>
      <c r="P80" s="39"/>
      <c r="Q80" s="39"/>
      <c r="R80" s="30"/>
      <c r="S80" s="30"/>
      <c r="T80" s="30"/>
    </row>
    <row r="81" spans="1:20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5.59</v>
      </c>
      <c r="E81" s="194">
        <f t="shared" ref="E81:G81" si="37">E82+E83</f>
        <v>5.8599999999999994</v>
      </c>
      <c r="F81" s="194">
        <f t="shared" si="37"/>
        <v>5.59</v>
      </c>
      <c r="G81" s="194">
        <f t="shared" si="37"/>
        <v>5.59</v>
      </c>
      <c r="H81" s="203">
        <f t="shared" si="35"/>
        <v>95.392491467576804</v>
      </c>
      <c r="I81" s="194"/>
      <c r="J81" s="36"/>
      <c r="K81" s="119"/>
      <c r="L81" s="42"/>
      <c r="M81" s="42"/>
      <c r="N81" s="42"/>
      <c r="O81" s="42"/>
      <c r="P81" s="42"/>
      <c r="Q81" s="42"/>
      <c r="R81" s="50"/>
      <c r="S81" s="50"/>
      <c r="T81" s="50"/>
    </row>
    <row r="82" spans="1:20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5.59</v>
      </c>
      <c r="E82" s="189">
        <f>D82+D83</f>
        <v>5.59</v>
      </c>
      <c r="F82" s="189">
        <v>5.59</v>
      </c>
      <c r="G82" s="189">
        <v>5.59</v>
      </c>
      <c r="H82" s="186">
        <f t="shared" si="35"/>
        <v>100</v>
      </c>
      <c r="I82" s="189"/>
      <c r="J82" s="107"/>
      <c r="K82" s="108"/>
      <c r="L82" s="34"/>
      <c r="M82" s="34"/>
      <c r="N82" s="34"/>
      <c r="O82" s="51"/>
      <c r="P82" s="51"/>
      <c r="Q82" s="51"/>
      <c r="R82" s="48"/>
      <c r="S82" s="48"/>
      <c r="T82" s="48"/>
    </row>
    <row r="83" spans="1:20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8">SUM(D84:D87)</f>
        <v>0</v>
      </c>
      <c r="E83" s="196">
        <f>SUM(E84:E87)</f>
        <v>0.27</v>
      </c>
      <c r="F83" s="196">
        <f t="shared" si="38"/>
        <v>0</v>
      </c>
      <c r="G83" s="196">
        <f t="shared" si="38"/>
        <v>0</v>
      </c>
      <c r="H83" s="181">
        <f t="shared" si="35"/>
        <v>0</v>
      </c>
      <c r="I83" s="196"/>
      <c r="J83" s="107"/>
      <c r="K83" s="108"/>
      <c r="L83" s="34"/>
      <c r="M83" s="34"/>
      <c r="N83" s="34"/>
      <c r="O83" s="39"/>
      <c r="P83" s="39"/>
      <c r="Q83" s="39"/>
      <c r="R83" s="30"/>
      <c r="S83" s="30"/>
      <c r="T83" s="30"/>
    </row>
    <row r="84" spans="1:20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34"/>
      <c r="L84" s="34"/>
      <c r="M84" s="34"/>
      <c r="N84" s="34"/>
      <c r="O84" s="30"/>
      <c r="P84" s="30"/>
      <c r="Q84" s="30"/>
      <c r="R84" s="30"/>
      <c r="S84" s="30"/>
      <c r="T84" s="30"/>
    </row>
    <row r="85" spans="1:20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34"/>
      <c r="L85" s="34"/>
      <c r="M85" s="34"/>
      <c r="N85" s="34"/>
      <c r="O85" s="30"/>
      <c r="P85" s="30"/>
      <c r="Q85" s="30"/>
      <c r="R85" s="30"/>
      <c r="S85" s="30"/>
      <c r="T85" s="30"/>
    </row>
    <row r="86" spans="1:20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34"/>
      <c r="L86" s="34"/>
      <c r="M86" s="34"/>
      <c r="N86" s="39"/>
      <c r="O86" s="39"/>
      <c r="P86" s="39"/>
      <c r="Q86" s="39"/>
      <c r="R86" s="30"/>
      <c r="S86" s="30"/>
      <c r="T86" s="30"/>
    </row>
    <row r="87" spans="1:20" ht="31.9" customHeight="1" x14ac:dyDescent="0.25">
      <c r="A87" s="282" t="s">
        <v>16</v>
      </c>
      <c r="B87" s="283" t="s">
        <v>114</v>
      </c>
      <c r="C87" s="3" t="s">
        <v>4</v>
      </c>
      <c r="D87" s="186"/>
      <c r="E87" s="186">
        <v>0.27</v>
      </c>
      <c r="F87" s="186">
        <v>0</v>
      </c>
      <c r="G87" s="186">
        <v>0</v>
      </c>
      <c r="H87" s="181">
        <f t="shared" si="35"/>
        <v>0</v>
      </c>
      <c r="I87" s="186"/>
      <c r="J87" s="109"/>
      <c r="K87" s="34"/>
      <c r="L87" s="34"/>
      <c r="M87" s="120"/>
      <c r="N87" s="120"/>
      <c r="O87" s="49"/>
      <c r="P87" s="49"/>
      <c r="Q87" s="49"/>
      <c r="R87" s="33"/>
      <c r="S87" s="30"/>
      <c r="T87" s="30"/>
    </row>
    <row r="88" spans="1:20" ht="31.9" customHeight="1" x14ac:dyDescent="0.25">
      <c r="A88" s="2" t="s">
        <v>42</v>
      </c>
      <c r="B88" s="224" t="s">
        <v>43</v>
      </c>
      <c r="C88" s="2"/>
      <c r="D88" s="181">
        <f>SUM(D89:D93)</f>
        <v>641</v>
      </c>
      <c r="E88" s="181">
        <f t="shared" ref="E88:G88" si="39">SUM(E89:E93)</f>
        <v>524</v>
      </c>
      <c r="F88" s="181">
        <f t="shared" si="39"/>
        <v>433</v>
      </c>
      <c r="G88" s="181">
        <f t="shared" si="39"/>
        <v>433</v>
      </c>
      <c r="H88" s="181">
        <f t="shared" si="35"/>
        <v>82.63358778625954</v>
      </c>
      <c r="I88" s="181"/>
      <c r="J88" s="20"/>
      <c r="K88" s="24"/>
      <c r="L88" s="28"/>
      <c r="M88" s="28"/>
      <c r="N88" s="24"/>
      <c r="O88" s="30"/>
      <c r="P88" s="30"/>
      <c r="Q88" s="30"/>
      <c r="R88" s="30"/>
      <c r="S88" s="30"/>
      <c r="T88" s="30"/>
    </row>
    <row r="89" spans="1:20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58</v>
      </c>
      <c r="E89" s="186">
        <f>20+10</f>
        <v>30</v>
      </c>
      <c r="F89" s="186">
        <v>29</v>
      </c>
      <c r="G89" s="186">
        <f>F89</f>
        <v>29</v>
      </c>
      <c r="H89" s="181">
        <f t="shared" si="35"/>
        <v>96.666666666666671</v>
      </c>
      <c r="I89" s="186"/>
      <c r="J89" s="112"/>
      <c r="K89" s="63"/>
      <c r="L89" s="208"/>
      <c r="M89" s="209"/>
      <c r="N89" s="63"/>
      <c r="O89" s="92"/>
      <c r="P89" s="92"/>
      <c r="Q89" s="92"/>
      <c r="R89" s="92"/>
      <c r="S89" s="92"/>
      <c r="T89" s="92"/>
    </row>
    <row r="90" spans="1:20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f>97+5</f>
        <v>102</v>
      </c>
      <c r="E90" s="186">
        <f>99+16</f>
        <v>115</v>
      </c>
      <c r="F90" s="186">
        <v>111</v>
      </c>
      <c r="G90" s="186">
        <f>F90</f>
        <v>111</v>
      </c>
      <c r="H90" s="181">
        <f t="shared" si="35"/>
        <v>96.521739130434781</v>
      </c>
      <c r="I90" s="186"/>
      <c r="J90" s="112"/>
      <c r="K90" s="105"/>
      <c r="L90" s="208"/>
      <c r="M90" s="209"/>
      <c r="N90" s="121"/>
      <c r="O90" s="92"/>
      <c r="P90" s="92"/>
      <c r="Q90" s="92"/>
      <c r="R90" s="92"/>
      <c r="S90" s="92"/>
      <c r="T90" s="92"/>
    </row>
    <row r="91" spans="1:20" ht="31.9" customHeight="1" x14ac:dyDescent="0.25">
      <c r="A91" s="4">
        <v>3</v>
      </c>
      <c r="B91" s="227" t="s">
        <v>46</v>
      </c>
      <c r="C91" s="4" t="s">
        <v>6</v>
      </c>
      <c r="D91" s="186">
        <v>55</v>
      </c>
      <c r="E91" s="186">
        <v>2</v>
      </c>
      <c r="F91" s="186">
        <v>2</v>
      </c>
      <c r="G91" s="186">
        <f>F91</f>
        <v>2</v>
      </c>
      <c r="H91" s="186">
        <f t="shared" si="35"/>
        <v>100</v>
      </c>
      <c r="I91" s="186"/>
      <c r="J91" s="20"/>
      <c r="K91" s="8"/>
      <c r="L91" s="208"/>
      <c r="M91" s="209"/>
      <c r="N91" s="8"/>
      <c r="O91" s="30"/>
      <c r="P91" s="30"/>
      <c r="Q91" s="30"/>
      <c r="R91" s="30"/>
      <c r="S91" s="30"/>
      <c r="T91" s="30"/>
    </row>
    <row r="92" spans="1:20" ht="31.9" customHeight="1" x14ac:dyDescent="0.25">
      <c r="A92" s="4">
        <v>4</v>
      </c>
      <c r="B92" s="227" t="s">
        <v>47</v>
      </c>
      <c r="C92" s="4" t="s">
        <v>6</v>
      </c>
      <c r="D92" s="186"/>
      <c r="E92" s="186"/>
      <c r="F92" s="186"/>
      <c r="G92" s="186"/>
      <c r="H92" s="181"/>
      <c r="I92" s="186"/>
      <c r="J92" s="20"/>
      <c r="K92" s="24"/>
      <c r="L92" s="210"/>
      <c r="M92" s="209"/>
      <c r="N92" s="24"/>
      <c r="O92" s="30"/>
      <c r="P92" s="30"/>
      <c r="Q92" s="30"/>
      <c r="R92" s="30"/>
      <c r="S92" s="30"/>
      <c r="T92" s="30"/>
    </row>
    <row r="93" spans="1:20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426</v>
      </c>
      <c r="E93" s="186">
        <f>417-40</f>
        <v>377</v>
      </c>
      <c r="F93" s="186">
        <v>291</v>
      </c>
      <c r="G93" s="186">
        <f>F93</f>
        <v>291</v>
      </c>
      <c r="H93" s="186">
        <f t="shared" si="35"/>
        <v>77.188328912466844</v>
      </c>
      <c r="I93" s="186"/>
      <c r="J93" s="157"/>
      <c r="K93" s="105"/>
      <c r="L93" s="210"/>
      <c r="M93" s="209"/>
      <c r="N93" s="121"/>
      <c r="O93" s="92"/>
      <c r="P93" s="92"/>
      <c r="Q93" s="92"/>
      <c r="R93" s="92"/>
      <c r="S93" s="92"/>
      <c r="T93" s="92"/>
    </row>
    <row r="94" spans="1:20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40">E95</f>
        <v>0.5</v>
      </c>
      <c r="F94" s="181">
        <f>F95</f>
        <v>0.5</v>
      </c>
      <c r="G94" s="181">
        <f t="shared" si="40"/>
        <v>0.5</v>
      </c>
      <c r="H94" s="181">
        <f t="shared" si="35"/>
        <v>100</v>
      </c>
      <c r="I94" s="181"/>
      <c r="J94" s="211"/>
      <c r="K94" s="90"/>
      <c r="L94" s="21"/>
      <c r="M94" s="21"/>
      <c r="N94" s="21"/>
      <c r="O94" s="35"/>
      <c r="P94" s="35"/>
      <c r="Q94" s="35"/>
      <c r="R94" s="35"/>
      <c r="S94" s="35"/>
      <c r="T94" s="35"/>
    </row>
    <row r="95" spans="1:20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>
        <v>0.5</v>
      </c>
      <c r="F95" s="186">
        <v>0.5</v>
      </c>
      <c r="G95" s="186">
        <v>0.5</v>
      </c>
      <c r="H95" s="186">
        <f t="shared" si="35"/>
        <v>100</v>
      </c>
      <c r="I95" s="186"/>
      <c r="J95" s="20"/>
      <c r="K95" s="8"/>
      <c r="L95" s="8"/>
      <c r="M95" s="8"/>
      <c r="N95" s="8"/>
      <c r="O95" s="30"/>
      <c r="P95" s="30"/>
      <c r="Q95" s="30"/>
      <c r="R95" s="30"/>
      <c r="S95" s="30"/>
      <c r="T95" s="30"/>
    </row>
    <row r="96" spans="1:20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1">E97+E98</f>
        <v>2.1</v>
      </c>
      <c r="F96" s="181">
        <f t="shared" si="41"/>
        <v>0</v>
      </c>
      <c r="G96" s="181">
        <f t="shared" si="41"/>
        <v>0</v>
      </c>
      <c r="H96" s="181">
        <f t="shared" si="35"/>
        <v>0</v>
      </c>
      <c r="I96" s="181"/>
      <c r="J96" s="20"/>
      <c r="K96" s="24"/>
      <c r="L96" s="24"/>
      <c r="M96" s="24"/>
      <c r="N96" s="24"/>
      <c r="O96" s="30"/>
      <c r="P96" s="30"/>
      <c r="Q96" s="30"/>
      <c r="R96" s="30"/>
      <c r="S96" s="30"/>
      <c r="T96" s="30"/>
    </row>
    <row r="97" spans="1:20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2.1</v>
      </c>
      <c r="F97" s="186"/>
      <c r="G97" s="186"/>
      <c r="H97" s="181">
        <f t="shared" si="35"/>
        <v>0</v>
      </c>
      <c r="I97" s="186"/>
      <c r="J97" s="20"/>
      <c r="K97" s="8"/>
      <c r="L97" s="26"/>
      <c r="M97" s="24"/>
      <c r="N97" s="24"/>
      <c r="O97" s="30"/>
      <c r="P97" s="30"/>
      <c r="Q97" s="30"/>
      <c r="R97" s="30"/>
      <c r="S97" s="30"/>
      <c r="T97" s="30"/>
    </row>
    <row r="98" spans="1:20" ht="31.9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1"/>
      <c r="I98" s="186"/>
      <c r="J98" s="20"/>
      <c r="K98" s="24"/>
      <c r="L98" s="24"/>
      <c r="M98" s="24"/>
      <c r="N98" s="24"/>
      <c r="O98" s="30"/>
      <c r="P98" s="30"/>
      <c r="Q98" s="30"/>
      <c r="R98" s="30"/>
      <c r="S98" s="30"/>
      <c r="T98" s="30"/>
    </row>
    <row r="99" spans="1:20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20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20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20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20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20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20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20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20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20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20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20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20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20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1181102362204722" bottom="0.47244094488188981" header="0" footer="0"/>
  <pageSetup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84"/>
  <sheetViews>
    <sheetView zoomScaleNormal="100" workbookViewId="0">
      <pane ySplit="8" topLeftCell="A34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6.88671875" style="220" customWidth="1"/>
    <col min="2" max="2" width="30.44140625" style="220" customWidth="1"/>
    <col min="3" max="3" width="9.21875" style="220" customWidth="1"/>
    <col min="4" max="4" width="17.21875" style="220" customWidth="1"/>
    <col min="5" max="5" width="18.109375" style="220" customWidth="1"/>
    <col min="6" max="8" width="12.6640625" style="220" customWidth="1"/>
    <col min="9" max="9" width="11.44140625" style="220" customWidth="1"/>
    <col min="10" max="10" width="8.88671875" style="17" customWidth="1"/>
    <col min="11" max="11" width="18.664062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157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'TY TU(13)'!A5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62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368</v>
      </c>
      <c r="M8" s="19"/>
      <c r="N8" s="19"/>
    </row>
    <row r="9" spans="1:18" s="23" customFormat="1" ht="33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147.64999999999998</v>
      </c>
      <c r="E9" s="181">
        <f t="shared" ref="E9:G9" si="0">E13+E28+E37+E43+E46+E67</f>
        <v>151.6</v>
      </c>
      <c r="F9" s="181">
        <f t="shared" si="0"/>
        <v>140.15</v>
      </c>
      <c r="G9" s="181">
        <f t="shared" si="0"/>
        <v>140.15</v>
      </c>
      <c r="H9" s="181">
        <f>F9/E9*100</f>
        <v>92.447229551451187</v>
      </c>
      <c r="I9" s="181"/>
      <c r="J9" s="103"/>
      <c r="K9" s="103"/>
      <c r="L9" s="103"/>
      <c r="M9" s="103"/>
      <c r="N9" s="103"/>
    </row>
    <row r="10" spans="1:18" s="23" customFormat="1" ht="33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1.03</v>
      </c>
      <c r="F10" s="181">
        <f t="shared" si="1"/>
        <v>1</v>
      </c>
      <c r="G10" s="181">
        <f t="shared" si="1"/>
        <v>1</v>
      </c>
      <c r="H10" s="181">
        <f t="shared" ref="H10:H73" si="2">F10/E10*100</f>
        <v>97.087378640776706</v>
      </c>
      <c r="I10" s="181"/>
      <c r="J10" s="103"/>
      <c r="K10" s="103"/>
      <c r="L10" s="103"/>
      <c r="M10" s="103"/>
      <c r="N10" s="103"/>
    </row>
    <row r="11" spans="1:18" s="23" customFormat="1" ht="33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3.780405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18" s="23" customFormat="1" ht="33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9.0404999999999999E-2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03"/>
      <c r="M12" s="103"/>
      <c r="N12" s="103"/>
    </row>
    <row r="13" spans="1:18" ht="33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0.03</v>
      </c>
      <c r="F13" s="181">
        <f t="shared" si="5"/>
        <v>0</v>
      </c>
      <c r="G13" s="181">
        <f t="shared" si="5"/>
        <v>0</v>
      </c>
      <c r="H13" s="181">
        <f t="shared" si="2"/>
        <v>0</v>
      </c>
      <c r="I13" s="181"/>
      <c r="J13" s="19"/>
      <c r="K13" s="13"/>
      <c r="L13" s="13"/>
      <c r="M13" s="13"/>
      <c r="N13" s="13"/>
      <c r="O13" s="14"/>
    </row>
    <row r="14" spans="1:18" ht="33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8" ht="33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9.0404999999999999E-2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18" ht="33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0</v>
      </c>
      <c r="F16" s="181">
        <v>0</v>
      </c>
      <c r="G16" s="181">
        <v>0</v>
      </c>
      <c r="H16" s="181"/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1" ht="33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/>
      <c r="G17" s="186"/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1" ht="33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>E16*E17/10</f>
        <v>0</v>
      </c>
      <c r="F18" s="186">
        <f t="shared" ref="F18:G18" si="8">F16*F17/10</f>
        <v>0</v>
      </c>
      <c r="G18" s="186">
        <f t="shared" si="8"/>
        <v>0</v>
      </c>
      <c r="H18" s="181"/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1" ht="33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0.03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20"/>
      <c r="O19" s="18"/>
      <c r="P19" s="18"/>
    </row>
    <row r="20" spans="1:21" ht="33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26.770000000000003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20"/>
      <c r="O20" s="18"/>
      <c r="P20" s="18"/>
    </row>
    <row r="21" spans="1:21" ht="33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8.0310000000000006E-2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20"/>
      <c r="O21" s="18"/>
      <c r="P21" s="18"/>
    </row>
    <row r="22" spans="1:21" ht="33" customHeight="1" x14ac:dyDescent="0.25">
      <c r="A22" s="269" t="s">
        <v>22</v>
      </c>
      <c r="B22" s="270" t="s">
        <v>23</v>
      </c>
      <c r="C22" s="269" t="s">
        <v>4</v>
      </c>
      <c r="D22" s="181"/>
      <c r="E22" s="203">
        <v>0.03</v>
      </c>
      <c r="F22" s="203">
        <v>0</v>
      </c>
      <c r="G22" s="203">
        <v>0</v>
      </c>
      <c r="H22" s="181">
        <f t="shared" si="2"/>
        <v>0</v>
      </c>
      <c r="I22" s="181"/>
      <c r="J22" s="13"/>
      <c r="K22" s="13"/>
      <c r="L22" s="13"/>
      <c r="M22" s="13"/>
      <c r="N22" s="13"/>
      <c r="O22" s="14"/>
      <c r="P22" s="14"/>
      <c r="Q22" s="15"/>
      <c r="R22" s="15"/>
      <c r="S22" s="15"/>
      <c r="T22" s="15"/>
      <c r="U22" s="15"/>
    </row>
    <row r="23" spans="1:21" ht="33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13"/>
      <c r="O23" s="14"/>
      <c r="P23" s="14"/>
      <c r="Q23" s="15"/>
      <c r="R23" s="15"/>
      <c r="S23" s="15"/>
      <c r="T23" s="15"/>
      <c r="U23" s="15"/>
    </row>
    <row r="24" spans="1:21" ht="33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0.11502000000000001</v>
      </c>
      <c r="F24" s="186">
        <f t="shared" si="12"/>
        <v>0</v>
      </c>
      <c r="G24" s="186">
        <f t="shared" si="12"/>
        <v>0</v>
      </c>
      <c r="H24" s="181">
        <f t="shared" si="2"/>
        <v>0</v>
      </c>
      <c r="I24" s="186"/>
      <c r="J24" s="13"/>
      <c r="K24" s="13"/>
      <c r="L24" s="13"/>
      <c r="M24" s="13"/>
      <c r="N24" s="13"/>
      <c r="O24" s="14"/>
      <c r="P24" s="14"/>
      <c r="Q24" s="15"/>
      <c r="R24" s="15"/>
      <c r="S24" s="15"/>
      <c r="T24" s="15"/>
      <c r="U24" s="15"/>
    </row>
    <row r="25" spans="1:21" ht="33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6">
        <v>0</v>
      </c>
      <c r="G25" s="186">
        <v>0</v>
      </c>
      <c r="H25" s="181"/>
      <c r="I25" s="186"/>
      <c r="J25" s="13"/>
      <c r="K25" s="13"/>
      <c r="L25" s="13"/>
      <c r="M25" s="13"/>
      <c r="N25" s="13"/>
      <c r="O25" s="14"/>
      <c r="P25" s="14"/>
      <c r="Q25" s="15"/>
      <c r="R25" s="15"/>
      <c r="S25" s="15"/>
      <c r="T25" s="15"/>
      <c r="U25" s="15"/>
    </row>
    <row r="26" spans="1:21" ht="33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>
        <f t="shared" si="2"/>
        <v>0</v>
      </c>
      <c r="I26" s="186"/>
      <c r="J26" s="13"/>
      <c r="K26" s="13"/>
      <c r="L26" s="13"/>
      <c r="M26" s="13"/>
      <c r="N26" s="13"/>
      <c r="O26" s="14"/>
      <c r="P26" s="14"/>
      <c r="Q26" s="15"/>
      <c r="R26" s="15"/>
      <c r="S26" s="15"/>
      <c r="T26" s="15"/>
      <c r="U26" s="15"/>
    </row>
    <row r="27" spans="1:21" ht="33" customHeight="1" x14ac:dyDescent="0.25">
      <c r="A27" s="269"/>
      <c r="B27" s="227" t="s">
        <v>141</v>
      </c>
      <c r="C27" s="4" t="s">
        <v>15</v>
      </c>
      <c r="D27" s="181"/>
      <c r="E27" s="181"/>
      <c r="F27" s="186"/>
      <c r="G27" s="186"/>
      <c r="H27" s="181"/>
      <c r="I27" s="186"/>
      <c r="J27" s="13"/>
      <c r="K27" s="13"/>
      <c r="L27" s="13"/>
      <c r="M27" s="13"/>
      <c r="N27" s="13"/>
      <c r="O27" s="14"/>
      <c r="P27" s="14"/>
      <c r="Q27" s="15"/>
      <c r="R27" s="15"/>
      <c r="S27" s="15"/>
      <c r="T27" s="15"/>
      <c r="U27" s="15"/>
    </row>
    <row r="28" spans="1:21" ht="33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3">D31+D34</f>
        <v>1</v>
      </c>
      <c r="E28" s="181">
        <f t="shared" si="13"/>
        <v>1</v>
      </c>
      <c r="F28" s="181">
        <f t="shared" si="13"/>
        <v>1</v>
      </c>
      <c r="G28" s="181">
        <f t="shared" si="13"/>
        <v>1</v>
      </c>
      <c r="H28" s="181">
        <f t="shared" si="2"/>
        <v>100</v>
      </c>
      <c r="I28" s="181"/>
      <c r="J28" s="13"/>
      <c r="K28" s="13"/>
      <c r="L28" s="13"/>
      <c r="M28" s="13"/>
      <c r="N28" s="13"/>
      <c r="O28" s="14"/>
      <c r="P28" s="14"/>
      <c r="Q28" s="15"/>
      <c r="R28" s="15"/>
      <c r="S28" s="15"/>
      <c r="T28" s="15"/>
      <c r="U28" s="15"/>
    </row>
    <row r="29" spans="1:21" ht="33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4">E35</f>
        <v>36.9</v>
      </c>
      <c r="F29" s="186">
        <f t="shared" si="14"/>
        <v>0</v>
      </c>
      <c r="G29" s="186">
        <f t="shared" si="14"/>
        <v>0</v>
      </c>
      <c r="H29" s="181">
        <f t="shared" si="2"/>
        <v>0</v>
      </c>
      <c r="I29" s="186"/>
      <c r="J29" s="13"/>
      <c r="K29" s="13"/>
      <c r="L29" s="13"/>
      <c r="M29" s="13"/>
      <c r="N29" s="13"/>
      <c r="O29" s="14"/>
      <c r="P29" s="14"/>
      <c r="Q29" s="15"/>
      <c r="R29" s="15"/>
      <c r="S29" s="15"/>
      <c r="T29" s="15"/>
      <c r="U29" s="15"/>
    </row>
    <row r="30" spans="1:21" ht="33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5">E28*E29/10</f>
        <v>3.69</v>
      </c>
      <c r="F30" s="186">
        <f t="shared" si="15"/>
        <v>0</v>
      </c>
      <c r="G30" s="186">
        <f t="shared" si="15"/>
        <v>0</v>
      </c>
      <c r="H30" s="181">
        <f t="shared" si="2"/>
        <v>0</v>
      </c>
      <c r="I30" s="186"/>
      <c r="J30" s="13"/>
      <c r="K30" s="13"/>
      <c r="L30" s="13"/>
      <c r="M30" s="13"/>
      <c r="N30" s="13"/>
      <c r="O30" s="14"/>
      <c r="P30" s="14"/>
      <c r="Q30" s="15"/>
      <c r="R30" s="15"/>
      <c r="S30" s="15"/>
      <c r="T30" s="15"/>
      <c r="U30" s="15"/>
    </row>
    <row r="31" spans="1:21" ht="33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3"/>
      <c r="K31" s="6"/>
      <c r="L31" s="61"/>
      <c r="M31" s="61"/>
      <c r="N31" s="61"/>
      <c r="O31" s="61"/>
      <c r="P31" s="14"/>
      <c r="Q31" s="15"/>
      <c r="R31" s="15"/>
      <c r="S31" s="15"/>
      <c r="T31" s="15"/>
      <c r="U31" s="15"/>
    </row>
    <row r="32" spans="1:21" ht="33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3"/>
      <c r="K32" s="6"/>
      <c r="L32" s="61"/>
      <c r="M32" s="61"/>
      <c r="N32" s="61"/>
      <c r="O32" s="61"/>
      <c r="P32" s="14"/>
      <c r="Q32" s="15"/>
      <c r="R32" s="15"/>
      <c r="S32" s="15"/>
      <c r="T32" s="15"/>
      <c r="U32" s="15"/>
    </row>
    <row r="33" spans="1:21" ht="33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3"/>
      <c r="K33" s="6"/>
      <c r="L33" s="61"/>
      <c r="M33" s="61"/>
      <c r="N33" s="61"/>
      <c r="O33" s="61"/>
      <c r="P33" s="14"/>
      <c r="Q33" s="15"/>
      <c r="R33" s="15"/>
      <c r="S33" s="15"/>
      <c r="T33" s="15"/>
      <c r="U33" s="15"/>
    </row>
    <row r="34" spans="1:21" ht="33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6"/>
      <c r="J34" s="13"/>
      <c r="K34" s="29"/>
      <c r="L34" s="29"/>
      <c r="M34" s="29"/>
      <c r="N34" s="29"/>
      <c r="O34" s="29"/>
      <c r="P34" s="14"/>
      <c r="Q34" s="15"/>
      <c r="R34" s="15"/>
      <c r="S34" s="15"/>
      <c r="T34" s="15"/>
      <c r="U34" s="15"/>
    </row>
    <row r="35" spans="1:21" ht="33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3"/>
      <c r="K35" s="29"/>
      <c r="L35" s="29"/>
      <c r="M35" s="29"/>
      <c r="N35" s="29"/>
      <c r="O35" s="29"/>
      <c r="P35" s="14"/>
      <c r="Q35" s="15"/>
      <c r="R35" s="15"/>
      <c r="S35" s="15"/>
      <c r="T35" s="15"/>
      <c r="U35" s="15"/>
    </row>
    <row r="36" spans="1:21" ht="33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6">E34*E35/10</f>
        <v>3.69</v>
      </c>
      <c r="F36" s="186">
        <f t="shared" si="16"/>
        <v>0</v>
      </c>
      <c r="G36" s="186">
        <f t="shared" si="16"/>
        <v>0</v>
      </c>
      <c r="H36" s="181">
        <f t="shared" si="2"/>
        <v>0</v>
      </c>
      <c r="I36" s="186"/>
      <c r="J36" s="13"/>
      <c r="K36" s="29"/>
      <c r="L36" s="29"/>
      <c r="M36" s="29"/>
      <c r="N36" s="29"/>
      <c r="O36" s="29"/>
      <c r="P36" s="14"/>
      <c r="Q36" s="15"/>
      <c r="R36" s="15"/>
      <c r="S36" s="15"/>
      <c r="T36" s="15"/>
      <c r="U36" s="15"/>
    </row>
    <row r="37" spans="1:21" ht="33" customHeight="1" x14ac:dyDescent="0.25">
      <c r="A37" s="2">
        <v>2</v>
      </c>
      <c r="B37" s="225" t="s">
        <v>28</v>
      </c>
      <c r="C37" s="2" t="s">
        <v>4</v>
      </c>
      <c r="D37" s="181">
        <v>36</v>
      </c>
      <c r="E37" s="181">
        <v>31.23</v>
      </c>
      <c r="F37" s="181">
        <v>31.23</v>
      </c>
      <c r="G37" s="181">
        <v>31.23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13"/>
      <c r="Q37" s="13"/>
      <c r="R37" s="13"/>
      <c r="S37" s="13"/>
      <c r="T37" s="13"/>
      <c r="U37" s="15"/>
    </row>
    <row r="38" spans="1:21" ht="33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8"/>
      <c r="M38" s="8"/>
      <c r="N38" s="8"/>
      <c r="O38" s="8"/>
      <c r="P38" s="13"/>
      <c r="Q38" s="13"/>
      <c r="R38" s="13"/>
      <c r="S38" s="13"/>
      <c r="T38" s="13"/>
      <c r="U38" s="15"/>
    </row>
    <row r="39" spans="1:21" ht="33" customHeight="1" x14ac:dyDescent="0.25">
      <c r="A39" s="2"/>
      <c r="B39" s="227" t="s">
        <v>141</v>
      </c>
      <c r="C39" s="4" t="s">
        <v>15</v>
      </c>
      <c r="D39" s="186">
        <f>D37*D38/10</f>
        <v>495</v>
      </c>
      <c r="E39" s="186">
        <f t="shared" ref="E39:G39" si="17">E37*E38/10</f>
        <v>437.21999999999997</v>
      </c>
      <c r="F39" s="186">
        <f t="shared" si="17"/>
        <v>0</v>
      </c>
      <c r="G39" s="186">
        <f t="shared" si="17"/>
        <v>0</v>
      </c>
      <c r="H39" s="181">
        <f t="shared" si="2"/>
        <v>0</v>
      </c>
      <c r="I39" s="186"/>
      <c r="J39" s="13"/>
      <c r="K39" s="8"/>
      <c r="L39" s="8"/>
      <c r="M39" s="8"/>
      <c r="N39" s="8"/>
      <c r="O39" s="8"/>
      <c r="P39" s="13"/>
      <c r="Q39" s="13"/>
      <c r="R39" s="13"/>
      <c r="S39" s="13"/>
      <c r="T39" s="13"/>
      <c r="U39" s="15"/>
    </row>
    <row r="40" spans="1:21" ht="33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8"/>
      <c r="M40" s="8"/>
      <c r="N40" s="8"/>
      <c r="O40" s="8"/>
      <c r="P40" s="13"/>
      <c r="Q40" s="13"/>
      <c r="R40" s="13"/>
      <c r="S40" s="13"/>
      <c r="T40" s="13"/>
      <c r="U40" s="15"/>
    </row>
    <row r="41" spans="1:21" ht="33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8"/>
      <c r="M41" s="8"/>
      <c r="N41" s="8"/>
      <c r="O41" s="8"/>
      <c r="P41" s="13"/>
      <c r="Q41" s="13"/>
      <c r="R41" s="13"/>
      <c r="S41" s="13"/>
      <c r="T41" s="13"/>
      <c r="U41" s="15"/>
    </row>
    <row r="42" spans="1:21" ht="33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8">F40*F41/10</f>
        <v>0</v>
      </c>
      <c r="G42" s="188">
        <f t="shared" si="18"/>
        <v>0</v>
      </c>
      <c r="H42" s="181">
        <f t="shared" si="2"/>
        <v>0</v>
      </c>
      <c r="I42" s="186"/>
      <c r="J42" s="13"/>
      <c r="K42" s="8"/>
      <c r="L42" s="8"/>
      <c r="M42" s="8"/>
      <c r="N42" s="8"/>
      <c r="O42" s="8"/>
      <c r="P42" s="13"/>
      <c r="Q42" s="13"/>
      <c r="R42" s="13"/>
      <c r="S42" s="13"/>
      <c r="T42" s="13"/>
      <c r="U42" s="15"/>
    </row>
    <row r="43" spans="1:21" ht="33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26"/>
      <c r="L43" s="105"/>
      <c r="M43" s="105"/>
      <c r="N43" s="105"/>
      <c r="O43" s="105"/>
    </row>
    <row r="44" spans="1:21" ht="33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14"/>
      <c r="L44" s="19"/>
      <c r="M44" s="19"/>
      <c r="N44" s="19"/>
    </row>
    <row r="45" spans="1:21" ht="33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1" ht="33" customHeight="1" x14ac:dyDescent="0.25">
      <c r="A46" s="2">
        <v>5</v>
      </c>
      <c r="B46" s="225" t="s">
        <v>30</v>
      </c>
      <c r="C46" s="2" t="s">
        <v>4</v>
      </c>
      <c r="D46" s="181">
        <f>D47+D55+D64</f>
        <v>94.46</v>
      </c>
      <c r="E46" s="181">
        <f t="shared" ref="E46:G46" si="20">E47+E55+E64</f>
        <v>104.96</v>
      </c>
      <c r="F46" s="181">
        <f t="shared" si="20"/>
        <v>93.96</v>
      </c>
      <c r="G46" s="181">
        <f t="shared" si="20"/>
        <v>93.96</v>
      </c>
      <c r="H46" s="181">
        <f t="shared" si="2"/>
        <v>89.519817073170728</v>
      </c>
      <c r="I46" s="181"/>
      <c r="J46" s="19"/>
      <c r="K46" s="19"/>
      <c r="L46" s="19"/>
      <c r="M46" s="19"/>
      <c r="N46" s="19"/>
    </row>
    <row r="47" spans="1:21" ht="33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90.86</v>
      </c>
      <c r="E47" s="181">
        <f t="shared" ref="E47:G47" si="21">E48+E49</f>
        <v>100.86</v>
      </c>
      <c r="F47" s="181">
        <f t="shared" si="21"/>
        <v>90.86</v>
      </c>
      <c r="G47" s="181">
        <f t="shared" si="21"/>
        <v>90.86</v>
      </c>
      <c r="H47" s="181">
        <f t="shared" si="2"/>
        <v>90.085266706325598</v>
      </c>
      <c r="I47" s="181"/>
      <c r="J47" s="19"/>
      <c r="K47" s="19"/>
      <c r="L47" s="19"/>
      <c r="M47" s="19"/>
      <c r="N47" s="19"/>
    </row>
    <row r="48" spans="1:21" ht="33" customHeight="1" x14ac:dyDescent="0.25">
      <c r="A48" s="5" t="s">
        <v>22</v>
      </c>
      <c r="B48" s="273" t="s">
        <v>117</v>
      </c>
      <c r="C48" s="274" t="s">
        <v>4</v>
      </c>
      <c r="D48" s="186">
        <v>90</v>
      </c>
      <c r="E48" s="186">
        <f>D48+D49</f>
        <v>90.86</v>
      </c>
      <c r="F48" s="186">
        <v>90.86</v>
      </c>
      <c r="G48" s="186">
        <v>90.86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</row>
    <row r="49" spans="1:19" s="23" customFormat="1" ht="33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0.86</v>
      </c>
      <c r="E49" s="181">
        <f t="shared" ref="E49:G49" si="22">E50+E51</f>
        <v>10</v>
      </c>
      <c r="F49" s="181">
        <f t="shared" si="22"/>
        <v>0</v>
      </c>
      <c r="G49" s="181">
        <f t="shared" si="22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9" ht="33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10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3"/>
      <c r="L50" s="13"/>
      <c r="M50" s="13"/>
      <c r="N50" s="13"/>
      <c r="O50" s="14"/>
    </row>
    <row r="51" spans="1:19" ht="33" customHeight="1" x14ac:dyDescent="0.25">
      <c r="A51" s="274" t="s">
        <v>16</v>
      </c>
      <c r="B51" s="276" t="s">
        <v>33</v>
      </c>
      <c r="C51" s="4" t="s">
        <v>4</v>
      </c>
      <c r="D51" s="186">
        <v>0.86</v>
      </c>
      <c r="E51" s="186"/>
      <c r="F51" s="186"/>
      <c r="G51" s="186"/>
      <c r="H51" s="181"/>
      <c r="I51" s="186"/>
      <c r="J51" s="19"/>
      <c r="K51" s="19"/>
      <c r="L51" s="19"/>
      <c r="M51" s="19"/>
      <c r="N51" s="19"/>
    </row>
    <row r="52" spans="1:19" s="23" customFormat="1" ht="33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48.5</v>
      </c>
      <c r="E52" s="181">
        <f t="shared" ref="E52:G52" si="23">E53+E54</f>
        <v>76.5</v>
      </c>
      <c r="F52" s="181">
        <f t="shared" si="23"/>
        <v>76.5</v>
      </c>
      <c r="G52" s="181">
        <f t="shared" si="23"/>
        <v>76.5</v>
      </c>
      <c r="H52" s="181">
        <f t="shared" si="2"/>
        <v>100</v>
      </c>
      <c r="I52" s="181"/>
      <c r="J52" s="103"/>
      <c r="K52" s="103"/>
      <c r="L52" s="103"/>
      <c r="M52" s="103"/>
      <c r="N52" s="103"/>
    </row>
    <row r="53" spans="1:19" ht="33" customHeight="1" x14ac:dyDescent="0.25">
      <c r="A53" s="277" t="s">
        <v>16</v>
      </c>
      <c r="B53" s="276" t="s">
        <v>119</v>
      </c>
      <c r="C53" s="4" t="s">
        <v>4</v>
      </c>
      <c r="D53" s="186">
        <v>43.5</v>
      </c>
      <c r="E53" s="186">
        <f>D48*85%</f>
        <v>76.5</v>
      </c>
      <c r="F53" s="186">
        <v>76.5</v>
      </c>
      <c r="G53" s="186">
        <v>76.5</v>
      </c>
      <c r="H53" s="186">
        <f t="shared" si="2"/>
        <v>100</v>
      </c>
      <c r="I53" s="186"/>
      <c r="J53" s="19"/>
      <c r="K53" s="19"/>
      <c r="L53" s="114"/>
      <c r="M53" s="19"/>
      <c r="N53" s="19"/>
    </row>
    <row r="54" spans="1:19" ht="33" customHeight="1" x14ac:dyDescent="0.25">
      <c r="A54" s="4"/>
      <c r="B54" s="276" t="s">
        <v>120</v>
      </c>
      <c r="C54" s="4" t="s">
        <v>4</v>
      </c>
      <c r="D54" s="186">
        <v>5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9" ht="33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3.6</v>
      </c>
      <c r="E55" s="181">
        <f t="shared" ref="E55:G55" si="24">E56+E57</f>
        <v>4.0999999999999996</v>
      </c>
      <c r="F55" s="181">
        <f t="shared" si="24"/>
        <v>3.1</v>
      </c>
      <c r="G55" s="181">
        <f t="shared" si="24"/>
        <v>3.1</v>
      </c>
      <c r="H55" s="181">
        <f t="shared" si="2"/>
        <v>75.609756097560989</v>
      </c>
      <c r="I55" s="181"/>
      <c r="J55" s="19"/>
      <c r="K55" s="19"/>
      <c r="L55" s="19"/>
      <c r="M55" s="19"/>
      <c r="N55" s="19"/>
    </row>
    <row r="56" spans="1:19" ht="33" customHeight="1" x14ac:dyDescent="0.25">
      <c r="A56" s="4" t="s">
        <v>22</v>
      </c>
      <c r="B56" s="273" t="s">
        <v>118</v>
      </c>
      <c r="C56" s="4" t="s">
        <v>4</v>
      </c>
      <c r="D56" s="186">
        <v>2.5</v>
      </c>
      <c r="E56" s="186">
        <f>D56+E58</f>
        <v>3.1</v>
      </c>
      <c r="F56" s="186">
        <v>3.1</v>
      </c>
      <c r="G56" s="186">
        <v>3.1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9" ht="33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1.1000000000000001</v>
      </c>
      <c r="E57" s="186">
        <f t="shared" ref="E57:G57" si="25">E58+E61</f>
        <v>1</v>
      </c>
      <c r="F57" s="186">
        <f t="shared" si="25"/>
        <v>0</v>
      </c>
      <c r="G57" s="186">
        <f t="shared" si="25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9" s="41" customFormat="1" ht="33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>E59+E60</f>
        <v>0.6</v>
      </c>
      <c r="F58" s="189">
        <f t="shared" ref="F58:G58" si="26">F59+F60</f>
        <v>0</v>
      </c>
      <c r="G58" s="189">
        <f t="shared" si="26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  <c r="R58" s="48"/>
      <c r="S58" s="48"/>
    </row>
    <row r="59" spans="1:19" ht="33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0.3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24"/>
      <c r="L59" s="6"/>
      <c r="M59" s="6"/>
      <c r="N59" s="6"/>
      <c r="O59" s="6"/>
      <c r="P59" s="30"/>
      <c r="Q59" s="30"/>
      <c r="R59" s="30"/>
      <c r="S59" s="30"/>
    </row>
    <row r="60" spans="1:19" ht="33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0.3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24"/>
      <c r="L60" s="6"/>
      <c r="M60" s="6"/>
      <c r="N60" s="6"/>
      <c r="O60" s="6"/>
      <c r="P60" s="30"/>
      <c r="Q60" s="30"/>
      <c r="R60" s="30"/>
      <c r="S60" s="30"/>
    </row>
    <row r="61" spans="1:19" s="41" customFormat="1" ht="33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1.1000000000000001</v>
      </c>
      <c r="E61" s="189">
        <f t="shared" ref="E61:G61" si="27">E62+E63</f>
        <v>0.4</v>
      </c>
      <c r="F61" s="189">
        <f t="shared" si="27"/>
        <v>0</v>
      </c>
      <c r="G61" s="189">
        <f t="shared" si="27"/>
        <v>0</v>
      </c>
      <c r="H61" s="181">
        <f t="shared" si="2"/>
        <v>0</v>
      </c>
      <c r="I61" s="189"/>
      <c r="J61" s="104"/>
      <c r="K61" s="34"/>
      <c r="L61" s="34"/>
      <c r="M61" s="34"/>
      <c r="N61" s="34"/>
      <c r="O61" s="51"/>
      <c r="P61" s="48"/>
      <c r="Q61" s="48"/>
      <c r="R61" s="48"/>
      <c r="S61" s="48"/>
    </row>
    <row r="62" spans="1:19" ht="33" customHeight="1" x14ac:dyDescent="0.25">
      <c r="A62" s="4" t="s">
        <v>16</v>
      </c>
      <c r="B62" s="273" t="s">
        <v>124</v>
      </c>
      <c r="C62" s="4" t="s">
        <v>4</v>
      </c>
      <c r="D62" s="186">
        <f>1.5-0.4</f>
        <v>1.1000000000000001</v>
      </c>
      <c r="E62" s="186">
        <v>0.3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24"/>
      <c r="L62" s="6"/>
      <c r="M62" s="6"/>
      <c r="N62" s="6"/>
      <c r="O62" s="6"/>
      <c r="P62" s="30"/>
      <c r="Q62" s="30"/>
      <c r="R62" s="30"/>
      <c r="S62" s="30"/>
    </row>
    <row r="63" spans="1:19" ht="33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24"/>
      <c r="L63" s="6"/>
      <c r="M63" s="6"/>
      <c r="N63" s="6"/>
      <c r="O63" s="6"/>
      <c r="P63" s="30"/>
      <c r="Q63" s="30"/>
      <c r="R63" s="30"/>
      <c r="S63" s="30"/>
    </row>
    <row r="64" spans="1:19" ht="33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8">E65+E66</f>
        <v>0</v>
      </c>
      <c r="F64" s="181">
        <f t="shared" si="28"/>
        <v>0</v>
      </c>
      <c r="G64" s="181">
        <f t="shared" si="28"/>
        <v>0</v>
      </c>
      <c r="H64" s="181"/>
      <c r="I64" s="181"/>
      <c r="J64" s="104"/>
      <c r="K64" s="47"/>
      <c r="L64" s="47"/>
      <c r="M64" s="47"/>
      <c r="N64" s="47"/>
      <c r="O64" s="30"/>
      <c r="P64" s="30"/>
      <c r="Q64" s="30"/>
      <c r="R64" s="30"/>
      <c r="S64" s="30"/>
    </row>
    <row r="65" spans="1:19" ht="33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04"/>
      <c r="K65" s="47"/>
      <c r="L65" s="47"/>
      <c r="M65" s="47"/>
      <c r="N65" s="47"/>
      <c r="O65" s="30"/>
      <c r="P65" s="30"/>
      <c r="Q65" s="30"/>
      <c r="R65" s="30"/>
      <c r="S65" s="30"/>
    </row>
    <row r="66" spans="1:19" ht="33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47"/>
      <c r="L66" s="47"/>
      <c r="M66" s="47"/>
      <c r="N66" s="47"/>
      <c r="O66" s="30"/>
      <c r="P66" s="30"/>
      <c r="Q66" s="30"/>
      <c r="R66" s="30"/>
      <c r="S66" s="30"/>
    </row>
    <row r="67" spans="1:19" ht="33" customHeight="1" x14ac:dyDescent="0.25">
      <c r="A67" s="2">
        <v>6</v>
      </c>
      <c r="B67" s="225" t="s">
        <v>36</v>
      </c>
      <c r="C67" s="2" t="s">
        <v>4</v>
      </c>
      <c r="D67" s="181">
        <f>D68+D71</f>
        <v>15.690000000000001</v>
      </c>
      <c r="E67" s="181">
        <f t="shared" ref="E67:G67" si="29">E68+E71</f>
        <v>13.88</v>
      </c>
      <c r="F67" s="181">
        <f t="shared" si="29"/>
        <v>13.69</v>
      </c>
      <c r="G67" s="181">
        <f t="shared" si="29"/>
        <v>13.69</v>
      </c>
      <c r="H67" s="181">
        <f t="shared" si="2"/>
        <v>98.631123919308351</v>
      </c>
      <c r="I67" s="181"/>
      <c r="J67" s="19"/>
      <c r="K67" s="47"/>
      <c r="L67" s="47"/>
      <c r="M67" s="47"/>
      <c r="N67" s="47"/>
      <c r="O67" s="30"/>
      <c r="P67" s="30"/>
      <c r="Q67" s="30"/>
      <c r="R67" s="30"/>
      <c r="S67" s="30"/>
    </row>
    <row r="68" spans="1:19" ht="33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0">E69+E70</f>
        <v>0</v>
      </c>
      <c r="F68" s="181">
        <f t="shared" si="30"/>
        <v>0</v>
      </c>
      <c r="G68" s="181">
        <f t="shared" si="30"/>
        <v>0</v>
      </c>
      <c r="H68" s="181"/>
      <c r="I68" s="181"/>
      <c r="J68" s="19"/>
      <c r="K68" s="47"/>
      <c r="L68" s="47"/>
      <c r="M68" s="47"/>
      <c r="N68" s="47"/>
      <c r="O68" s="30"/>
      <c r="P68" s="30"/>
      <c r="Q68" s="30"/>
      <c r="R68" s="30"/>
      <c r="S68" s="30"/>
    </row>
    <row r="69" spans="1:19" ht="33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47"/>
      <c r="L69" s="47"/>
      <c r="M69" s="47"/>
      <c r="N69" s="47"/>
      <c r="O69" s="30"/>
      <c r="P69" s="30"/>
      <c r="Q69" s="30"/>
      <c r="R69" s="30"/>
      <c r="S69" s="30"/>
    </row>
    <row r="70" spans="1:19" ht="33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1"/>
      <c r="I70" s="186"/>
      <c r="J70" s="19"/>
      <c r="K70" s="47"/>
      <c r="L70" s="47"/>
      <c r="M70" s="47"/>
      <c r="N70" s="47"/>
      <c r="O70" s="30"/>
      <c r="P70" s="30"/>
      <c r="Q70" s="30"/>
      <c r="R70" s="30"/>
      <c r="S70" s="30"/>
    </row>
    <row r="71" spans="1:19" ht="33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15.690000000000001</v>
      </c>
      <c r="E71" s="181">
        <f t="shared" ref="E71:G71" si="31">E72+E73</f>
        <v>13.88</v>
      </c>
      <c r="F71" s="181">
        <f t="shared" si="31"/>
        <v>13.69</v>
      </c>
      <c r="G71" s="181">
        <f t="shared" si="31"/>
        <v>13.69</v>
      </c>
      <c r="H71" s="181">
        <f t="shared" si="2"/>
        <v>98.631123919308351</v>
      </c>
      <c r="I71" s="181"/>
      <c r="J71" s="19"/>
      <c r="K71" s="47"/>
      <c r="L71" s="47"/>
      <c r="M71" s="47"/>
      <c r="N71" s="47"/>
      <c r="O71" s="30"/>
      <c r="P71" s="30"/>
      <c r="Q71" s="30"/>
      <c r="R71" s="30"/>
      <c r="S71" s="30"/>
    </row>
    <row r="72" spans="1:19" ht="33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15.190000000000001</v>
      </c>
      <c r="E72" s="192">
        <f t="shared" ref="E72:G73" si="32">E75+E82</f>
        <v>13.690000000000001</v>
      </c>
      <c r="F72" s="192">
        <f t="shared" si="32"/>
        <v>13.69</v>
      </c>
      <c r="G72" s="192">
        <f t="shared" si="32"/>
        <v>13.69</v>
      </c>
      <c r="H72" s="181">
        <f t="shared" si="2"/>
        <v>99.999999999999986</v>
      </c>
      <c r="I72" s="192"/>
      <c r="J72" s="19"/>
      <c r="K72" s="47"/>
      <c r="L72" s="47"/>
      <c r="M72" s="47"/>
      <c r="N72" s="47"/>
      <c r="O72" s="30"/>
      <c r="P72" s="30"/>
      <c r="Q72" s="30"/>
      <c r="R72" s="30"/>
      <c r="S72" s="30"/>
    </row>
    <row r="73" spans="1:19" ht="33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si="32"/>
        <v>0.19</v>
      </c>
      <c r="F73" s="181">
        <f t="shared" si="32"/>
        <v>0</v>
      </c>
      <c r="G73" s="181">
        <f t="shared" si="32"/>
        <v>0</v>
      </c>
      <c r="H73" s="181">
        <f t="shared" si="2"/>
        <v>0</v>
      </c>
      <c r="I73" s="181"/>
      <c r="J73" s="103"/>
      <c r="K73" s="118"/>
      <c r="L73" s="118"/>
      <c r="M73" s="118"/>
      <c r="N73" s="118"/>
      <c r="O73" s="30"/>
      <c r="P73" s="30"/>
      <c r="Q73" s="30"/>
      <c r="R73" s="30"/>
      <c r="S73" s="30"/>
    </row>
    <row r="74" spans="1:19" ht="33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11.16</v>
      </c>
      <c r="E74" s="194">
        <f t="shared" ref="E74:G74" si="33">E75+E76</f>
        <v>10.16</v>
      </c>
      <c r="F74" s="194">
        <f t="shared" si="33"/>
        <v>10.16</v>
      </c>
      <c r="G74" s="194">
        <f t="shared" si="33"/>
        <v>10.16</v>
      </c>
      <c r="H74" s="203">
        <f t="shared" ref="H74:H93" si="34">F74/E74*100</f>
        <v>100</v>
      </c>
      <c r="I74" s="194"/>
      <c r="J74" s="36"/>
      <c r="K74" s="119"/>
      <c r="L74" s="42"/>
      <c r="M74" s="42"/>
      <c r="N74" s="42"/>
      <c r="O74" s="42"/>
      <c r="P74" s="42"/>
      <c r="Q74" s="42"/>
      <c r="R74" s="30"/>
      <c r="S74" s="30"/>
    </row>
    <row r="75" spans="1:19" ht="33" customHeight="1" x14ac:dyDescent="0.25">
      <c r="A75" s="5" t="s">
        <v>22</v>
      </c>
      <c r="B75" s="281" t="s">
        <v>117</v>
      </c>
      <c r="C75" s="4" t="s">
        <v>4</v>
      </c>
      <c r="D75" s="196">
        <v>11.16</v>
      </c>
      <c r="E75" s="196">
        <v>10.16</v>
      </c>
      <c r="F75" s="186">
        <v>10.16</v>
      </c>
      <c r="G75" s="186">
        <v>10.16</v>
      </c>
      <c r="H75" s="186">
        <f t="shared" si="34"/>
        <v>100</v>
      </c>
      <c r="I75" s="186"/>
      <c r="J75" s="19"/>
      <c r="K75" s="47"/>
      <c r="L75" s="24"/>
      <c r="M75" s="24"/>
      <c r="N75" s="24"/>
      <c r="O75" s="39"/>
      <c r="P75" s="39"/>
      <c r="Q75" s="39"/>
      <c r="R75" s="30"/>
      <c r="S75" s="30"/>
    </row>
    <row r="76" spans="1:19" ht="33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>SUM(E77:E80)</f>
        <v>0</v>
      </c>
      <c r="F76" s="197">
        <f t="shared" ref="F76:G76" si="35">SUM(F77:F80)</f>
        <v>0</v>
      </c>
      <c r="G76" s="197">
        <f t="shared" si="35"/>
        <v>0</v>
      </c>
      <c r="H76" s="181"/>
      <c r="I76" s="197"/>
      <c r="J76" s="107"/>
      <c r="K76" s="108"/>
      <c r="L76" s="34"/>
      <c r="M76" s="34"/>
      <c r="N76" s="34"/>
      <c r="O76" s="39"/>
      <c r="P76" s="39"/>
      <c r="Q76" s="39"/>
      <c r="R76" s="30"/>
      <c r="S76" s="30"/>
    </row>
    <row r="77" spans="1:19" ht="33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8"/>
      <c r="L77" s="34"/>
      <c r="M77" s="120"/>
      <c r="N77" s="120"/>
      <c r="O77" s="39"/>
      <c r="P77" s="49"/>
      <c r="Q77" s="49"/>
      <c r="R77" s="30"/>
      <c r="S77" s="30"/>
    </row>
    <row r="78" spans="1:19" ht="33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8"/>
      <c r="L78" s="34"/>
      <c r="M78" s="34"/>
      <c r="N78" s="34"/>
      <c r="O78" s="39"/>
      <c r="P78" s="39"/>
      <c r="Q78" s="39"/>
      <c r="R78" s="30"/>
      <c r="S78" s="30"/>
    </row>
    <row r="79" spans="1:19" ht="33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8"/>
      <c r="L79" s="34"/>
      <c r="M79" s="34"/>
      <c r="N79" s="34"/>
      <c r="O79" s="39"/>
      <c r="P79" s="39"/>
      <c r="Q79" s="39"/>
      <c r="R79" s="30"/>
      <c r="S79" s="30"/>
    </row>
    <row r="80" spans="1:19" ht="33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1"/>
      <c r="I80" s="186"/>
      <c r="J80" s="107"/>
      <c r="K80" s="108"/>
      <c r="L80" s="34"/>
      <c r="M80" s="34"/>
      <c r="N80" s="34"/>
      <c r="O80" s="39"/>
      <c r="P80" s="39"/>
      <c r="Q80" s="39"/>
      <c r="R80" s="30"/>
      <c r="S80" s="30"/>
    </row>
    <row r="81" spans="1:20" s="44" customFormat="1" ht="33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4.53</v>
      </c>
      <c r="E81" s="194">
        <f t="shared" ref="E81:G81" si="36">E82+E83</f>
        <v>3.72</v>
      </c>
      <c r="F81" s="194">
        <f t="shared" si="36"/>
        <v>3.53</v>
      </c>
      <c r="G81" s="194">
        <f t="shared" si="36"/>
        <v>3.53</v>
      </c>
      <c r="H81" s="203">
        <f t="shared" si="34"/>
        <v>94.892473118279568</v>
      </c>
      <c r="I81" s="194"/>
      <c r="J81" s="36"/>
      <c r="K81" s="119"/>
      <c r="L81" s="42"/>
      <c r="M81" s="42"/>
      <c r="N81" s="42"/>
      <c r="O81" s="42"/>
      <c r="P81" s="42"/>
      <c r="Q81" s="42"/>
      <c r="R81" s="50"/>
      <c r="S81" s="50"/>
    </row>
    <row r="82" spans="1:20" s="41" customFormat="1" ht="33" customHeight="1" x14ac:dyDescent="0.25">
      <c r="A82" s="282" t="s">
        <v>16</v>
      </c>
      <c r="B82" s="283" t="s">
        <v>109</v>
      </c>
      <c r="C82" s="3" t="s">
        <v>4</v>
      </c>
      <c r="D82" s="189">
        <v>4.03</v>
      </c>
      <c r="E82" s="189">
        <f>D82+D83-1</f>
        <v>3.5300000000000002</v>
      </c>
      <c r="F82" s="189">
        <v>3.53</v>
      </c>
      <c r="G82" s="189">
        <v>3.53</v>
      </c>
      <c r="H82" s="189">
        <f t="shared" si="34"/>
        <v>99.999999999999986</v>
      </c>
      <c r="I82" s="189"/>
      <c r="J82" s="107"/>
      <c r="K82" s="108"/>
      <c r="L82" s="34"/>
      <c r="M82" s="34"/>
      <c r="N82" s="34"/>
      <c r="O82" s="51"/>
      <c r="P82" s="51"/>
      <c r="Q82" s="51"/>
      <c r="R82" s="48"/>
      <c r="S82" s="48"/>
    </row>
    <row r="83" spans="1:20" ht="33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7">SUM(D84:D87)</f>
        <v>0.5</v>
      </c>
      <c r="E83" s="196">
        <f>SUM(E84:E87)</f>
        <v>0.19</v>
      </c>
      <c r="F83" s="196">
        <f t="shared" ref="F83:G83" si="38">SUM(F84:F87)</f>
        <v>0</v>
      </c>
      <c r="G83" s="196">
        <f t="shared" si="38"/>
        <v>0</v>
      </c>
      <c r="H83" s="181">
        <f t="shared" si="34"/>
        <v>0</v>
      </c>
      <c r="I83" s="196"/>
      <c r="J83" s="107"/>
      <c r="K83" s="108"/>
      <c r="L83" s="108"/>
      <c r="M83" s="108"/>
      <c r="N83" s="108"/>
      <c r="O83" s="30"/>
      <c r="P83" s="30"/>
      <c r="Q83" s="30"/>
      <c r="R83" s="30"/>
      <c r="S83" s="30"/>
    </row>
    <row r="84" spans="1:20" ht="33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34"/>
      <c r="L84" s="34"/>
      <c r="M84" s="34"/>
      <c r="N84" s="34"/>
      <c r="O84" s="30"/>
      <c r="P84" s="30"/>
      <c r="Q84" s="30"/>
      <c r="R84" s="30"/>
      <c r="S84" s="30"/>
    </row>
    <row r="85" spans="1:20" ht="33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34"/>
      <c r="L85" s="34"/>
      <c r="M85" s="34"/>
      <c r="N85" s="34"/>
      <c r="O85" s="30"/>
      <c r="P85" s="30"/>
      <c r="Q85" s="30"/>
      <c r="R85" s="30"/>
      <c r="S85" s="30"/>
    </row>
    <row r="86" spans="1:20" ht="33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34"/>
      <c r="L86" s="34"/>
      <c r="M86" s="34"/>
      <c r="N86" s="39"/>
      <c r="O86" s="39"/>
      <c r="P86" s="39"/>
      <c r="Q86" s="39"/>
      <c r="R86" s="30"/>
      <c r="S86" s="30"/>
    </row>
    <row r="87" spans="1:20" ht="33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0.19</v>
      </c>
      <c r="F87" s="186">
        <v>0</v>
      </c>
      <c r="G87" s="186">
        <v>0</v>
      </c>
      <c r="H87" s="181">
        <f t="shared" si="34"/>
        <v>0</v>
      </c>
      <c r="I87" s="186"/>
      <c r="J87" s="109"/>
      <c r="K87" s="34"/>
      <c r="L87" s="34"/>
      <c r="M87" s="120"/>
      <c r="N87" s="120"/>
      <c r="O87" s="49"/>
      <c r="P87" s="49"/>
      <c r="Q87" s="49"/>
      <c r="R87" s="49"/>
      <c r="S87" s="49"/>
      <c r="T87" s="18"/>
    </row>
    <row r="88" spans="1:20" ht="33" customHeight="1" x14ac:dyDescent="0.25">
      <c r="A88" s="2" t="s">
        <v>42</v>
      </c>
      <c r="B88" s="224" t="s">
        <v>43</v>
      </c>
      <c r="C88" s="2"/>
      <c r="D88" s="181">
        <f>SUM(D89:D93)</f>
        <v>467</v>
      </c>
      <c r="E88" s="181">
        <f t="shared" ref="E88:G88" si="39">SUM(E89:E93)</f>
        <v>407</v>
      </c>
      <c r="F88" s="181">
        <f t="shared" si="39"/>
        <v>342</v>
      </c>
      <c r="G88" s="181">
        <f t="shared" si="39"/>
        <v>342</v>
      </c>
      <c r="H88" s="181">
        <f t="shared" si="34"/>
        <v>84.029484029484024</v>
      </c>
      <c r="I88" s="181"/>
      <c r="J88" s="20"/>
      <c r="K88" s="24"/>
      <c r="L88" s="28"/>
      <c r="M88" s="28"/>
      <c r="N88" s="24"/>
      <c r="O88" s="30"/>
      <c r="P88" s="30"/>
      <c r="Q88" s="30"/>
      <c r="R88" s="30"/>
      <c r="S88" s="30"/>
    </row>
    <row r="89" spans="1:20" s="84" customFormat="1" ht="33" customHeight="1" x14ac:dyDescent="0.25">
      <c r="A89" s="4">
        <v>1</v>
      </c>
      <c r="B89" s="227" t="s">
        <v>44</v>
      </c>
      <c r="C89" s="4" t="s">
        <v>6</v>
      </c>
      <c r="D89" s="186">
        <v>42</v>
      </c>
      <c r="E89" s="186">
        <v>0</v>
      </c>
      <c r="F89" s="186">
        <v>0</v>
      </c>
      <c r="G89" s="186">
        <v>0</v>
      </c>
      <c r="H89" s="181"/>
      <c r="I89" s="186"/>
      <c r="J89" s="20"/>
      <c r="K89" s="8"/>
      <c r="L89" s="208"/>
      <c r="M89" s="209"/>
      <c r="N89" s="121"/>
      <c r="O89" s="92"/>
      <c r="P89" s="92"/>
      <c r="Q89" s="92"/>
      <c r="R89" s="92"/>
      <c r="S89" s="92"/>
    </row>
    <row r="90" spans="1:20" s="84" customFormat="1" ht="33" customHeight="1" x14ac:dyDescent="0.25">
      <c r="A90" s="4">
        <v>2</v>
      </c>
      <c r="B90" s="227" t="s">
        <v>45</v>
      </c>
      <c r="C90" s="4" t="s">
        <v>6</v>
      </c>
      <c r="D90" s="186">
        <v>70</v>
      </c>
      <c r="E90" s="186">
        <f>69+11</f>
        <v>80</v>
      </c>
      <c r="F90" s="186">
        <v>76</v>
      </c>
      <c r="G90" s="186">
        <f>F90</f>
        <v>76</v>
      </c>
      <c r="H90" s="186">
        <f t="shared" si="34"/>
        <v>95</v>
      </c>
      <c r="I90" s="186"/>
      <c r="J90" s="112"/>
      <c r="K90" s="105"/>
      <c r="L90" s="208"/>
      <c r="M90" s="209"/>
      <c r="N90" s="121"/>
      <c r="O90" s="92"/>
      <c r="P90" s="92"/>
      <c r="Q90" s="92"/>
      <c r="R90" s="92"/>
      <c r="S90" s="92"/>
    </row>
    <row r="91" spans="1:20" s="84" customFormat="1" ht="33" customHeight="1" x14ac:dyDescent="0.25">
      <c r="A91" s="4">
        <v>3</v>
      </c>
      <c r="B91" s="227" t="s">
        <v>46</v>
      </c>
      <c r="C91" s="4" t="s">
        <v>6</v>
      </c>
      <c r="D91" s="186">
        <v>40</v>
      </c>
      <c r="E91" s="186">
        <f>40+12</f>
        <v>52</v>
      </c>
      <c r="F91" s="186">
        <v>48</v>
      </c>
      <c r="G91" s="186">
        <f>F91</f>
        <v>48</v>
      </c>
      <c r="H91" s="186">
        <f t="shared" si="34"/>
        <v>92.307692307692307</v>
      </c>
      <c r="I91" s="186"/>
      <c r="J91" s="112"/>
      <c r="K91" s="105"/>
      <c r="L91" s="208"/>
      <c r="M91" s="209"/>
      <c r="N91" s="121"/>
      <c r="O91" s="92"/>
      <c r="P91" s="92"/>
      <c r="Q91" s="92"/>
      <c r="R91" s="92"/>
      <c r="S91" s="92"/>
    </row>
    <row r="92" spans="1:20" s="84" customFormat="1" ht="33" customHeight="1" x14ac:dyDescent="0.25">
      <c r="A92" s="4">
        <v>4</v>
      </c>
      <c r="B92" s="227" t="s">
        <v>47</v>
      </c>
      <c r="C92" s="4" t="s">
        <v>6</v>
      </c>
      <c r="D92" s="186">
        <v>8</v>
      </c>
      <c r="E92" s="186">
        <f>10+3</f>
        <v>13</v>
      </c>
      <c r="F92" s="186">
        <v>11</v>
      </c>
      <c r="G92" s="186">
        <f>F92</f>
        <v>11</v>
      </c>
      <c r="H92" s="186">
        <f t="shared" si="34"/>
        <v>84.615384615384613</v>
      </c>
      <c r="I92" s="186"/>
      <c r="J92" s="112"/>
      <c r="K92" s="105"/>
      <c r="L92" s="210"/>
      <c r="M92" s="209"/>
      <c r="N92" s="121"/>
      <c r="O92" s="92"/>
      <c r="P92" s="92"/>
      <c r="Q92" s="92"/>
      <c r="R92" s="92"/>
      <c r="S92" s="92"/>
    </row>
    <row r="93" spans="1:20" s="84" customFormat="1" ht="33" customHeight="1" x14ac:dyDescent="0.25">
      <c r="A93" s="4">
        <v>5</v>
      </c>
      <c r="B93" s="227" t="s">
        <v>48</v>
      </c>
      <c r="C93" s="4" t="s">
        <v>6</v>
      </c>
      <c r="D93" s="186">
        <v>307</v>
      </c>
      <c r="E93" s="186">
        <f>290-28</f>
        <v>262</v>
      </c>
      <c r="F93" s="186">
        <v>207</v>
      </c>
      <c r="G93" s="186">
        <f>F93</f>
        <v>207</v>
      </c>
      <c r="H93" s="186">
        <f t="shared" si="34"/>
        <v>79.007633587786259</v>
      </c>
      <c r="I93" s="186"/>
      <c r="J93" s="157"/>
      <c r="K93" s="105"/>
      <c r="L93" s="210"/>
      <c r="M93" s="209"/>
      <c r="N93" s="121"/>
      <c r="O93" s="92"/>
      <c r="P93" s="92"/>
      <c r="Q93" s="92"/>
      <c r="R93" s="92"/>
      <c r="S93" s="92"/>
    </row>
    <row r="94" spans="1:20" s="23" customFormat="1" ht="33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>E95</f>
        <v>0</v>
      </c>
      <c r="F94" s="181">
        <f t="shared" ref="F94:G94" si="40">F95</f>
        <v>0</v>
      </c>
      <c r="G94" s="181">
        <f t="shared" si="40"/>
        <v>0</v>
      </c>
      <c r="H94" s="181"/>
      <c r="I94" s="181"/>
      <c r="J94" s="211"/>
      <c r="K94" s="90"/>
      <c r="L94" s="21"/>
      <c r="M94" s="21"/>
      <c r="N94" s="21"/>
      <c r="O94" s="35"/>
      <c r="P94" s="35"/>
      <c r="Q94" s="35"/>
      <c r="R94" s="35"/>
      <c r="S94" s="35"/>
    </row>
    <row r="95" spans="1:20" ht="33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1"/>
      <c r="I95" s="186"/>
      <c r="J95" s="20"/>
      <c r="K95" s="20"/>
      <c r="L95" s="20"/>
      <c r="M95" s="20"/>
      <c r="N95" s="20"/>
    </row>
    <row r="96" spans="1:20" ht="33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1">E97+E98</f>
        <v>0</v>
      </c>
      <c r="F96" s="181">
        <f t="shared" si="41"/>
        <v>0</v>
      </c>
      <c r="G96" s="181">
        <f t="shared" si="41"/>
        <v>0</v>
      </c>
      <c r="H96" s="181"/>
      <c r="I96" s="181"/>
      <c r="J96" s="20"/>
      <c r="K96" s="20"/>
      <c r="L96" s="20"/>
      <c r="M96" s="20"/>
      <c r="N96" s="20"/>
    </row>
    <row r="97" spans="1:14" ht="33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3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1"/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43307086614173229" bottom="0.31496062992125984" header="0" footer="0"/>
  <pageSetup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984"/>
  <sheetViews>
    <sheetView zoomScaleNormal="100" workbookViewId="0">
      <pane ySplit="8" topLeftCell="A34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6.5546875" style="220" customWidth="1"/>
    <col min="2" max="2" width="28.77734375" style="220" customWidth="1"/>
    <col min="3" max="3" width="9.77734375" style="220" customWidth="1"/>
    <col min="4" max="5" width="17.44140625" style="220" customWidth="1"/>
    <col min="6" max="9" width="12.6640625" style="220" customWidth="1"/>
    <col min="10" max="10" width="8.88671875" style="17" customWidth="1"/>
    <col min="11" max="11" width="21.109375" style="17" customWidth="1"/>
    <col min="12" max="14" width="8.88671875" style="17" customWidth="1"/>
    <col min="15" max="16384" width="11.21875" style="17"/>
  </cols>
  <sheetData>
    <row r="1" spans="1:20" ht="15" customHeight="1" x14ac:dyDescent="0.25">
      <c r="H1" s="422"/>
      <c r="I1" s="422"/>
    </row>
    <row r="2" spans="1:20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20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20" ht="16.5" x14ac:dyDescent="0.25">
      <c r="A4" s="418" t="s">
        <v>158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20" ht="16.5" x14ac:dyDescent="0.25">
      <c r="A5" s="430" t="str">
        <f>'KON LING(14)'!A5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20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20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57</v>
      </c>
      <c r="M7" s="19"/>
      <c r="N7" s="19"/>
    </row>
    <row r="8" spans="1:20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325</v>
      </c>
      <c r="M8" s="19"/>
      <c r="N8" s="19"/>
    </row>
    <row r="9" spans="1:20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67.59</v>
      </c>
      <c r="E9" s="181">
        <f t="shared" ref="E9:G9" si="0">E13+E28+E37+E43+E46+E67</f>
        <v>85.64</v>
      </c>
      <c r="F9" s="181">
        <f t="shared" si="0"/>
        <v>64.430000000000007</v>
      </c>
      <c r="G9" s="181">
        <f t="shared" si="0"/>
        <v>64.430000000000007</v>
      </c>
      <c r="H9" s="181">
        <f>F9/E9*100</f>
        <v>75.23353573096685</v>
      </c>
      <c r="I9" s="181"/>
      <c r="J9" s="103"/>
      <c r="K9" s="103"/>
      <c r="L9" s="103"/>
      <c r="M9" s="103"/>
      <c r="N9" s="103"/>
    </row>
    <row r="10" spans="1:20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14.05</v>
      </c>
      <c r="F10" s="181">
        <f t="shared" si="1"/>
        <v>2.04</v>
      </c>
      <c r="G10" s="181">
        <f t="shared" si="1"/>
        <v>2.04</v>
      </c>
      <c r="H10" s="181">
        <f t="shared" ref="H10:H73" si="2">F10/E10*100</f>
        <v>14.519572953736654</v>
      </c>
      <c r="I10" s="181"/>
      <c r="J10" s="103"/>
      <c r="K10" s="103"/>
      <c r="L10" s="103"/>
      <c r="M10" s="103"/>
      <c r="N10" s="103"/>
    </row>
    <row r="11" spans="1:20" s="23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43.016175000000004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20" s="23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39.326175000000006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03"/>
      <c r="M12" s="103"/>
      <c r="N12" s="103"/>
    </row>
    <row r="13" spans="1:20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13.05</v>
      </c>
      <c r="F13" s="181">
        <f t="shared" si="5"/>
        <v>1.04</v>
      </c>
      <c r="G13" s="181">
        <f t="shared" si="5"/>
        <v>1.04</v>
      </c>
      <c r="H13" s="181">
        <f t="shared" si="2"/>
        <v>7.969348659003832</v>
      </c>
      <c r="I13" s="181"/>
      <c r="J13" s="19"/>
      <c r="K13" s="19"/>
      <c r="L13" s="19"/>
      <c r="M13" s="19"/>
      <c r="N13" s="19"/>
    </row>
    <row r="14" spans="1:20" ht="31.9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20" ht="31.9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39.326175000000006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20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1.04</v>
      </c>
      <c r="F16" s="181">
        <v>1.04</v>
      </c>
      <c r="G16" s="181">
        <v>1.04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  <c r="S16" s="18"/>
      <c r="T16" s="18"/>
    </row>
    <row r="17" spans="1:20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  <c r="S17" s="18"/>
      <c r="T17" s="18"/>
    </row>
    <row r="18" spans="1:20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3.4840000000000004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  <c r="S18" s="18"/>
      <c r="T18" s="18"/>
    </row>
    <row r="19" spans="1:20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12.01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20"/>
      <c r="O19" s="18"/>
      <c r="P19" s="18"/>
      <c r="Q19" s="18"/>
      <c r="R19" s="18"/>
      <c r="S19" s="18"/>
      <c r="T19" s="18"/>
    </row>
    <row r="20" spans="1:20" ht="31.9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26.770000000000003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20"/>
      <c r="O20" s="18"/>
      <c r="P20" s="18"/>
      <c r="Q20" s="18"/>
      <c r="R20" s="18"/>
      <c r="S20" s="18"/>
      <c r="T20" s="18"/>
    </row>
    <row r="21" spans="1:20" ht="31.9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32.150770000000009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20"/>
      <c r="O21" s="18"/>
      <c r="P21" s="18"/>
      <c r="Q21" s="18"/>
      <c r="R21" s="18"/>
      <c r="S21" s="18"/>
      <c r="T21" s="18"/>
    </row>
    <row r="22" spans="1:20" ht="31.9" customHeight="1" x14ac:dyDescent="0.25">
      <c r="A22" s="269" t="s">
        <v>22</v>
      </c>
      <c r="B22" s="270" t="s">
        <v>23</v>
      </c>
      <c r="C22" s="269" t="s">
        <v>4</v>
      </c>
      <c r="D22" s="203"/>
      <c r="E22" s="203">
        <v>12.01</v>
      </c>
      <c r="F22" s="203">
        <v>0</v>
      </c>
      <c r="G22" s="203">
        <v>0</v>
      </c>
      <c r="H22" s="181">
        <f t="shared" si="2"/>
        <v>0</v>
      </c>
      <c r="I22" s="181"/>
      <c r="J22" s="13"/>
      <c r="K22" s="13"/>
      <c r="L22" s="13"/>
      <c r="M22" s="13"/>
      <c r="N22" s="13"/>
      <c r="O22" s="14"/>
      <c r="P22" s="14"/>
      <c r="Q22" s="14"/>
      <c r="R22" s="14"/>
      <c r="S22" s="14"/>
      <c r="T22" s="14"/>
    </row>
    <row r="23" spans="1:20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13"/>
      <c r="O23" s="14"/>
      <c r="P23" s="14"/>
      <c r="Q23" s="14"/>
      <c r="R23" s="14"/>
      <c r="S23" s="14"/>
      <c r="T23" s="14"/>
    </row>
    <row r="24" spans="1:20" ht="31.9" customHeight="1" x14ac:dyDescent="0.25">
      <c r="A24" s="269"/>
      <c r="B24" s="227" t="s">
        <v>141</v>
      </c>
      <c r="C24" s="4" t="s">
        <v>15</v>
      </c>
      <c r="D24" s="181"/>
      <c r="E24" s="186"/>
      <c r="F24" s="186"/>
      <c r="G24" s="186"/>
      <c r="H24" s="181"/>
      <c r="I24" s="186"/>
      <c r="J24" s="13"/>
      <c r="K24" s="13"/>
      <c r="L24" s="13"/>
      <c r="M24" s="13"/>
      <c r="N24" s="13"/>
      <c r="O24" s="14"/>
      <c r="P24" s="14"/>
      <c r="Q24" s="14"/>
      <c r="R24" s="14"/>
      <c r="S24" s="14"/>
      <c r="T24" s="14"/>
    </row>
    <row r="25" spans="1:20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203">
        <v>0</v>
      </c>
      <c r="F25" s="189">
        <v>0</v>
      </c>
      <c r="G25" s="189">
        <v>0</v>
      </c>
      <c r="H25" s="181"/>
      <c r="I25" s="186"/>
      <c r="J25" s="13"/>
      <c r="K25" s="13"/>
      <c r="L25" s="13"/>
      <c r="M25" s="13"/>
      <c r="N25" s="13"/>
      <c r="O25" s="14"/>
      <c r="P25" s="14"/>
      <c r="Q25" s="14"/>
      <c r="R25" s="14"/>
      <c r="S25" s="14"/>
      <c r="T25" s="14"/>
    </row>
    <row r="26" spans="1:20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>
        <f t="shared" si="2"/>
        <v>0</v>
      </c>
      <c r="I26" s="186"/>
      <c r="J26" s="13"/>
      <c r="K26" s="13"/>
      <c r="L26" s="13"/>
      <c r="M26" s="13"/>
      <c r="N26" s="13"/>
      <c r="O26" s="14"/>
      <c r="P26" s="14"/>
      <c r="Q26" s="14"/>
      <c r="R26" s="14"/>
      <c r="S26" s="14"/>
      <c r="T26" s="14"/>
    </row>
    <row r="27" spans="1:20" ht="31.9" customHeight="1" x14ac:dyDescent="0.25">
      <c r="A27" s="269"/>
      <c r="B27" s="227" t="s">
        <v>141</v>
      </c>
      <c r="C27" s="4" t="s">
        <v>15</v>
      </c>
      <c r="D27" s="181"/>
      <c r="E27" s="181"/>
      <c r="F27" s="186"/>
      <c r="G27" s="186"/>
      <c r="H27" s="181"/>
      <c r="I27" s="186"/>
      <c r="J27" s="13"/>
      <c r="K27" s="13"/>
      <c r="L27" s="13"/>
      <c r="M27" s="13"/>
      <c r="N27" s="13"/>
      <c r="O27" s="14"/>
      <c r="P27" s="14"/>
      <c r="Q27" s="14"/>
      <c r="R27" s="14"/>
      <c r="S27" s="14"/>
      <c r="T27" s="14"/>
    </row>
    <row r="28" spans="1:20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2">D31+D34</f>
        <v>1</v>
      </c>
      <c r="E28" s="181">
        <f t="shared" si="12"/>
        <v>1</v>
      </c>
      <c r="F28" s="181">
        <f t="shared" si="12"/>
        <v>1</v>
      </c>
      <c r="G28" s="181">
        <f t="shared" si="12"/>
        <v>1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  <c r="T28" s="15"/>
    </row>
    <row r="29" spans="1:20" ht="31.9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3">E35</f>
        <v>36.9</v>
      </c>
      <c r="F29" s="186">
        <f t="shared" si="13"/>
        <v>0</v>
      </c>
      <c r="G29" s="186">
        <f t="shared" si="13"/>
        <v>0</v>
      </c>
      <c r="H29" s="181">
        <f t="shared" si="2"/>
        <v>0</v>
      </c>
      <c r="I29" s="186"/>
      <c r="J29" s="16"/>
      <c r="K29" s="16"/>
      <c r="L29" s="16"/>
      <c r="M29" s="16"/>
      <c r="N29" s="16"/>
      <c r="O29" s="15"/>
      <c r="P29" s="15"/>
      <c r="Q29" s="15"/>
      <c r="R29" s="15"/>
      <c r="S29" s="15"/>
      <c r="T29" s="15"/>
    </row>
    <row r="30" spans="1:20" ht="31.9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4">E28*E29/10</f>
        <v>3.69</v>
      </c>
      <c r="F30" s="186">
        <f t="shared" si="14"/>
        <v>0</v>
      </c>
      <c r="G30" s="186">
        <f t="shared" si="14"/>
        <v>0</v>
      </c>
      <c r="H30" s="181">
        <f t="shared" si="2"/>
        <v>0</v>
      </c>
      <c r="I30" s="186"/>
      <c r="J30" s="16"/>
      <c r="K30" s="16"/>
      <c r="L30" s="16"/>
      <c r="M30" s="16"/>
      <c r="N30" s="16"/>
      <c r="O30" s="15"/>
      <c r="P30" s="15"/>
      <c r="Q30" s="15"/>
      <c r="R30" s="15"/>
      <c r="S30" s="15"/>
      <c r="T30" s="15"/>
    </row>
    <row r="31" spans="1:20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6"/>
      <c r="K31" s="6"/>
      <c r="L31" s="61"/>
      <c r="M31" s="61"/>
      <c r="N31" s="61"/>
      <c r="O31" s="61"/>
      <c r="P31" s="7"/>
      <c r="Q31" s="15"/>
      <c r="R31" s="15"/>
      <c r="S31" s="15"/>
      <c r="T31" s="15"/>
    </row>
    <row r="32" spans="1:20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6"/>
      <c r="L32" s="61"/>
      <c r="M32" s="61"/>
      <c r="N32" s="61"/>
      <c r="O32" s="61"/>
      <c r="P32" s="7"/>
      <c r="Q32" s="15"/>
      <c r="R32" s="15"/>
      <c r="S32" s="15"/>
      <c r="T32" s="15"/>
    </row>
    <row r="33" spans="1:23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6"/>
      <c r="L33" s="61"/>
      <c r="M33" s="61"/>
      <c r="N33" s="61"/>
      <c r="O33" s="61"/>
      <c r="P33" s="7"/>
      <c r="Q33" s="15"/>
      <c r="R33" s="15"/>
      <c r="S33" s="15"/>
      <c r="T33" s="15"/>
    </row>
    <row r="34" spans="1:23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6"/>
      <c r="J34" s="16"/>
      <c r="K34" s="29"/>
      <c r="L34" s="29"/>
      <c r="M34" s="29"/>
      <c r="N34" s="29"/>
      <c r="O34" s="29"/>
      <c r="P34" s="7"/>
      <c r="Q34" s="15"/>
      <c r="R34" s="15"/>
      <c r="S34" s="15"/>
      <c r="T34" s="15"/>
    </row>
    <row r="35" spans="1:23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29"/>
      <c r="L35" s="29"/>
      <c r="M35" s="29"/>
      <c r="N35" s="29"/>
      <c r="O35" s="29"/>
      <c r="P35" s="7"/>
      <c r="Q35" s="15"/>
      <c r="R35" s="15"/>
      <c r="S35" s="15"/>
      <c r="T35" s="15"/>
    </row>
    <row r="36" spans="1:23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5">E34*E35/10</f>
        <v>3.69</v>
      </c>
      <c r="F36" s="186">
        <f t="shared" si="15"/>
        <v>0</v>
      </c>
      <c r="G36" s="186">
        <f t="shared" si="15"/>
        <v>0</v>
      </c>
      <c r="H36" s="181">
        <f t="shared" si="2"/>
        <v>0</v>
      </c>
      <c r="I36" s="186"/>
      <c r="J36" s="16"/>
      <c r="K36" s="29"/>
      <c r="L36" s="29"/>
      <c r="M36" s="29"/>
      <c r="N36" s="29"/>
      <c r="O36" s="29"/>
      <c r="P36" s="7"/>
      <c r="Q36" s="15"/>
      <c r="R36" s="15"/>
      <c r="S36" s="15"/>
      <c r="T36" s="15"/>
    </row>
    <row r="37" spans="1:23" ht="31.9" customHeight="1" x14ac:dyDescent="0.25">
      <c r="A37" s="2">
        <v>2</v>
      </c>
      <c r="B37" s="225" t="s">
        <v>28</v>
      </c>
      <c r="C37" s="2" t="s">
        <v>4</v>
      </c>
      <c r="D37" s="181">
        <v>30</v>
      </c>
      <c r="E37" s="181">
        <v>26.03</v>
      </c>
      <c r="F37" s="181">
        <v>26.03</v>
      </c>
      <c r="G37" s="181">
        <v>26.03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8"/>
      <c r="Q37" s="13"/>
      <c r="R37" s="13"/>
      <c r="S37" s="13"/>
      <c r="T37" s="13"/>
      <c r="U37" s="18"/>
      <c r="V37" s="18"/>
      <c r="W37" s="18"/>
    </row>
    <row r="38" spans="1:23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8"/>
      <c r="M38" s="8"/>
      <c r="N38" s="8"/>
      <c r="O38" s="8"/>
      <c r="P38" s="8"/>
      <c r="Q38" s="13"/>
      <c r="R38" s="13"/>
      <c r="S38" s="13"/>
      <c r="T38" s="13"/>
      <c r="U38" s="18"/>
      <c r="V38" s="18"/>
      <c r="W38" s="18"/>
    </row>
    <row r="39" spans="1:23" ht="31.9" customHeight="1" x14ac:dyDescent="0.25">
      <c r="A39" s="2"/>
      <c r="B39" s="227" t="s">
        <v>141</v>
      </c>
      <c r="C39" s="4" t="s">
        <v>15</v>
      </c>
      <c r="D39" s="186">
        <f>D37*D38/10</f>
        <v>412.5</v>
      </c>
      <c r="E39" s="186">
        <f t="shared" ref="E39:G39" si="16">E37*E38/10</f>
        <v>364.42</v>
      </c>
      <c r="F39" s="186">
        <f t="shared" si="16"/>
        <v>0</v>
      </c>
      <c r="G39" s="186">
        <f t="shared" si="16"/>
        <v>0</v>
      </c>
      <c r="H39" s="181">
        <f t="shared" si="2"/>
        <v>0</v>
      </c>
      <c r="I39" s="186"/>
      <c r="J39" s="13"/>
      <c r="K39" s="8"/>
      <c r="L39" s="8"/>
      <c r="M39" s="8"/>
      <c r="N39" s="8"/>
      <c r="O39" s="8"/>
      <c r="P39" s="8"/>
      <c r="Q39" s="13"/>
      <c r="R39" s="13"/>
      <c r="S39" s="13"/>
      <c r="T39" s="13"/>
      <c r="U39" s="18"/>
      <c r="V39" s="18"/>
      <c r="W39" s="18"/>
    </row>
    <row r="40" spans="1:23" ht="31.9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8"/>
      <c r="M40" s="8"/>
      <c r="N40" s="8"/>
      <c r="O40" s="8"/>
      <c r="P40" s="8"/>
      <c r="Q40" s="13"/>
      <c r="R40" s="13"/>
      <c r="S40" s="13"/>
      <c r="T40" s="13"/>
      <c r="U40" s="18"/>
      <c r="V40" s="18"/>
      <c r="W40" s="18"/>
    </row>
    <row r="41" spans="1:23" ht="31.9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8"/>
      <c r="M41" s="8"/>
      <c r="N41" s="8"/>
      <c r="O41" s="8"/>
      <c r="P41" s="8"/>
      <c r="Q41" s="13"/>
      <c r="R41" s="13"/>
      <c r="S41" s="13"/>
      <c r="T41" s="13"/>
      <c r="U41" s="18"/>
      <c r="V41" s="18"/>
      <c r="W41" s="18"/>
    </row>
    <row r="42" spans="1:23" ht="31.9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7">F40*F41/10</f>
        <v>0</v>
      </c>
      <c r="G42" s="188">
        <f t="shared" si="17"/>
        <v>0</v>
      </c>
      <c r="H42" s="181">
        <f t="shared" si="2"/>
        <v>0</v>
      </c>
      <c r="I42" s="186"/>
      <c r="J42" s="13"/>
      <c r="K42" s="8"/>
      <c r="L42" s="8"/>
      <c r="M42" s="8"/>
      <c r="N42" s="8"/>
      <c r="O42" s="8"/>
      <c r="P42" s="8"/>
      <c r="Q42" s="13"/>
      <c r="R42" s="13"/>
      <c r="S42" s="13"/>
      <c r="T42" s="13"/>
      <c r="U42" s="18"/>
      <c r="V42" s="18"/>
      <c r="W42" s="18"/>
    </row>
    <row r="43" spans="1:23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6"/>
      <c r="K43" s="8"/>
      <c r="L43" s="63"/>
      <c r="M43" s="63"/>
      <c r="N43" s="63"/>
      <c r="O43" s="63"/>
      <c r="P43" s="7"/>
      <c r="Q43" s="15"/>
      <c r="R43" s="15"/>
      <c r="S43" s="15"/>
      <c r="T43" s="15"/>
    </row>
    <row r="44" spans="1:23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6"/>
      <c r="K44" s="16"/>
      <c r="L44" s="16"/>
      <c r="M44" s="16"/>
      <c r="N44" s="16"/>
      <c r="O44" s="15"/>
      <c r="P44" s="15"/>
      <c r="Q44" s="15"/>
      <c r="R44" s="15"/>
      <c r="S44" s="15"/>
      <c r="T44" s="15"/>
    </row>
    <row r="45" spans="1:23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8">F43*F44/10</f>
        <v>0</v>
      </c>
      <c r="G45" s="186">
        <f t="shared" si="18"/>
        <v>0</v>
      </c>
      <c r="H45" s="181">
        <f t="shared" si="2"/>
        <v>0</v>
      </c>
      <c r="I45" s="186"/>
      <c r="J45" s="16"/>
      <c r="K45" s="16"/>
      <c r="L45" s="16"/>
      <c r="M45" s="16"/>
      <c r="N45" s="16"/>
      <c r="O45" s="15"/>
      <c r="P45" s="15"/>
      <c r="Q45" s="15"/>
      <c r="R45" s="15"/>
      <c r="S45" s="15"/>
      <c r="T45" s="15"/>
    </row>
    <row r="46" spans="1:23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22.11</v>
      </c>
      <c r="E46" s="181">
        <f t="shared" ref="E46:G46" si="19">E47+E55+E64</f>
        <v>31.41</v>
      </c>
      <c r="F46" s="181">
        <f t="shared" si="19"/>
        <v>22.61</v>
      </c>
      <c r="G46" s="181">
        <f t="shared" si="19"/>
        <v>22.61</v>
      </c>
      <c r="H46" s="181">
        <f t="shared" si="2"/>
        <v>71.983444762814386</v>
      </c>
      <c r="I46" s="181"/>
      <c r="J46" s="16"/>
      <c r="K46" s="16"/>
      <c r="L46" s="16"/>
      <c r="M46" s="16"/>
      <c r="N46" s="16"/>
      <c r="O46" s="15"/>
      <c r="P46" s="15"/>
      <c r="Q46" s="15"/>
      <c r="R46" s="15"/>
      <c r="S46" s="15"/>
      <c r="T46" s="15"/>
    </row>
    <row r="47" spans="1:23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13.61</v>
      </c>
      <c r="E47" s="181">
        <f t="shared" ref="E47:G47" si="20">E48+E49</f>
        <v>21.61</v>
      </c>
      <c r="F47" s="181">
        <f t="shared" si="20"/>
        <v>13.61</v>
      </c>
      <c r="G47" s="181">
        <f t="shared" si="20"/>
        <v>13.61</v>
      </c>
      <c r="H47" s="181">
        <f t="shared" si="2"/>
        <v>62.980101804720036</v>
      </c>
      <c r="I47" s="181"/>
      <c r="J47" s="19"/>
      <c r="K47" s="19"/>
      <c r="L47" s="19"/>
      <c r="M47" s="19"/>
      <c r="N47" s="19"/>
    </row>
    <row r="48" spans="1:23" ht="31.9" customHeight="1" x14ac:dyDescent="0.25">
      <c r="A48" s="5" t="s">
        <v>22</v>
      </c>
      <c r="B48" s="273" t="s">
        <v>117</v>
      </c>
      <c r="C48" s="274" t="s">
        <v>4</v>
      </c>
      <c r="D48" s="186">
        <v>12.75</v>
      </c>
      <c r="E48" s="186">
        <f>D48+D49</f>
        <v>13.61</v>
      </c>
      <c r="F48" s="186">
        <v>13.61</v>
      </c>
      <c r="G48" s="186">
        <v>13.61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</row>
    <row r="49" spans="1:17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0.86</v>
      </c>
      <c r="E49" s="181">
        <f t="shared" ref="E49:G49" si="21">E50+E51</f>
        <v>8</v>
      </c>
      <c r="F49" s="181">
        <f t="shared" si="21"/>
        <v>0</v>
      </c>
      <c r="G49" s="181">
        <f t="shared" si="21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7" ht="31.9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8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9"/>
      <c r="L50" s="19"/>
      <c r="M50" s="19"/>
      <c r="N50" s="19"/>
    </row>
    <row r="51" spans="1:17" ht="31.9" customHeight="1" x14ac:dyDescent="0.25">
      <c r="A51" s="274" t="s">
        <v>16</v>
      </c>
      <c r="B51" s="276" t="s">
        <v>33</v>
      </c>
      <c r="C51" s="4" t="s">
        <v>4</v>
      </c>
      <c r="D51" s="186">
        <v>0.86</v>
      </c>
      <c r="E51" s="186"/>
      <c r="F51" s="186"/>
      <c r="G51" s="186"/>
      <c r="H51" s="181"/>
      <c r="I51" s="186"/>
      <c r="J51" s="19"/>
      <c r="K51" s="19"/>
      <c r="L51" s="19"/>
      <c r="M51" s="19"/>
      <c r="N51" s="19"/>
    </row>
    <row r="52" spans="1:17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11.59</v>
      </c>
      <c r="E52" s="181">
        <f t="shared" ref="E52:G52" si="22">E53+E54</f>
        <v>10.8375</v>
      </c>
      <c r="F52" s="181">
        <f t="shared" si="22"/>
        <v>10.84</v>
      </c>
      <c r="G52" s="181">
        <f t="shared" si="22"/>
        <v>10.84</v>
      </c>
      <c r="H52" s="181">
        <f t="shared" si="2"/>
        <v>100.0230680507497</v>
      </c>
      <c r="I52" s="181"/>
      <c r="J52" s="103"/>
      <c r="K52" s="103"/>
      <c r="L52" s="103"/>
      <c r="M52" s="103"/>
      <c r="N52" s="103"/>
    </row>
    <row r="53" spans="1:17" ht="31.9" customHeight="1" x14ac:dyDescent="0.25">
      <c r="A53" s="277" t="s">
        <v>16</v>
      </c>
      <c r="B53" s="276" t="s">
        <v>119</v>
      </c>
      <c r="C53" s="4" t="s">
        <v>4</v>
      </c>
      <c r="D53" s="186">
        <v>8.2899999999999991</v>
      </c>
      <c r="E53" s="186">
        <f>D48*85%</f>
        <v>10.8375</v>
      </c>
      <c r="F53" s="186">
        <v>10.84</v>
      </c>
      <c r="G53" s="186">
        <v>10.84</v>
      </c>
      <c r="H53" s="186">
        <f t="shared" si="2"/>
        <v>100.0230680507497</v>
      </c>
      <c r="I53" s="186"/>
      <c r="J53" s="19"/>
      <c r="K53" s="19"/>
      <c r="L53" s="114"/>
      <c r="M53" s="19"/>
      <c r="N53" s="19"/>
    </row>
    <row r="54" spans="1:17" ht="31.9" customHeight="1" x14ac:dyDescent="0.25">
      <c r="A54" s="4"/>
      <c r="B54" s="276" t="s">
        <v>120</v>
      </c>
      <c r="C54" s="4" t="s">
        <v>4</v>
      </c>
      <c r="D54" s="186">
        <f>3.5-0.2</f>
        <v>3.3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7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8.5</v>
      </c>
      <c r="E55" s="181">
        <f t="shared" ref="E55:G55" si="23">E56+E57</f>
        <v>9.8000000000000007</v>
      </c>
      <c r="F55" s="181">
        <f t="shared" si="23"/>
        <v>9</v>
      </c>
      <c r="G55" s="181">
        <f t="shared" si="23"/>
        <v>9</v>
      </c>
      <c r="H55" s="181">
        <f t="shared" si="2"/>
        <v>91.836734693877546</v>
      </c>
      <c r="I55" s="181"/>
      <c r="J55" s="19"/>
      <c r="K55" s="19"/>
      <c r="L55" s="19"/>
      <c r="M55" s="19"/>
      <c r="N55" s="19"/>
    </row>
    <row r="56" spans="1:17" ht="31.9" customHeight="1" x14ac:dyDescent="0.25">
      <c r="A56" s="4" t="s">
        <v>22</v>
      </c>
      <c r="B56" s="273" t="s">
        <v>118</v>
      </c>
      <c r="C56" s="4" t="s">
        <v>4</v>
      </c>
      <c r="D56" s="186">
        <v>8.5</v>
      </c>
      <c r="E56" s="186">
        <f>D56+E58</f>
        <v>9</v>
      </c>
      <c r="F56" s="186">
        <v>9</v>
      </c>
      <c r="G56" s="186">
        <v>9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7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4">E58+E61</f>
        <v>0.8</v>
      </c>
      <c r="F57" s="186">
        <f t="shared" si="24"/>
        <v>0</v>
      </c>
      <c r="G57" s="186">
        <f t="shared" si="24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7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5">E59+E60</f>
        <v>0.5</v>
      </c>
      <c r="F58" s="189">
        <f t="shared" si="25"/>
        <v>0</v>
      </c>
      <c r="G58" s="189">
        <f t="shared" si="25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</row>
    <row r="59" spans="1:17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0.3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24"/>
      <c r="L59" s="6"/>
      <c r="M59" s="6"/>
      <c r="N59" s="6"/>
      <c r="O59" s="6"/>
      <c r="P59" s="30"/>
      <c r="Q59" s="30"/>
    </row>
    <row r="60" spans="1:17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0.2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24"/>
      <c r="L60" s="6"/>
      <c r="M60" s="6"/>
      <c r="N60" s="6"/>
      <c r="O60" s="6"/>
      <c r="P60" s="30"/>
      <c r="Q60" s="30"/>
    </row>
    <row r="61" spans="1:17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6">E62+E63</f>
        <v>0.30000000000000004</v>
      </c>
      <c r="F61" s="189">
        <f t="shared" si="26"/>
        <v>0</v>
      </c>
      <c r="G61" s="189">
        <f t="shared" si="26"/>
        <v>0</v>
      </c>
      <c r="H61" s="181">
        <f t="shared" si="2"/>
        <v>0</v>
      </c>
      <c r="I61" s="189"/>
      <c r="J61" s="104"/>
      <c r="K61" s="34"/>
      <c r="L61" s="34"/>
      <c r="M61" s="34"/>
      <c r="N61" s="34"/>
      <c r="O61" s="51"/>
      <c r="P61" s="48"/>
      <c r="Q61" s="48"/>
    </row>
    <row r="62" spans="1:17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0.2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24"/>
      <c r="L62" s="6"/>
      <c r="M62" s="6"/>
      <c r="N62" s="6"/>
      <c r="O62" s="6"/>
      <c r="P62" s="30"/>
      <c r="Q62" s="30"/>
    </row>
    <row r="63" spans="1:17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24"/>
      <c r="L63" s="6"/>
      <c r="M63" s="6"/>
      <c r="N63" s="6"/>
      <c r="O63" s="6"/>
      <c r="P63" s="30"/>
      <c r="Q63" s="30"/>
    </row>
    <row r="64" spans="1:17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7">E65+E66</f>
        <v>0</v>
      </c>
      <c r="F64" s="181">
        <f t="shared" si="27"/>
        <v>0</v>
      </c>
      <c r="G64" s="181">
        <f t="shared" si="27"/>
        <v>0</v>
      </c>
      <c r="H64" s="181"/>
      <c r="I64" s="181"/>
      <c r="J64" s="19"/>
      <c r="K64" s="47"/>
      <c r="L64" s="47"/>
      <c r="M64" s="47"/>
      <c r="N64" s="47"/>
      <c r="O64" s="30"/>
      <c r="P64" s="30"/>
      <c r="Q64" s="30"/>
    </row>
    <row r="65" spans="1:17" ht="31.9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9"/>
      <c r="K65" s="19"/>
      <c r="L65" s="19"/>
      <c r="M65" s="19"/>
      <c r="N65" s="19"/>
    </row>
    <row r="66" spans="1:17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13.98</v>
      </c>
      <c r="E67" s="181">
        <f t="shared" ref="E67:G67" si="28">E68+E71</f>
        <v>13.65</v>
      </c>
      <c r="F67" s="181">
        <f t="shared" si="28"/>
        <v>13.48</v>
      </c>
      <c r="G67" s="181">
        <f t="shared" si="28"/>
        <v>13.48</v>
      </c>
      <c r="H67" s="181">
        <f t="shared" si="2"/>
        <v>98.754578754578759</v>
      </c>
      <c r="I67" s="181"/>
      <c r="J67" s="19"/>
      <c r="K67" s="19"/>
      <c r="L67" s="19"/>
      <c r="M67" s="19"/>
      <c r="N67" s="19"/>
    </row>
    <row r="68" spans="1:17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29">E69+E70</f>
        <v>0</v>
      </c>
      <c r="F68" s="181">
        <f t="shared" si="29"/>
        <v>0</v>
      </c>
      <c r="G68" s="181">
        <f t="shared" si="29"/>
        <v>0</v>
      </c>
      <c r="H68" s="181"/>
      <c r="I68" s="181"/>
      <c r="J68" s="19"/>
      <c r="K68" s="19"/>
      <c r="L68" s="19"/>
      <c r="M68" s="19"/>
      <c r="N68" s="19"/>
    </row>
    <row r="69" spans="1:17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19"/>
      <c r="L69" s="19"/>
      <c r="M69" s="19"/>
      <c r="N69" s="19"/>
    </row>
    <row r="70" spans="1:17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1"/>
      <c r="I70" s="186"/>
      <c r="J70" s="19"/>
      <c r="K70" s="19"/>
      <c r="L70" s="19"/>
      <c r="M70" s="19"/>
      <c r="N70" s="19"/>
    </row>
    <row r="71" spans="1:17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13.98</v>
      </c>
      <c r="E71" s="181">
        <f t="shared" ref="E71:G71" si="30">E72+E73</f>
        <v>13.65</v>
      </c>
      <c r="F71" s="181">
        <f t="shared" si="30"/>
        <v>13.48</v>
      </c>
      <c r="G71" s="181">
        <f t="shared" si="30"/>
        <v>13.48</v>
      </c>
      <c r="H71" s="181">
        <f t="shared" si="2"/>
        <v>98.754578754578759</v>
      </c>
      <c r="I71" s="181"/>
      <c r="J71" s="19"/>
      <c r="K71" s="19"/>
      <c r="L71" s="19"/>
      <c r="M71" s="19"/>
      <c r="N71" s="19"/>
    </row>
    <row r="72" spans="1:17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13.48</v>
      </c>
      <c r="E72" s="192">
        <f t="shared" ref="E72:G73" si="31">E75+E82</f>
        <v>13.48</v>
      </c>
      <c r="F72" s="192">
        <f t="shared" si="31"/>
        <v>13.48</v>
      </c>
      <c r="G72" s="192">
        <f t="shared" si="31"/>
        <v>13.48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17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si="31"/>
        <v>0.17</v>
      </c>
      <c r="F73" s="181">
        <f t="shared" si="31"/>
        <v>0</v>
      </c>
      <c r="G73" s="181">
        <f>G76+G83</f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9.9</v>
      </c>
      <c r="E74" s="194">
        <f t="shared" ref="E74:G74" si="32">E75+E76</f>
        <v>9.9</v>
      </c>
      <c r="F74" s="194">
        <f t="shared" si="32"/>
        <v>9.9</v>
      </c>
      <c r="G74" s="194">
        <f t="shared" si="32"/>
        <v>9.9</v>
      </c>
      <c r="H74" s="203">
        <f t="shared" ref="H74:H93" si="33">F74/E74*100</f>
        <v>100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1.9" customHeight="1" x14ac:dyDescent="0.25">
      <c r="A75" s="5" t="s">
        <v>22</v>
      </c>
      <c r="B75" s="281" t="s">
        <v>117</v>
      </c>
      <c r="C75" s="4" t="s">
        <v>4</v>
      </c>
      <c r="D75" s="196">
        <v>9.9</v>
      </c>
      <c r="E75" s="196">
        <f>D75+D76</f>
        <v>9.9</v>
      </c>
      <c r="F75" s="196">
        <v>9.9</v>
      </c>
      <c r="G75" s="196">
        <v>9.9</v>
      </c>
      <c r="H75" s="186">
        <f t="shared" si="33"/>
        <v>100</v>
      </c>
      <c r="I75" s="186"/>
      <c r="J75" s="19"/>
      <c r="K75" s="19"/>
      <c r="L75" s="116"/>
      <c r="M75" s="20"/>
      <c r="N75" s="20"/>
      <c r="O75" s="18"/>
      <c r="P75" s="18"/>
      <c r="Q75" s="18"/>
    </row>
    <row r="76" spans="1:17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>SUM(E77:E80)</f>
        <v>0</v>
      </c>
      <c r="F76" s="197">
        <f t="shared" ref="F76:G76" si="34">SUM(F77:F80)</f>
        <v>0</v>
      </c>
      <c r="G76" s="197">
        <f t="shared" si="34"/>
        <v>0</v>
      </c>
      <c r="H76" s="181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7"/>
      <c r="L77" s="109"/>
      <c r="M77" s="109"/>
      <c r="N77" s="110"/>
      <c r="O77" s="18"/>
      <c r="P77" s="56"/>
      <c r="Q77" s="18"/>
    </row>
    <row r="78" spans="1:17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1.9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20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4.08</v>
      </c>
      <c r="E81" s="194">
        <f t="shared" ref="E81:G81" si="35">E82+E83</f>
        <v>3.75</v>
      </c>
      <c r="F81" s="194">
        <f t="shared" si="35"/>
        <v>3.58</v>
      </c>
      <c r="G81" s="194">
        <f t="shared" si="35"/>
        <v>3.58</v>
      </c>
      <c r="H81" s="203">
        <f t="shared" si="33"/>
        <v>95.466666666666669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20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3.58</v>
      </c>
      <c r="E82" s="189">
        <v>3.58</v>
      </c>
      <c r="F82" s="189">
        <v>3.58</v>
      </c>
      <c r="G82" s="189">
        <v>3.58</v>
      </c>
      <c r="H82" s="189">
        <f t="shared" si="33"/>
        <v>100</v>
      </c>
      <c r="I82" s="189"/>
      <c r="J82" s="107"/>
      <c r="K82" s="107"/>
      <c r="L82" s="110"/>
      <c r="M82" s="109"/>
      <c r="N82" s="109"/>
      <c r="O82" s="40"/>
      <c r="P82" s="40"/>
      <c r="Q82" s="40"/>
    </row>
    <row r="83" spans="1:20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6">SUM(D84:D87)</f>
        <v>0.5</v>
      </c>
      <c r="E83" s="196">
        <f t="shared" si="36"/>
        <v>0.17</v>
      </c>
      <c r="F83" s="196">
        <f t="shared" si="36"/>
        <v>0</v>
      </c>
      <c r="G83" s="196">
        <f t="shared" si="36"/>
        <v>0</v>
      </c>
      <c r="H83" s="181">
        <f t="shared" si="33"/>
        <v>0</v>
      </c>
      <c r="I83" s="196"/>
      <c r="J83" s="107"/>
      <c r="K83" s="107"/>
      <c r="L83" s="109"/>
      <c r="M83" s="109"/>
      <c r="N83" s="109"/>
      <c r="O83" s="18"/>
      <c r="P83" s="18"/>
      <c r="Q83" s="18"/>
    </row>
    <row r="84" spans="1:20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  <c r="O84" s="18"/>
      <c r="P84" s="18"/>
      <c r="Q84" s="18"/>
    </row>
    <row r="85" spans="1:20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  <c r="O85" s="18"/>
      <c r="P85" s="18"/>
      <c r="Q85" s="18"/>
    </row>
    <row r="86" spans="1:20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20" ht="31.9" customHeight="1" x14ac:dyDescent="0.25">
      <c r="A87" s="282" t="s">
        <v>16</v>
      </c>
      <c r="B87" s="283" t="s">
        <v>114</v>
      </c>
      <c r="C87" s="3" t="s">
        <v>4</v>
      </c>
      <c r="D87" s="186">
        <v>0.5</v>
      </c>
      <c r="E87" s="186">
        <v>0.17</v>
      </c>
      <c r="F87" s="186">
        <v>0</v>
      </c>
      <c r="G87" s="186">
        <v>0</v>
      </c>
      <c r="H87" s="181">
        <f t="shared" si="33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56"/>
      <c r="S87" s="56"/>
      <c r="T87" s="18"/>
    </row>
    <row r="88" spans="1:20" ht="31.9" customHeight="1" x14ac:dyDescent="0.25">
      <c r="A88" s="2" t="s">
        <v>42</v>
      </c>
      <c r="B88" s="224" t="s">
        <v>43</v>
      </c>
      <c r="C88" s="2"/>
      <c r="D88" s="181">
        <f>SUM(D89:D93)</f>
        <v>406</v>
      </c>
      <c r="E88" s="181">
        <f t="shared" ref="E88:G88" si="37">SUM(E89:E93)</f>
        <v>397</v>
      </c>
      <c r="F88" s="181">
        <f t="shared" si="37"/>
        <v>350</v>
      </c>
      <c r="G88" s="181">
        <f t="shared" si="37"/>
        <v>350</v>
      </c>
      <c r="H88" s="181">
        <f t="shared" si="33"/>
        <v>88.161209068010066</v>
      </c>
      <c r="I88" s="181"/>
      <c r="J88" s="20"/>
      <c r="K88" s="20"/>
      <c r="L88" s="28"/>
      <c r="M88" s="28"/>
      <c r="N88" s="20"/>
    </row>
    <row r="89" spans="1:20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37</v>
      </c>
      <c r="E89" s="186">
        <f>3+2</f>
        <v>5</v>
      </c>
      <c r="F89" s="186">
        <v>5</v>
      </c>
      <c r="G89" s="186">
        <f>F89</f>
        <v>5</v>
      </c>
      <c r="H89" s="186">
        <f t="shared" si="33"/>
        <v>100</v>
      </c>
      <c r="I89" s="186"/>
      <c r="J89" s="112"/>
      <c r="K89" s="117"/>
      <c r="L89" s="208"/>
      <c r="M89" s="209"/>
      <c r="N89" s="112"/>
    </row>
    <row r="90" spans="1:20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v>62</v>
      </c>
      <c r="E90" s="186">
        <f>63+10</f>
        <v>73</v>
      </c>
      <c r="F90" s="186">
        <v>72</v>
      </c>
      <c r="G90" s="186">
        <f>F90</f>
        <v>72</v>
      </c>
      <c r="H90" s="186">
        <f t="shared" si="33"/>
        <v>98.630136986301366</v>
      </c>
      <c r="I90" s="186"/>
      <c r="J90" s="112"/>
      <c r="K90" s="117"/>
      <c r="L90" s="208"/>
      <c r="M90" s="209"/>
      <c r="N90" s="112"/>
    </row>
    <row r="91" spans="1:20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v>35</v>
      </c>
      <c r="E91" s="186">
        <f>37+11</f>
        <v>48</v>
      </c>
      <c r="F91" s="186">
        <v>43</v>
      </c>
      <c r="G91" s="186">
        <f>F91</f>
        <v>43</v>
      </c>
      <c r="H91" s="186">
        <f t="shared" si="33"/>
        <v>89.583333333333343</v>
      </c>
      <c r="I91" s="186"/>
      <c r="J91" s="112"/>
      <c r="K91" s="157"/>
      <c r="L91" s="208"/>
      <c r="M91" s="209"/>
      <c r="N91" s="112"/>
    </row>
    <row r="92" spans="1:20" ht="31.9" customHeight="1" x14ac:dyDescent="0.25">
      <c r="A92" s="4">
        <v>4</v>
      </c>
      <c r="B92" s="227" t="s">
        <v>47</v>
      </c>
      <c r="C92" s="4" t="s">
        <v>6</v>
      </c>
      <c r="D92" s="186"/>
      <c r="E92" s="186"/>
      <c r="F92" s="186"/>
      <c r="G92" s="186"/>
      <c r="H92" s="181"/>
      <c r="I92" s="186"/>
      <c r="J92" s="20"/>
      <c r="K92" s="20"/>
      <c r="L92" s="210"/>
      <c r="M92" s="209"/>
      <c r="N92" s="20"/>
    </row>
    <row r="93" spans="1:20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272</v>
      </c>
      <c r="E93" s="186">
        <f>300-29</f>
        <v>271</v>
      </c>
      <c r="F93" s="186">
        <v>230</v>
      </c>
      <c r="G93" s="186">
        <f>F93</f>
        <v>230</v>
      </c>
      <c r="H93" s="186">
        <f t="shared" si="33"/>
        <v>84.870848708487088</v>
      </c>
      <c r="I93" s="186"/>
      <c r="J93" s="157"/>
      <c r="K93" s="157"/>
      <c r="L93" s="210"/>
      <c r="M93" s="209"/>
      <c r="N93" s="112"/>
    </row>
    <row r="94" spans="1:20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38">E95</f>
        <v>0</v>
      </c>
      <c r="F94" s="181">
        <f t="shared" si="38"/>
        <v>0</v>
      </c>
      <c r="G94" s="181">
        <f t="shared" si="38"/>
        <v>0</v>
      </c>
      <c r="H94" s="181"/>
      <c r="I94" s="181"/>
      <c r="J94" s="22"/>
      <c r="K94" s="22"/>
      <c r="L94" s="22"/>
      <c r="M94" s="22"/>
      <c r="N94" s="22"/>
    </row>
    <row r="95" spans="1:20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1"/>
      <c r="I95" s="186"/>
      <c r="J95" s="20"/>
      <c r="K95" s="20"/>
      <c r="L95" s="20"/>
      <c r="M95" s="20"/>
      <c r="N95" s="20"/>
    </row>
    <row r="96" spans="1:20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39">E97+E98</f>
        <v>0</v>
      </c>
      <c r="F96" s="181">
        <f t="shared" si="39"/>
        <v>0</v>
      </c>
      <c r="G96" s="181">
        <f t="shared" si="39"/>
        <v>0</v>
      </c>
      <c r="H96" s="181"/>
      <c r="I96" s="181"/>
      <c r="J96" s="20"/>
      <c r="K96" s="20"/>
      <c r="L96" s="20"/>
      <c r="M96" s="20"/>
      <c r="N96" s="20"/>
    </row>
    <row r="97" spans="1:14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1.9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1"/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47244094488188981" bottom="0.47244094488188981" header="0" footer="0"/>
  <pageSetup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984"/>
  <sheetViews>
    <sheetView zoomScaleNormal="100" workbookViewId="0">
      <pane ySplit="8" topLeftCell="A34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6.77734375" style="220" customWidth="1"/>
    <col min="2" max="2" width="31.21875" style="220" customWidth="1"/>
    <col min="3" max="3" width="9.33203125" style="220" customWidth="1"/>
    <col min="4" max="5" width="16.44140625" style="220" customWidth="1"/>
    <col min="6" max="9" width="12.6640625" style="220" customWidth="1"/>
    <col min="10" max="10" width="8.88671875" style="17" customWidth="1"/>
    <col min="11" max="11" width="21.4414062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159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'ĐĂK PƠ TRANG(15)'!A5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195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7">
        <v>1300</v>
      </c>
      <c r="M8" s="19"/>
      <c r="N8" s="19"/>
    </row>
    <row r="9" spans="1:18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185.22</v>
      </c>
      <c r="E9" s="181">
        <f t="shared" ref="E9:G9" si="0">E13+E28+E37+E43+E46+E67</f>
        <v>180.47</v>
      </c>
      <c r="F9" s="181">
        <f t="shared" si="0"/>
        <v>144.13999999999999</v>
      </c>
      <c r="G9" s="181">
        <f t="shared" si="0"/>
        <v>144.13999999999999</v>
      </c>
      <c r="H9" s="181">
        <f>F9/E9*100</f>
        <v>79.869230342993291</v>
      </c>
      <c r="I9" s="181"/>
      <c r="J9" s="103"/>
      <c r="K9" s="103"/>
      <c r="L9" s="103"/>
      <c r="M9" s="103"/>
      <c r="N9" s="103"/>
    </row>
    <row r="10" spans="1:18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1.5</v>
      </c>
      <c r="E10" s="181">
        <f t="shared" ref="E10:G10" si="1">E13+E28</f>
        <v>23.310000000000002</v>
      </c>
      <c r="F10" s="181">
        <f t="shared" si="1"/>
        <v>2.2800000000000002</v>
      </c>
      <c r="G10" s="181">
        <f t="shared" si="1"/>
        <v>2.2800000000000002</v>
      </c>
      <c r="H10" s="181">
        <f t="shared" ref="H10:H73" si="2">F10/E10*100</f>
        <v>9.78120978120978</v>
      </c>
      <c r="I10" s="181"/>
      <c r="J10" s="103"/>
      <c r="K10" s="103"/>
      <c r="L10" s="103"/>
      <c r="M10" s="103"/>
      <c r="N10" s="103"/>
    </row>
    <row r="11" spans="1:18" s="23" customFormat="1" ht="31.9" customHeight="1" x14ac:dyDescent="0.25">
      <c r="A11" s="2"/>
      <c r="B11" s="224" t="s">
        <v>14</v>
      </c>
      <c r="C11" s="2" t="s">
        <v>15</v>
      </c>
      <c r="D11" s="181">
        <f>D12+D30</f>
        <v>5.5275000000000007</v>
      </c>
      <c r="E11" s="181">
        <f t="shared" ref="E11:G11" si="3">E12+E30</f>
        <v>62.971635000000006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18" s="23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57.43663500000001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03"/>
      <c r="M12" s="103"/>
      <c r="N12" s="103"/>
    </row>
    <row r="13" spans="1:18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21.810000000000002</v>
      </c>
      <c r="F13" s="181">
        <f t="shared" si="5"/>
        <v>0.78</v>
      </c>
      <c r="G13" s="181">
        <f t="shared" si="5"/>
        <v>0.78</v>
      </c>
      <c r="H13" s="181">
        <f t="shared" si="2"/>
        <v>3.5763411279229711</v>
      </c>
      <c r="I13" s="181"/>
      <c r="J13" s="19"/>
      <c r="K13" s="20"/>
      <c r="L13" s="104"/>
      <c r="M13" s="20"/>
      <c r="N13" s="20"/>
    </row>
    <row r="14" spans="1:18" ht="31.9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26.335000000000001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8" ht="31.9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57.43663500000001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18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0.78</v>
      </c>
      <c r="F16" s="181">
        <v>0.78</v>
      </c>
      <c r="G16" s="181">
        <v>0.78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1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1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2.6130000000000004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1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21.03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113"/>
      <c r="O19" s="25"/>
      <c r="P19" s="25"/>
      <c r="Q19" s="25"/>
      <c r="R19" s="25"/>
      <c r="S19" s="25"/>
      <c r="T19" s="25"/>
      <c r="U19" s="25"/>
    </row>
    <row r="20" spans="1:21" ht="31.9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19.170000000000002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113"/>
      <c r="O20" s="25"/>
      <c r="P20" s="25"/>
      <c r="Q20" s="25"/>
      <c r="R20" s="25"/>
      <c r="S20" s="25"/>
      <c r="T20" s="25"/>
      <c r="U20" s="25"/>
    </row>
    <row r="21" spans="1:21" ht="31.9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40.314510000000006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113"/>
      <c r="O21" s="25"/>
      <c r="P21" s="25"/>
      <c r="Q21" s="25"/>
      <c r="R21" s="25"/>
      <c r="S21" s="25"/>
      <c r="T21" s="25"/>
      <c r="U21" s="25"/>
    </row>
    <row r="22" spans="1:21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203">
        <v>21.03</v>
      </c>
      <c r="F22" s="181">
        <v>0</v>
      </c>
      <c r="G22" s="203">
        <v>0</v>
      </c>
      <c r="H22" s="181">
        <f t="shared" si="2"/>
        <v>0</v>
      </c>
      <c r="I22" s="181"/>
      <c r="J22" s="13"/>
      <c r="K22" s="13"/>
      <c r="L22" s="13"/>
      <c r="M22" s="13"/>
      <c r="N22" s="37"/>
      <c r="O22" s="38"/>
      <c r="P22" s="38"/>
      <c r="Q22" s="38"/>
      <c r="R22" s="38"/>
      <c r="S22" s="38"/>
      <c r="T22" s="28"/>
      <c r="U22" s="25"/>
    </row>
    <row r="23" spans="1:21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37"/>
      <c r="O23" s="38"/>
      <c r="P23" s="38"/>
      <c r="Q23" s="38"/>
      <c r="R23" s="38"/>
      <c r="S23" s="38"/>
      <c r="T23" s="28"/>
      <c r="U23" s="25"/>
    </row>
    <row r="24" spans="1:21" ht="31.9" customHeight="1" x14ac:dyDescent="0.25">
      <c r="A24" s="269"/>
      <c r="B24" s="227" t="s">
        <v>141</v>
      </c>
      <c r="C24" s="4" t="s">
        <v>15</v>
      </c>
      <c r="D24" s="186"/>
      <c r="E24" s="186"/>
      <c r="F24" s="186"/>
      <c r="G24" s="186"/>
      <c r="H24" s="181"/>
      <c r="I24" s="186"/>
      <c r="J24" s="13"/>
      <c r="K24" s="13"/>
      <c r="L24" s="13"/>
      <c r="M24" s="13"/>
      <c r="N24" s="37"/>
      <c r="O24" s="38"/>
      <c r="P24" s="38"/>
      <c r="Q24" s="38"/>
      <c r="R24" s="38"/>
      <c r="S24" s="38"/>
      <c r="T24" s="28"/>
      <c r="U24" s="25"/>
    </row>
    <row r="25" spans="1:21" ht="31.9" customHeight="1" x14ac:dyDescent="0.25">
      <c r="A25" s="269" t="s">
        <v>22</v>
      </c>
      <c r="B25" s="270" t="s">
        <v>24</v>
      </c>
      <c r="C25" s="269" t="s">
        <v>4</v>
      </c>
      <c r="D25" s="186"/>
      <c r="E25" s="189">
        <v>0</v>
      </c>
      <c r="F25" s="189">
        <v>0</v>
      </c>
      <c r="G25" s="189">
        <v>0</v>
      </c>
      <c r="H25" s="181"/>
      <c r="I25" s="186"/>
      <c r="J25" s="13"/>
      <c r="K25" s="13"/>
      <c r="L25" s="13"/>
      <c r="M25" s="13"/>
      <c r="N25" s="37"/>
      <c r="O25" s="38"/>
      <c r="P25" s="38"/>
      <c r="Q25" s="38"/>
      <c r="R25" s="38"/>
      <c r="S25" s="38"/>
      <c r="T25" s="25"/>
      <c r="U25" s="25"/>
    </row>
    <row r="26" spans="1:21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0</v>
      </c>
      <c r="F26" s="186"/>
      <c r="G26" s="186"/>
      <c r="H26" s="181"/>
      <c r="I26" s="186"/>
      <c r="J26" s="13"/>
      <c r="K26" s="13"/>
      <c r="L26" s="13"/>
      <c r="M26" s="13"/>
      <c r="N26" s="37"/>
      <c r="O26" s="38"/>
      <c r="P26" s="38"/>
      <c r="Q26" s="38"/>
      <c r="R26" s="38"/>
      <c r="S26" s="38"/>
      <c r="T26" s="25"/>
      <c r="U26" s="25"/>
    </row>
    <row r="27" spans="1:21" ht="31.9" customHeight="1" x14ac:dyDescent="0.25">
      <c r="A27" s="269"/>
      <c r="B27" s="227" t="s">
        <v>141</v>
      </c>
      <c r="C27" s="4" t="s">
        <v>15</v>
      </c>
      <c r="D27" s="186"/>
      <c r="E27" s="186"/>
      <c r="F27" s="186"/>
      <c r="G27" s="186"/>
      <c r="H27" s="181"/>
      <c r="I27" s="186"/>
      <c r="J27" s="13"/>
      <c r="K27" s="13"/>
      <c r="L27" s="13"/>
      <c r="M27" s="13"/>
      <c r="N27" s="37"/>
      <c r="O27" s="38"/>
      <c r="P27" s="38"/>
      <c r="Q27" s="38"/>
      <c r="R27" s="38"/>
      <c r="S27" s="38"/>
      <c r="T27" s="25"/>
      <c r="U27" s="25"/>
    </row>
    <row r="28" spans="1:21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2">D31+D34</f>
        <v>1.5</v>
      </c>
      <c r="E28" s="181">
        <f t="shared" si="12"/>
        <v>1.5</v>
      </c>
      <c r="F28" s="181">
        <f t="shared" si="12"/>
        <v>1.5</v>
      </c>
      <c r="G28" s="181">
        <f t="shared" si="12"/>
        <v>1.5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</row>
    <row r="29" spans="1:21" ht="31.9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3">E35</f>
        <v>36.9</v>
      </c>
      <c r="F29" s="186">
        <f t="shared" si="13"/>
        <v>0</v>
      </c>
      <c r="G29" s="186">
        <f t="shared" si="13"/>
        <v>0</v>
      </c>
      <c r="H29" s="181">
        <f t="shared" si="2"/>
        <v>0</v>
      </c>
      <c r="I29" s="186"/>
      <c r="J29" s="16"/>
      <c r="K29" s="16"/>
      <c r="L29" s="16"/>
      <c r="M29" s="16"/>
      <c r="N29" s="16"/>
      <c r="O29" s="15"/>
      <c r="P29" s="15"/>
      <c r="Q29" s="15"/>
      <c r="R29" s="15"/>
      <c r="S29" s="15"/>
    </row>
    <row r="30" spans="1:21" ht="31.9" customHeight="1" x14ac:dyDescent="0.25">
      <c r="A30" s="2"/>
      <c r="B30" s="227" t="s">
        <v>141</v>
      </c>
      <c r="C30" s="4" t="s">
        <v>15</v>
      </c>
      <c r="D30" s="186">
        <f>D28*D29/10</f>
        <v>5.5275000000000007</v>
      </c>
      <c r="E30" s="186">
        <f t="shared" ref="E30:G30" si="14">E28*E29/10</f>
        <v>5.5349999999999993</v>
      </c>
      <c r="F30" s="186">
        <f t="shared" si="14"/>
        <v>0</v>
      </c>
      <c r="G30" s="186">
        <f t="shared" si="14"/>
        <v>0</v>
      </c>
      <c r="H30" s="181">
        <f t="shared" si="2"/>
        <v>0</v>
      </c>
      <c r="I30" s="186"/>
      <c r="J30" s="16"/>
      <c r="K30" s="16"/>
      <c r="L30" s="16"/>
      <c r="M30" s="16"/>
      <c r="N30" s="16"/>
      <c r="O30" s="15"/>
      <c r="P30" s="15"/>
      <c r="Q30" s="15"/>
      <c r="R30" s="15"/>
      <c r="S30" s="15"/>
    </row>
    <row r="31" spans="1:21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6"/>
      <c r="K31" s="6"/>
      <c r="L31" s="61"/>
      <c r="M31" s="61"/>
      <c r="N31" s="61"/>
      <c r="O31" s="61"/>
      <c r="P31" s="15"/>
      <c r="Q31" s="15"/>
      <c r="R31" s="15"/>
      <c r="S31" s="15"/>
    </row>
    <row r="32" spans="1:21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6"/>
      <c r="L32" s="61"/>
      <c r="M32" s="61"/>
      <c r="N32" s="61"/>
      <c r="O32" s="61"/>
      <c r="P32" s="15"/>
      <c r="Q32" s="15"/>
      <c r="R32" s="15"/>
      <c r="S32" s="15"/>
    </row>
    <row r="33" spans="1:23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6"/>
      <c r="L33" s="61"/>
      <c r="M33" s="61"/>
      <c r="N33" s="61"/>
      <c r="O33" s="61"/>
      <c r="P33" s="15"/>
      <c r="Q33" s="15"/>
      <c r="R33" s="15"/>
      <c r="S33" s="15"/>
    </row>
    <row r="34" spans="1:23" ht="31.9" customHeight="1" x14ac:dyDescent="0.25">
      <c r="A34" s="269" t="s">
        <v>20</v>
      </c>
      <c r="B34" s="270" t="s">
        <v>27</v>
      </c>
      <c r="C34" s="269" t="s">
        <v>4</v>
      </c>
      <c r="D34" s="203">
        <v>1.5</v>
      </c>
      <c r="E34" s="203">
        <v>1.5</v>
      </c>
      <c r="F34" s="203">
        <v>1.5</v>
      </c>
      <c r="G34" s="203">
        <v>1.5</v>
      </c>
      <c r="H34" s="181">
        <f t="shared" si="2"/>
        <v>100</v>
      </c>
      <c r="I34" s="181"/>
      <c r="J34" s="16"/>
      <c r="K34" s="29"/>
      <c r="L34" s="29"/>
      <c r="M34" s="29"/>
      <c r="N34" s="29"/>
      <c r="O34" s="29"/>
      <c r="P34" s="15"/>
      <c r="Q34" s="15"/>
      <c r="R34" s="15"/>
      <c r="S34" s="15"/>
    </row>
    <row r="35" spans="1:23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29"/>
      <c r="L35" s="29"/>
      <c r="M35" s="29"/>
      <c r="N35" s="29"/>
      <c r="O35" s="29"/>
      <c r="P35" s="15"/>
      <c r="Q35" s="15"/>
      <c r="R35" s="15"/>
      <c r="S35" s="15"/>
    </row>
    <row r="36" spans="1:23" ht="31.9" customHeight="1" x14ac:dyDescent="0.25">
      <c r="A36" s="269"/>
      <c r="B36" s="227" t="s">
        <v>141</v>
      </c>
      <c r="C36" s="4" t="s">
        <v>15</v>
      </c>
      <c r="D36" s="186">
        <f>D34*D35/10</f>
        <v>5.5275000000000007</v>
      </c>
      <c r="E36" s="186">
        <f t="shared" ref="E36:G36" si="15">E34*E35/10</f>
        <v>5.5349999999999993</v>
      </c>
      <c r="F36" s="186">
        <f t="shared" si="15"/>
        <v>0</v>
      </c>
      <c r="G36" s="186">
        <f t="shared" si="15"/>
        <v>0</v>
      </c>
      <c r="H36" s="181">
        <f t="shared" si="2"/>
        <v>0</v>
      </c>
      <c r="I36" s="186"/>
      <c r="J36" s="16"/>
      <c r="K36" s="29"/>
      <c r="L36" s="29"/>
      <c r="M36" s="29"/>
      <c r="N36" s="29"/>
      <c r="O36" s="29"/>
      <c r="P36" s="15"/>
      <c r="Q36" s="15"/>
      <c r="R36" s="15"/>
      <c r="S36" s="15"/>
    </row>
    <row r="37" spans="1:23" ht="31.9" customHeight="1" x14ac:dyDescent="0.25">
      <c r="A37" s="2">
        <v>2</v>
      </c>
      <c r="B37" s="225" t="s">
        <v>28</v>
      </c>
      <c r="C37" s="2" t="s">
        <v>4</v>
      </c>
      <c r="D37" s="181">
        <v>72</v>
      </c>
      <c r="E37" s="181">
        <v>42.28</v>
      </c>
      <c r="F37" s="181">
        <v>42.28</v>
      </c>
      <c r="G37" s="181">
        <v>42.28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13"/>
      <c r="Q37" s="13"/>
      <c r="R37" s="13"/>
      <c r="S37" s="13"/>
      <c r="T37" s="14"/>
      <c r="U37" s="14"/>
      <c r="V37" s="14"/>
      <c r="W37" s="14"/>
    </row>
    <row r="38" spans="1:23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8"/>
      <c r="M38" s="8"/>
      <c r="N38" s="8"/>
      <c r="O38" s="8"/>
      <c r="P38" s="13"/>
      <c r="Q38" s="13"/>
      <c r="R38" s="13"/>
      <c r="S38" s="13"/>
      <c r="T38" s="14"/>
      <c r="U38" s="14"/>
      <c r="V38" s="14"/>
      <c r="W38" s="14"/>
    </row>
    <row r="39" spans="1:23" ht="31.9" customHeight="1" x14ac:dyDescent="0.25">
      <c r="A39" s="2"/>
      <c r="B39" s="227" t="s">
        <v>141</v>
      </c>
      <c r="C39" s="4" t="s">
        <v>15</v>
      </c>
      <c r="D39" s="186">
        <f>D37*D38/10</f>
        <v>990</v>
      </c>
      <c r="E39" s="186">
        <f t="shared" ref="E39:G39" si="16">E37*E38/10</f>
        <v>591.91999999999996</v>
      </c>
      <c r="F39" s="186">
        <f t="shared" si="16"/>
        <v>0</v>
      </c>
      <c r="G39" s="186">
        <f t="shared" si="16"/>
        <v>0</v>
      </c>
      <c r="H39" s="181">
        <f t="shared" si="2"/>
        <v>0</v>
      </c>
      <c r="I39" s="186"/>
      <c r="J39" s="13"/>
      <c r="K39" s="8"/>
      <c r="L39" s="8"/>
      <c r="M39" s="8"/>
      <c r="N39" s="8"/>
      <c r="O39" s="8"/>
      <c r="P39" s="13"/>
      <c r="Q39" s="13"/>
      <c r="R39" s="13"/>
      <c r="S39" s="13"/>
      <c r="T39" s="14"/>
      <c r="U39" s="14"/>
      <c r="V39" s="14"/>
      <c r="W39" s="14"/>
    </row>
    <row r="40" spans="1:23" ht="31.9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8"/>
      <c r="M40" s="8"/>
      <c r="N40" s="8"/>
      <c r="O40" s="8"/>
      <c r="P40" s="13"/>
      <c r="Q40" s="13"/>
      <c r="R40" s="13"/>
      <c r="S40" s="13"/>
      <c r="T40" s="14"/>
      <c r="U40" s="14"/>
      <c r="V40" s="14"/>
      <c r="W40" s="14"/>
    </row>
    <row r="41" spans="1:23" ht="31.9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8"/>
      <c r="M41" s="8"/>
      <c r="N41" s="8"/>
      <c r="O41" s="8"/>
      <c r="P41" s="13"/>
      <c r="Q41" s="13"/>
      <c r="R41" s="13"/>
      <c r="S41" s="13"/>
      <c r="T41" s="14"/>
      <c r="U41" s="14"/>
      <c r="V41" s="14"/>
      <c r="W41" s="14"/>
    </row>
    <row r="42" spans="1:23" ht="31.9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7">F40*F41/10</f>
        <v>0</v>
      </c>
      <c r="G42" s="188">
        <f t="shared" si="17"/>
        <v>0</v>
      </c>
      <c r="H42" s="181">
        <f t="shared" si="2"/>
        <v>0</v>
      </c>
      <c r="I42" s="186"/>
      <c r="J42" s="13"/>
      <c r="K42" s="8"/>
      <c r="L42" s="8"/>
      <c r="M42" s="8"/>
      <c r="N42" s="8"/>
      <c r="O42" s="8"/>
      <c r="P42" s="13"/>
      <c r="Q42" s="13"/>
      <c r="R42" s="13"/>
      <c r="S42" s="13"/>
      <c r="T42" s="14"/>
      <c r="U42" s="14"/>
      <c r="V42" s="14"/>
      <c r="W42" s="14"/>
    </row>
    <row r="43" spans="1:23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6"/>
      <c r="K43" s="8"/>
      <c r="L43" s="63"/>
      <c r="M43" s="63"/>
      <c r="N43" s="63"/>
      <c r="O43" s="63"/>
      <c r="P43" s="15"/>
      <c r="Q43" s="15"/>
      <c r="R43" s="15"/>
      <c r="S43" s="15"/>
    </row>
    <row r="44" spans="1:23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14"/>
      <c r="L44" s="19"/>
      <c r="M44" s="19"/>
      <c r="N44" s="19"/>
    </row>
    <row r="45" spans="1:23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8">F43*F44/10</f>
        <v>0</v>
      </c>
      <c r="G45" s="186">
        <f t="shared" si="18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3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57.97</v>
      </c>
      <c r="E46" s="181">
        <f t="shared" ref="E46:G46" si="19">E47+E55+E64</f>
        <v>67.37</v>
      </c>
      <c r="F46" s="181">
        <f t="shared" si="19"/>
        <v>52.87</v>
      </c>
      <c r="G46" s="181">
        <f t="shared" si="19"/>
        <v>52.87</v>
      </c>
      <c r="H46" s="181">
        <f t="shared" si="2"/>
        <v>78.477066943743495</v>
      </c>
      <c r="I46" s="181"/>
      <c r="J46" s="19"/>
      <c r="K46" s="114"/>
      <c r="L46" s="19"/>
      <c r="M46" s="19"/>
      <c r="N46" s="19"/>
    </row>
    <row r="47" spans="1:23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32.97</v>
      </c>
      <c r="E47" s="181">
        <f t="shared" ref="E47:G47" si="20">E48+E49</f>
        <v>44.87</v>
      </c>
      <c r="F47" s="181">
        <f t="shared" si="20"/>
        <v>32.97</v>
      </c>
      <c r="G47" s="181">
        <f t="shared" si="20"/>
        <v>32.97</v>
      </c>
      <c r="H47" s="181">
        <f t="shared" si="2"/>
        <v>73.478939157566302</v>
      </c>
      <c r="I47" s="181"/>
      <c r="J47" s="19"/>
      <c r="K47" s="19"/>
      <c r="L47" s="19"/>
      <c r="M47" s="19"/>
      <c r="N47" s="19"/>
    </row>
    <row r="48" spans="1:23" ht="31.9" customHeight="1" x14ac:dyDescent="0.25">
      <c r="A48" s="5" t="s">
        <v>22</v>
      </c>
      <c r="B48" s="273" t="s">
        <v>117</v>
      </c>
      <c r="C48" s="274" t="s">
        <v>4</v>
      </c>
      <c r="D48" s="186">
        <v>32.31</v>
      </c>
      <c r="E48" s="186">
        <f>D48+D49</f>
        <v>32.97</v>
      </c>
      <c r="F48" s="186">
        <v>32.97</v>
      </c>
      <c r="G48" s="186">
        <v>32.97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</row>
    <row r="49" spans="1:19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0.65999999999999992</v>
      </c>
      <c r="E49" s="181">
        <f t="shared" ref="E49:G49" si="21">E50+E51</f>
        <v>11.9</v>
      </c>
      <c r="F49" s="181">
        <f t="shared" si="21"/>
        <v>0</v>
      </c>
      <c r="G49" s="181">
        <f t="shared" si="21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9" ht="31.9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v>9.4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9"/>
      <c r="L50" s="19"/>
      <c r="M50" s="19"/>
      <c r="N50" s="19"/>
    </row>
    <row r="51" spans="1:19" ht="31.9" customHeight="1" x14ac:dyDescent="0.25">
      <c r="A51" s="274" t="s">
        <v>16</v>
      </c>
      <c r="B51" s="276" t="s">
        <v>33</v>
      </c>
      <c r="C51" s="4" t="s">
        <v>4</v>
      </c>
      <c r="D51" s="186">
        <f>0.86-0.2</f>
        <v>0.65999999999999992</v>
      </c>
      <c r="E51" s="186">
        <v>2.5</v>
      </c>
      <c r="F51" s="186">
        <v>0</v>
      </c>
      <c r="G51" s="186">
        <v>0</v>
      </c>
      <c r="H51" s="181">
        <f t="shared" si="2"/>
        <v>0</v>
      </c>
      <c r="I51" s="186"/>
      <c r="J51" s="19"/>
      <c r="K51" s="19"/>
      <c r="L51" s="19"/>
      <c r="M51" s="19"/>
      <c r="N51" s="19"/>
    </row>
    <row r="52" spans="1:19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21</v>
      </c>
      <c r="E52" s="181">
        <f t="shared" ref="E52:G52" si="22">E53+E54</f>
        <v>27.4635</v>
      </c>
      <c r="F52" s="181">
        <f t="shared" si="22"/>
        <v>27.46</v>
      </c>
      <c r="G52" s="181">
        <f t="shared" si="22"/>
        <v>27.46</v>
      </c>
      <c r="H52" s="181">
        <f t="shared" si="2"/>
        <v>99.987255812259917</v>
      </c>
      <c r="I52" s="181"/>
      <c r="J52" s="103"/>
      <c r="K52" s="103"/>
      <c r="L52" s="103"/>
      <c r="M52" s="103"/>
      <c r="N52" s="103"/>
    </row>
    <row r="53" spans="1:19" ht="31.9" customHeight="1" x14ac:dyDescent="0.25">
      <c r="A53" s="277" t="s">
        <v>16</v>
      </c>
      <c r="B53" s="276" t="s">
        <v>119</v>
      </c>
      <c r="C53" s="4" t="s">
        <v>4</v>
      </c>
      <c r="D53" s="186">
        <v>21</v>
      </c>
      <c r="E53" s="186">
        <f>D48*85%</f>
        <v>27.4635</v>
      </c>
      <c r="F53" s="186">
        <v>27.46</v>
      </c>
      <c r="G53" s="186">
        <v>27.46</v>
      </c>
      <c r="H53" s="186">
        <f t="shared" si="2"/>
        <v>99.987255812259917</v>
      </c>
      <c r="I53" s="186"/>
      <c r="J53" s="19"/>
      <c r="K53" s="19"/>
      <c r="L53" s="114"/>
      <c r="M53" s="19"/>
      <c r="N53" s="19"/>
    </row>
    <row r="54" spans="1:19" ht="31.9" customHeight="1" x14ac:dyDescent="0.25">
      <c r="A54" s="4"/>
      <c r="B54" s="276" t="s">
        <v>120</v>
      </c>
      <c r="C54" s="4" t="s">
        <v>4</v>
      </c>
      <c r="D54" s="186"/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9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16.5</v>
      </c>
      <c r="E55" s="181">
        <f t="shared" ref="E55:G55" si="23">E56+E57</f>
        <v>20.5</v>
      </c>
      <c r="F55" s="181">
        <f t="shared" si="23"/>
        <v>17.899999999999999</v>
      </c>
      <c r="G55" s="181">
        <f t="shared" si="23"/>
        <v>17.899999999999999</v>
      </c>
      <c r="H55" s="181">
        <f t="shared" si="2"/>
        <v>87.317073170731703</v>
      </c>
      <c r="I55" s="181"/>
      <c r="J55" s="19"/>
      <c r="K55" s="19"/>
      <c r="L55" s="19"/>
      <c r="M55" s="19"/>
      <c r="N55" s="19"/>
    </row>
    <row r="56" spans="1:19" ht="31.9" customHeight="1" x14ac:dyDescent="0.25">
      <c r="A56" s="4" t="s">
        <v>22</v>
      </c>
      <c r="B56" s="273" t="s">
        <v>118</v>
      </c>
      <c r="C56" s="4" t="s">
        <v>4</v>
      </c>
      <c r="D56" s="186">
        <v>16.5</v>
      </c>
      <c r="E56" s="186">
        <f>D56+E58</f>
        <v>17.899999999999999</v>
      </c>
      <c r="F56" s="186">
        <v>17.899999999999999</v>
      </c>
      <c r="G56" s="186">
        <v>17.899999999999999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9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4">E58+E61</f>
        <v>2.5999999999999996</v>
      </c>
      <c r="F57" s="186">
        <f t="shared" si="24"/>
        <v>0</v>
      </c>
      <c r="G57" s="186">
        <f t="shared" si="24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9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5">E59+E60</f>
        <v>1.4</v>
      </c>
      <c r="F58" s="189">
        <f t="shared" si="25"/>
        <v>0</v>
      </c>
      <c r="G58" s="189">
        <f t="shared" si="25"/>
        <v>0</v>
      </c>
      <c r="H58" s="181">
        <f t="shared" si="2"/>
        <v>0</v>
      </c>
      <c r="I58" s="189"/>
      <c r="J58" s="107"/>
      <c r="K58" s="108"/>
      <c r="L58" s="34"/>
      <c r="M58" s="34"/>
      <c r="N58" s="34"/>
      <c r="O58" s="34"/>
      <c r="P58" s="34"/>
      <c r="Q58" s="51"/>
      <c r="R58" s="48"/>
      <c r="S58" s="48"/>
    </row>
    <row r="59" spans="1:19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0.7</v>
      </c>
      <c r="F59" s="186">
        <v>0</v>
      </c>
      <c r="G59" s="186">
        <v>0</v>
      </c>
      <c r="H59" s="181">
        <f t="shared" si="2"/>
        <v>0</v>
      </c>
      <c r="I59" s="186"/>
      <c r="J59" s="114"/>
      <c r="K59" s="47"/>
      <c r="L59" s="6"/>
      <c r="M59" s="6"/>
      <c r="N59" s="6"/>
      <c r="O59" s="6"/>
      <c r="P59" s="6"/>
      <c r="Q59" s="39"/>
      <c r="R59" s="30"/>
      <c r="S59" s="30"/>
    </row>
    <row r="60" spans="1:19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0.7</v>
      </c>
      <c r="F60" s="186">
        <v>0</v>
      </c>
      <c r="G60" s="186">
        <v>0</v>
      </c>
      <c r="H60" s="181">
        <f t="shared" si="2"/>
        <v>0</v>
      </c>
      <c r="I60" s="186"/>
      <c r="J60" s="114"/>
      <c r="K60" s="47"/>
      <c r="L60" s="6"/>
      <c r="M60" s="6"/>
      <c r="N60" s="6"/>
      <c r="O60" s="6"/>
      <c r="P60" s="6"/>
      <c r="Q60" s="39"/>
      <c r="R60" s="30"/>
      <c r="S60" s="30"/>
    </row>
    <row r="61" spans="1:19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6">E62+E63</f>
        <v>1.2</v>
      </c>
      <c r="F61" s="189">
        <f t="shared" si="26"/>
        <v>0</v>
      </c>
      <c r="G61" s="189">
        <f t="shared" si="26"/>
        <v>0</v>
      </c>
      <c r="H61" s="181">
        <f t="shared" si="2"/>
        <v>0</v>
      </c>
      <c r="I61" s="189"/>
      <c r="J61" s="114"/>
      <c r="K61" s="108"/>
      <c r="L61" s="34"/>
      <c r="M61" s="34"/>
      <c r="N61" s="34"/>
      <c r="O61" s="51"/>
      <c r="P61" s="51"/>
      <c r="Q61" s="51"/>
      <c r="R61" s="48"/>
      <c r="S61" s="48"/>
    </row>
    <row r="62" spans="1:19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0.7</v>
      </c>
      <c r="F62" s="186">
        <v>0</v>
      </c>
      <c r="G62" s="186">
        <v>0</v>
      </c>
      <c r="H62" s="181">
        <f t="shared" si="2"/>
        <v>0</v>
      </c>
      <c r="I62" s="186"/>
      <c r="J62" s="114"/>
      <c r="K62" s="47"/>
      <c r="L62" s="6"/>
      <c r="M62" s="6"/>
      <c r="N62" s="6"/>
      <c r="O62" s="6"/>
      <c r="P62" s="6"/>
      <c r="Q62" s="39"/>
      <c r="R62" s="30"/>
      <c r="S62" s="30"/>
    </row>
    <row r="63" spans="1:19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0.5</v>
      </c>
      <c r="F63" s="186">
        <v>0</v>
      </c>
      <c r="G63" s="186">
        <v>0</v>
      </c>
      <c r="H63" s="181">
        <f t="shared" si="2"/>
        <v>0</v>
      </c>
      <c r="I63" s="186"/>
      <c r="J63" s="114"/>
      <c r="K63" s="47"/>
      <c r="L63" s="6"/>
      <c r="M63" s="6"/>
      <c r="N63" s="6"/>
      <c r="O63" s="6"/>
      <c r="P63" s="6"/>
      <c r="Q63" s="39"/>
      <c r="R63" s="30"/>
      <c r="S63" s="30"/>
    </row>
    <row r="64" spans="1:19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8.5</v>
      </c>
      <c r="E64" s="181">
        <f t="shared" ref="E64:G64" si="27">E65+E66</f>
        <v>2</v>
      </c>
      <c r="F64" s="181">
        <f t="shared" si="27"/>
        <v>2</v>
      </c>
      <c r="G64" s="181">
        <f t="shared" si="27"/>
        <v>2</v>
      </c>
      <c r="H64" s="181">
        <f t="shared" si="2"/>
        <v>100</v>
      </c>
      <c r="I64" s="181"/>
      <c r="J64" s="114"/>
      <c r="K64" s="47"/>
      <c r="L64" s="47"/>
      <c r="M64" s="47"/>
      <c r="N64" s="47"/>
      <c r="O64" s="30"/>
      <c r="P64" s="30"/>
      <c r="Q64" s="30"/>
      <c r="R64" s="30"/>
      <c r="S64" s="30"/>
    </row>
    <row r="65" spans="1:17" ht="31.9" customHeight="1" x14ac:dyDescent="0.25">
      <c r="A65" s="4" t="s">
        <v>16</v>
      </c>
      <c r="B65" s="273" t="s">
        <v>117</v>
      </c>
      <c r="C65" s="4" t="s">
        <v>4</v>
      </c>
      <c r="D65" s="186">
        <v>8.5</v>
      </c>
      <c r="E65" s="186">
        <v>2</v>
      </c>
      <c r="F65" s="186">
        <v>2</v>
      </c>
      <c r="G65" s="186">
        <v>2</v>
      </c>
      <c r="H65" s="186">
        <f t="shared" si="2"/>
        <v>100</v>
      </c>
      <c r="I65" s="186"/>
      <c r="J65" s="19"/>
      <c r="K65" s="13"/>
      <c r="L65" s="13"/>
      <c r="M65" s="13"/>
      <c r="N65" s="13"/>
    </row>
    <row r="66" spans="1:17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53.25</v>
      </c>
      <c r="E67" s="181">
        <f t="shared" ref="E67:G67" si="28">E68+E71</f>
        <v>47.01</v>
      </c>
      <c r="F67" s="181">
        <f t="shared" si="28"/>
        <v>46.44</v>
      </c>
      <c r="G67" s="181">
        <f t="shared" si="28"/>
        <v>46.44</v>
      </c>
      <c r="H67" s="181">
        <f t="shared" si="2"/>
        <v>98.787492022973836</v>
      </c>
      <c r="I67" s="181"/>
      <c r="J67" s="19"/>
      <c r="K67" s="19"/>
      <c r="L67" s="19"/>
      <c r="M67" s="19"/>
      <c r="N67" s="19"/>
    </row>
    <row r="68" spans="1:17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29">E69+E70</f>
        <v>0</v>
      </c>
      <c r="F68" s="181">
        <f t="shared" si="29"/>
        <v>0</v>
      </c>
      <c r="G68" s="181">
        <f t="shared" si="29"/>
        <v>0</v>
      </c>
      <c r="H68" s="181"/>
      <c r="I68" s="181"/>
      <c r="J68" s="19"/>
      <c r="K68" s="19"/>
      <c r="L68" s="19"/>
      <c r="M68" s="19"/>
      <c r="N68" s="19"/>
    </row>
    <row r="69" spans="1:17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19"/>
      <c r="L69" s="19"/>
      <c r="M69" s="19"/>
      <c r="N69" s="19"/>
    </row>
    <row r="70" spans="1:17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1"/>
      <c r="I70" s="186"/>
      <c r="J70" s="19"/>
      <c r="K70" s="19"/>
      <c r="L70" s="19"/>
      <c r="M70" s="19"/>
      <c r="N70" s="19"/>
    </row>
    <row r="71" spans="1:17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53.25</v>
      </c>
      <c r="E71" s="181">
        <f t="shared" ref="E71:G71" si="30">E72+E73</f>
        <v>47.01</v>
      </c>
      <c r="F71" s="181">
        <f t="shared" si="30"/>
        <v>46.44</v>
      </c>
      <c r="G71" s="181">
        <f t="shared" si="30"/>
        <v>46.44</v>
      </c>
      <c r="H71" s="181">
        <f t="shared" si="2"/>
        <v>98.787492022973836</v>
      </c>
      <c r="I71" s="181"/>
      <c r="J71" s="19"/>
      <c r="K71" s="19"/>
      <c r="L71" s="19"/>
      <c r="M71" s="19"/>
      <c r="N71" s="19"/>
    </row>
    <row r="72" spans="1:17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52.75</v>
      </c>
      <c r="E72" s="192">
        <f>E75+E82</f>
        <v>46.44</v>
      </c>
      <c r="F72" s="192">
        <f t="shared" ref="F72:G72" si="31">F75+F82</f>
        <v>46.44</v>
      </c>
      <c r="G72" s="192">
        <f t="shared" si="31"/>
        <v>46.44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17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ref="E73:G73" si="32">E76+E83</f>
        <v>0.56999999999999995</v>
      </c>
      <c r="F73" s="181">
        <f t="shared" si="32"/>
        <v>0</v>
      </c>
      <c r="G73" s="181">
        <f t="shared" si="32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37.44</v>
      </c>
      <c r="E74" s="194">
        <f t="shared" ref="E74:G74" si="33">E75+E76</f>
        <v>34.44</v>
      </c>
      <c r="F74" s="194">
        <f t="shared" si="33"/>
        <v>34.44</v>
      </c>
      <c r="G74" s="194">
        <f t="shared" si="33"/>
        <v>34.44</v>
      </c>
      <c r="H74" s="203">
        <f t="shared" ref="H74:H98" si="34">F74/E74*100</f>
        <v>100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1.9" customHeight="1" x14ac:dyDescent="0.25">
      <c r="A75" s="5" t="s">
        <v>22</v>
      </c>
      <c r="B75" s="281" t="s">
        <v>117</v>
      </c>
      <c r="C75" s="4" t="s">
        <v>4</v>
      </c>
      <c r="D75" s="196">
        <f>32.94+4</f>
        <v>36.94</v>
      </c>
      <c r="E75" s="196">
        <f>37.44-3</f>
        <v>34.44</v>
      </c>
      <c r="F75" s="186">
        <v>34.44</v>
      </c>
      <c r="G75" s="186">
        <v>34.44</v>
      </c>
      <c r="H75" s="186">
        <f t="shared" si="34"/>
        <v>100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17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0.5</v>
      </c>
      <c r="E76" s="197">
        <f>SUM(E77:E80)</f>
        <v>0</v>
      </c>
      <c r="F76" s="197">
        <f t="shared" ref="F76:G76" si="35">SUM(F77:F80)</f>
        <v>0</v>
      </c>
      <c r="G76" s="197">
        <f t="shared" si="35"/>
        <v>0</v>
      </c>
      <c r="H76" s="181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7"/>
      <c r="L77" s="109"/>
      <c r="M77" s="110"/>
      <c r="N77" s="110"/>
      <c r="O77" s="18"/>
      <c r="P77" s="56"/>
      <c r="Q77" s="56"/>
    </row>
    <row r="78" spans="1:17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1.9" customHeight="1" x14ac:dyDescent="0.25">
      <c r="A80" s="3" t="s">
        <v>16</v>
      </c>
      <c r="B80" s="284" t="s">
        <v>129</v>
      </c>
      <c r="C80" s="3" t="s">
        <v>4</v>
      </c>
      <c r="D80" s="186">
        <v>0.5</v>
      </c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20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15.81</v>
      </c>
      <c r="E81" s="194">
        <f t="shared" ref="E81:G81" si="36">E82+E83</f>
        <v>12.57</v>
      </c>
      <c r="F81" s="194">
        <f t="shared" si="36"/>
        <v>12</v>
      </c>
      <c r="G81" s="194">
        <f t="shared" si="36"/>
        <v>12</v>
      </c>
      <c r="H81" s="203">
        <f t="shared" si="34"/>
        <v>95.465393794749403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20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f>11.9+3.91</f>
        <v>15.81</v>
      </c>
      <c r="E82" s="189">
        <v>12</v>
      </c>
      <c r="F82" s="189">
        <v>12</v>
      </c>
      <c r="G82" s="189">
        <v>12</v>
      </c>
      <c r="H82" s="189">
        <f t="shared" si="34"/>
        <v>100</v>
      </c>
      <c r="I82" s="189"/>
      <c r="J82" s="107"/>
      <c r="K82" s="107"/>
      <c r="L82" s="110"/>
      <c r="M82" s="109"/>
      <c r="N82" s="109"/>
      <c r="O82" s="40"/>
      <c r="P82" s="40"/>
      <c r="Q82" s="40"/>
    </row>
    <row r="83" spans="1:20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7">SUM(D84:D87)</f>
        <v>0</v>
      </c>
      <c r="E83" s="196">
        <f>SUM(E84:E87)</f>
        <v>0.56999999999999995</v>
      </c>
      <c r="F83" s="196">
        <f t="shared" ref="F83:G83" si="38">SUM(F84:F87)</f>
        <v>0</v>
      </c>
      <c r="G83" s="196">
        <f t="shared" si="38"/>
        <v>0</v>
      </c>
      <c r="H83" s="181">
        <f t="shared" si="34"/>
        <v>0</v>
      </c>
      <c r="I83" s="196"/>
      <c r="J83" s="107"/>
      <c r="K83" s="107"/>
      <c r="L83" s="109"/>
      <c r="M83" s="109"/>
      <c r="N83" s="109"/>
      <c r="O83" s="18"/>
      <c r="P83" s="18"/>
      <c r="Q83" s="18"/>
    </row>
    <row r="84" spans="1:20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</row>
    <row r="85" spans="1:20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</row>
    <row r="86" spans="1:20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20" ht="31.9" customHeight="1" x14ac:dyDescent="0.25">
      <c r="A87" s="282" t="s">
        <v>16</v>
      </c>
      <c r="B87" s="283" t="s">
        <v>114</v>
      </c>
      <c r="C87" s="3" t="s">
        <v>4</v>
      </c>
      <c r="D87" s="186"/>
      <c r="E87" s="186">
        <v>0.56999999999999995</v>
      </c>
      <c r="F87" s="186">
        <v>0</v>
      </c>
      <c r="G87" s="186">
        <v>0</v>
      </c>
      <c r="H87" s="181">
        <f t="shared" si="34"/>
        <v>0</v>
      </c>
      <c r="I87" s="186"/>
      <c r="J87" s="109"/>
      <c r="K87" s="109"/>
      <c r="L87" s="109"/>
      <c r="M87" s="58"/>
      <c r="N87" s="58"/>
      <c r="O87" s="14"/>
      <c r="P87" s="14"/>
      <c r="Q87" s="14"/>
      <c r="R87" s="14"/>
      <c r="S87" s="14"/>
      <c r="T87" s="18"/>
    </row>
    <row r="88" spans="1:20" ht="31.9" customHeight="1" x14ac:dyDescent="0.25">
      <c r="A88" s="2" t="s">
        <v>42</v>
      </c>
      <c r="B88" s="224" t="s">
        <v>43</v>
      </c>
      <c r="C88" s="2"/>
      <c r="D88" s="181">
        <f>SUM(D89:D93)</f>
        <v>1376</v>
      </c>
      <c r="E88" s="181">
        <f t="shared" ref="E88:G88" si="39">SUM(E89:E93)</f>
        <v>1142</v>
      </c>
      <c r="F88" s="181">
        <f t="shared" si="39"/>
        <v>1061</v>
      </c>
      <c r="G88" s="181">
        <f t="shared" si="39"/>
        <v>1061</v>
      </c>
      <c r="H88" s="181">
        <f t="shared" si="34"/>
        <v>92.907180385288967</v>
      </c>
      <c r="I88" s="181"/>
      <c r="J88" s="20"/>
      <c r="K88" s="20"/>
      <c r="L88" s="20"/>
      <c r="M88" s="20"/>
      <c r="N88" s="20"/>
    </row>
    <row r="89" spans="1:20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124</v>
      </c>
      <c r="E89" s="186">
        <f>8+4</f>
        <v>12</v>
      </c>
      <c r="F89" s="186">
        <v>11</v>
      </c>
      <c r="G89" s="186">
        <f>F89</f>
        <v>11</v>
      </c>
      <c r="H89" s="186">
        <f t="shared" si="34"/>
        <v>91.666666666666657</v>
      </c>
      <c r="I89" s="186"/>
      <c r="J89" s="112"/>
      <c r="K89" s="157"/>
      <c r="L89" s="115"/>
      <c r="M89" s="112"/>
      <c r="N89" s="112"/>
    </row>
    <row r="90" spans="1:20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v>207</v>
      </c>
      <c r="E90" s="186">
        <f>216+35</f>
        <v>251</v>
      </c>
      <c r="F90" s="186">
        <v>249</v>
      </c>
      <c r="G90" s="186">
        <f>F90</f>
        <v>249</v>
      </c>
      <c r="H90" s="186">
        <f t="shared" si="34"/>
        <v>99.203187250996024</v>
      </c>
      <c r="I90" s="186"/>
      <c r="J90" s="112"/>
      <c r="K90" s="157"/>
      <c r="L90" s="115"/>
      <c r="M90" s="112"/>
      <c r="N90" s="112"/>
    </row>
    <row r="91" spans="1:20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v>118</v>
      </c>
      <c r="E91" s="186">
        <f>20+6</f>
        <v>26</v>
      </c>
      <c r="F91" s="186">
        <v>22</v>
      </c>
      <c r="G91" s="186">
        <f>F91</f>
        <v>22</v>
      </c>
      <c r="H91" s="186">
        <f t="shared" si="34"/>
        <v>84.615384615384613</v>
      </c>
      <c r="I91" s="186"/>
      <c r="J91" s="112"/>
      <c r="K91" s="157"/>
      <c r="L91" s="115"/>
      <c r="M91" s="112"/>
      <c r="N91" s="112"/>
    </row>
    <row r="92" spans="1:20" s="84" customFormat="1" ht="31.9" customHeight="1" x14ac:dyDescent="0.25">
      <c r="A92" s="4">
        <v>4</v>
      </c>
      <c r="B92" s="227" t="s">
        <v>47</v>
      </c>
      <c r="C92" s="4" t="s">
        <v>6</v>
      </c>
      <c r="D92" s="186">
        <v>20</v>
      </c>
      <c r="E92" s="186">
        <f>22+6</f>
        <v>28</v>
      </c>
      <c r="F92" s="186">
        <v>26</v>
      </c>
      <c r="G92" s="186">
        <f>F92</f>
        <v>26</v>
      </c>
      <c r="H92" s="186">
        <f t="shared" si="34"/>
        <v>92.857142857142861</v>
      </c>
      <c r="I92" s="186"/>
      <c r="J92" s="112"/>
      <c r="K92" s="157"/>
      <c r="L92" s="112"/>
      <c r="M92" s="112"/>
      <c r="N92" s="112"/>
    </row>
    <row r="93" spans="1:20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907</v>
      </c>
      <c r="E93" s="186">
        <f>913-88</f>
        <v>825</v>
      </c>
      <c r="F93" s="186">
        <v>753</v>
      </c>
      <c r="G93" s="186">
        <f>F93</f>
        <v>753</v>
      </c>
      <c r="H93" s="186">
        <f t="shared" si="34"/>
        <v>91.272727272727266</v>
      </c>
      <c r="I93" s="186"/>
      <c r="J93" s="157"/>
      <c r="K93" s="157"/>
      <c r="L93" s="115"/>
      <c r="M93" s="112"/>
      <c r="N93" s="112"/>
    </row>
    <row r="94" spans="1:20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1.1000000000000001</v>
      </c>
      <c r="E94" s="181">
        <f t="shared" ref="E94:G94" si="40">E95</f>
        <v>1.1000000000000001</v>
      </c>
      <c r="F94" s="181">
        <f t="shared" si="40"/>
        <v>1.1000000000000001</v>
      </c>
      <c r="G94" s="181">
        <f t="shared" si="40"/>
        <v>1.1000000000000001</v>
      </c>
      <c r="H94" s="181">
        <f t="shared" si="34"/>
        <v>100</v>
      </c>
      <c r="I94" s="181"/>
      <c r="J94" s="211"/>
      <c r="K94" s="211"/>
      <c r="L94" s="22"/>
      <c r="M94" s="22"/>
      <c r="N94" s="22"/>
    </row>
    <row r="95" spans="1:20" ht="31.9" customHeight="1" x14ac:dyDescent="0.25">
      <c r="A95" s="3" t="s">
        <v>16</v>
      </c>
      <c r="B95" s="279" t="s">
        <v>51</v>
      </c>
      <c r="C95" s="3" t="s">
        <v>4</v>
      </c>
      <c r="D95" s="186">
        <v>1.1000000000000001</v>
      </c>
      <c r="E95" s="186">
        <v>1.1000000000000001</v>
      </c>
      <c r="F95" s="186">
        <v>1.1000000000000001</v>
      </c>
      <c r="G95" s="186">
        <v>1.1000000000000001</v>
      </c>
      <c r="H95" s="186">
        <f t="shared" si="34"/>
        <v>100</v>
      </c>
      <c r="I95" s="186"/>
      <c r="J95" s="20"/>
      <c r="K95" s="20"/>
      <c r="L95" s="20"/>
      <c r="M95" s="20"/>
      <c r="N95" s="20"/>
    </row>
    <row r="96" spans="1:20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2.8</v>
      </c>
      <c r="E96" s="181">
        <f t="shared" ref="E96:G96" si="41">E97+E98</f>
        <v>0.84999999999999987</v>
      </c>
      <c r="F96" s="181">
        <f t="shared" si="41"/>
        <v>0</v>
      </c>
      <c r="G96" s="181">
        <f t="shared" si="41"/>
        <v>0</v>
      </c>
      <c r="H96" s="181">
        <f t="shared" si="34"/>
        <v>0</v>
      </c>
      <c r="I96" s="181"/>
      <c r="J96" s="20"/>
      <c r="K96" s="20"/>
      <c r="L96" s="20"/>
      <c r="M96" s="20"/>
      <c r="N96" s="20"/>
    </row>
    <row r="97" spans="1:14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0.2</v>
      </c>
      <c r="F97" s="186"/>
      <c r="G97" s="186"/>
      <c r="H97" s="181">
        <f t="shared" si="34"/>
        <v>0</v>
      </c>
      <c r="I97" s="186"/>
      <c r="J97" s="20"/>
      <c r="K97" s="20"/>
      <c r="L97" s="20"/>
      <c r="M97" s="20"/>
      <c r="N97" s="20"/>
    </row>
    <row r="98" spans="1:14" ht="31.9" customHeight="1" x14ac:dyDescent="0.25">
      <c r="A98" s="285" t="s">
        <v>16</v>
      </c>
      <c r="B98" s="281" t="s">
        <v>54</v>
      </c>
      <c r="C98" s="3" t="s">
        <v>4</v>
      </c>
      <c r="D98" s="186">
        <v>2.8</v>
      </c>
      <c r="E98" s="186">
        <f>1.9-1.25</f>
        <v>0.64999999999999991</v>
      </c>
      <c r="F98" s="186"/>
      <c r="G98" s="186"/>
      <c r="H98" s="181">
        <f t="shared" si="34"/>
        <v>0</v>
      </c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1181102362204722" bottom="0.43307086614173229" header="0" footer="0"/>
  <pageSetup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984"/>
  <sheetViews>
    <sheetView zoomScaleNormal="100" workbookViewId="0">
      <pane ySplit="8" topLeftCell="A33" activePane="bottomLeft" state="frozen"/>
      <selection pane="bottomLeft" activeCell="G35" sqref="G35"/>
    </sheetView>
  </sheetViews>
  <sheetFormatPr defaultColWidth="11.21875" defaultRowHeight="15" customHeight="1" x14ac:dyDescent="0.25"/>
  <cols>
    <col min="1" max="1" width="7.21875" style="220" customWidth="1"/>
    <col min="2" max="2" width="29.109375" style="220" customWidth="1"/>
    <col min="3" max="3" width="8.5546875" style="220" customWidth="1"/>
    <col min="4" max="4" width="17.44140625" style="220" customWidth="1"/>
    <col min="5" max="5" width="17.6640625" style="220" customWidth="1"/>
    <col min="6" max="9" width="12.6640625" style="220" customWidth="1"/>
    <col min="10" max="10" width="8.88671875" style="17" customWidth="1"/>
    <col min="11" max="11" width="18.8867187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 t="s">
        <v>176</v>
      </c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160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'KON PIA(16)'!A5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68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8">
        <v>352</v>
      </c>
      <c r="M8" s="19"/>
      <c r="N8" s="19"/>
    </row>
    <row r="9" spans="1:18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120.07</v>
      </c>
      <c r="E9" s="181">
        <f t="shared" ref="E9:G9" si="0">E13+E28+E37+E43+E46+E67</f>
        <v>126.14</v>
      </c>
      <c r="F9" s="181">
        <f>F13+F28+F37+F43+F46+F67</f>
        <v>107.50999999999999</v>
      </c>
      <c r="G9" s="181">
        <f t="shared" si="0"/>
        <v>107.50999999999999</v>
      </c>
      <c r="H9" s="181">
        <f>F9/E9*100</f>
        <v>85.230696052005712</v>
      </c>
      <c r="I9" s="181"/>
      <c r="J9" s="103"/>
      <c r="K9" s="103"/>
      <c r="L9" s="103"/>
      <c r="M9" s="103"/>
      <c r="N9" s="103"/>
    </row>
    <row r="10" spans="1:18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10.02</v>
      </c>
      <c r="F10" s="181">
        <f t="shared" si="1"/>
        <v>1.52</v>
      </c>
      <c r="G10" s="181">
        <f t="shared" si="1"/>
        <v>1.52</v>
      </c>
      <c r="H10" s="181">
        <f t="shared" ref="H10:H73" si="2">F10/E10*100</f>
        <v>15.169660678642716</v>
      </c>
      <c r="I10" s="181"/>
      <c r="J10" s="103"/>
      <c r="K10" s="103"/>
      <c r="L10" s="103"/>
      <c r="M10" s="103"/>
      <c r="N10" s="103"/>
    </row>
    <row r="11" spans="1:18" s="23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30.871770000000001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03"/>
      <c r="M11" s="103"/>
      <c r="N11" s="103"/>
    </row>
    <row r="12" spans="1:18" s="23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27.18177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03"/>
      <c r="M12" s="103"/>
      <c r="N12" s="103"/>
    </row>
    <row r="13" spans="1:18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9.02</v>
      </c>
      <c r="F13" s="181">
        <f t="shared" si="5"/>
        <v>0.52</v>
      </c>
      <c r="G13" s="181">
        <f t="shared" si="5"/>
        <v>0.52</v>
      </c>
      <c r="H13" s="181">
        <f t="shared" si="2"/>
        <v>5.7649667405764973</v>
      </c>
      <c r="I13" s="181"/>
      <c r="J13" s="19"/>
      <c r="K13" s="19"/>
      <c r="L13" s="19"/>
      <c r="M13" s="19"/>
      <c r="N13" s="19"/>
    </row>
    <row r="14" spans="1:18" ht="31.9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8" ht="31.9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27.18177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18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0.52</v>
      </c>
      <c r="F16" s="181">
        <v>0.52</v>
      </c>
      <c r="G16" s="181">
        <v>0.52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0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0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1.7420000000000002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0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8.5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20"/>
      <c r="O19" s="18"/>
      <c r="P19" s="18"/>
    </row>
    <row r="20" spans="1:20" ht="31.9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26.770000000000003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20"/>
      <c r="M20" s="20"/>
      <c r="N20" s="20"/>
      <c r="O20" s="18"/>
      <c r="P20" s="18"/>
    </row>
    <row r="21" spans="1:20" ht="31.9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22.7545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20"/>
      <c r="O21" s="18"/>
      <c r="P21" s="18"/>
    </row>
    <row r="22" spans="1:20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203">
        <v>6</v>
      </c>
      <c r="F22" s="203">
        <v>0</v>
      </c>
      <c r="G22" s="203">
        <v>0</v>
      </c>
      <c r="H22" s="181">
        <f t="shared" si="2"/>
        <v>0</v>
      </c>
      <c r="I22" s="181"/>
      <c r="J22" s="13"/>
      <c r="K22" s="13"/>
      <c r="L22" s="13"/>
      <c r="M22" s="13"/>
      <c r="N22" s="13"/>
      <c r="O22" s="14"/>
      <c r="P22" s="14"/>
      <c r="Q22" s="15"/>
      <c r="R22" s="15"/>
      <c r="S22" s="15"/>
      <c r="T22" s="15"/>
    </row>
    <row r="23" spans="1:20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13"/>
      <c r="M23" s="13"/>
      <c r="N23" s="13"/>
      <c r="O23" s="14"/>
      <c r="P23" s="14"/>
      <c r="Q23" s="15"/>
      <c r="R23" s="15"/>
      <c r="S23" s="15"/>
      <c r="T23" s="15"/>
    </row>
    <row r="24" spans="1:20" ht="31.9" customHeight="1" x14ac:dyDescent="0.25">
      <c r="A24" s="269"/>
      <c r="B24" s="227" t="s">
        <v>141</v>
      </c>
      <c r="C24" s="4" t="s">
        <v>15</v>
      </c>
      <c r="D24" s="186"/>
      <c r="E24" s="186"/>
      <c r="F24" s="186"/>
      <c r="G24" s="186"/>
      <c r="H24" s="181"/>
      <c r="I24" s="186"/>
      <c r="J24" s="13"/>
      <c r="K24" s="13"/>
      <c r="L24" s="13"/>
      <c r="M24" s="13"/>
      <c r="N24" s="13"/>
      <c r="O24" s="14"/>
      <c r="P24" s="14"/>
      <c r="Q24" s="15"/>
      <c r="R24" s="15"/>
      <c r="S24" s="15"/>
      <c r="T24" s="15"/>
    </row>
    <row r="25" spans="1:20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203">
        <v>2.5</v>
      </c>
      <c r="F25" s="203">
        <v>0</v>
      </c>
      <c r="G25" s="203">
        <v>0</v>
      </c>
      <c r="H25" s="181">
        <f t="shared" si="2"/>
        <v>0</v>
      </c>
      <c r="I25" s="181"/>
      <c r="J25" s="13"/>
      <c r="K25" s="13"/>
      <c r="L25" s="13"/>
      <c r="M25" s="13"/>
      <c r="N25" s="13"/>
      <c r="O25" s="14"/>
      <c r="P25" s="14"/>
      <c r="Q25" s="15"/>
      <c r="R25" s="15"/>
      <c r="S25" s="15"/>
      <c r="T25" s="15"/>
    </row>
    <row r="26" spans="1:20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>
        <f t="shared" si="2"/>
        <v>0</v>
      </c>
      <c r="I26" s="186"/>
      <c r="J26" s="13"/>
      <c r="K26" s="13"/>
      <c r="L26" s="13"/>
      <c r="M26" s="13"/>
      <c r="N26" s="13"/>
      <c r="O26" s="14"/>
      <c r="P26" s="14"/>
      <c r="Q26" s="15"/>
      <c r="R26" s="15"/>
      <c r="S26" s="15"/>
      <c r="T26" s="15"/>
    </row>
    <row r="27" spans="1:20" ht="31.9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 t="shared" ref="E27:G27" si="12">E25*E26/10</f>
        <v>3.8</v>
      </c>
      <c r="F27" s="186">
        <f t="shared" si="12"/>
        <v>0</v>
      </c>
      <c r="G27" s="186">
        <f t="shared" si="12"/>
        <v>0</v>
      </c>
      <c r="H27" s="181">
        <f t="shared" si="2"/>
        <v>0</v>
      </c>
      <c r="I27" s="186"/>
      <c r="J27" s="13"/>
      <c r="K27" s="13"/>
      <c r="L27" s="13"/>
      <c r="M27" s="13"/>
      <c r="N27" s="13"/>
      <c r="O27" s="14"/>
      <c r="P27" s="14"/>
      <c r="Q27" s="15"/>
      <c r="R27" s="15"/>
      <c r="S27" s="15"/>
      <c r="T27" s="15"/>
    </row>
    <row r="28" spans="1:20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3">D31+D34</f>
        <v>1</v>
      </c>
      <c r="E28" s="181">
        <f t="shared" si="13"/>
        <v>1</v>
      </c>
      <c r="F28" s="181">
        <f t="shared" si="13"/>
        <v>1</v>
      </c>
      <c r="G28" s="181">
        <f t="shared" si="13"/>
        <v>1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  <c r="T28" s="15"/>
    </row>
    <row r="29" spans="1:20" ht="31.9" customHeight="1" x14ac:dyDescent="0.25">
      <c r="A29" s="2"/>
      <c r="B29" s="227" t="s">
        <v>139</v>
      </c>
      <c r="C29" s="4" t="s">
        <v>140</v>
      </c>
      <c r="D29" s="186">
        <f>D35</f>
        <v>36.85</v>
      </c>
      <c r="E29" s="186">
        <f t="shared" ref="E29:G29" si="14">E35</f>
        <v>36.9</v>
      </c>
      <c r="F29" s="186">
        <f t="shared" si="14"/>
        <v>0</v>
      </c>
      <c r="G29" s="186">
        <f t="shared" si="14"/>
        <v>0</v>
      </c>
      <c r="H29" s="181">
        <f t="shared" si="2"/>
        <v>0</v>
      </c>
      <c r="I29" s="186"/>
      <c r="J29" s="16"/>
      <c r="K29" s="16"/>
      <c r="L29" s="16"/>
      <c r="M29" s="16"/>
      <c r="N29" s="16"/>
      <c r="O29" s="15"/>
      <c r="P29" s="15"/>
      <c r="Q29" s="15"/>
      <c r="R29" s="15"/>
      <c r="S29" s="15"/>
      <c r="T29" s="15"/>
    </row>
    <row r="30" spans="1:20" ht="31.9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5">E28*E29/10</f>
        <v>3.69</v>
      </c>
      <c r="F30" s="186">
        <f t="shared" si="15"/>
        <v>0</v>
      </c>
      <c r="G30" s="186">
        <f t="shared" si="15"/>
        <v>0</v>
      </c>
      <c r="H30" s="181">
        <f t="shared" si="2"/>
        <v>0</v>
      </c>
      <c r="I30" s="186"/>
      <c r="J30" s="16"/>
      <c r="K30" s="16"/>
      <c r="L30" s="16"/>
      <c r="M30" s="16"/>
      <c r="N30" s="16"/>
      <c r="O30" s="15"/>
      <c r="P30" s="15"/>
      <c r="Q30" s="15"/>
      <c r="R30" s="15"/>
      <c r="S30" s="15"/>
      <c r="T30" s="15"/>
    </row>
    <row r="31" spans="1:20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6"/>
      <c r="K31" s="6"/>
      <c r="L31" s="61"/>
      <c r="M31" s="61"/>
      <c r="N31" s="61"/>
      <c r="O31" s="61"/>
      <c r="P31" s="15"/>
      <c r="Q31" s="15"/>
      <c r="R31" s="15"/>
      <c r="S31" s="15"/>
      <c r="T31" s="15"/>
    </row>
    <row r="32" spans="1:20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6"/>
      <c r="L32" s="61"/>
      <c r="M32" s="61"/>
      <c r="N32" s="61"/>
      <c r="O32" s="61"/>
      <c r="P32" s="15"/>
      <c r="Q32" s="15"/>
      <c r="R32" s="15"/>
      <c r="S32" s="15"/>
      <c r="T32" s="15"/>
    </row>
    <row r="33" spans="1:25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6"/>
      <c r="L33" s="61"/>
      <c r="M33" s="61"/>
      <c r="N33" s="61"/>
      <c r="O33" s="61"/>
      <c r="P33" s="15"/>
      <c r="Q33" s="15"/>
      <c r="R33" s="15"/>
      <c r="S33" s="15"/>
      <c r="T33" s="15"/>
    </row>
    <row r="34" spans="1:25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6"/>
      <c r="J34" s="16"/>
      <c r="K34" s="29"/>
      <c r="L34" s="29"/>
      <c r="M34" s="29"/>
      <c r="N34" s="29"/>
      <c r="O34" s="29"/>
      <c r="P34" s="15"/>
      <c r="Q34" s="15"/>
      <c r="R34" s="15"/>
      <c r="S34" s="15"/>
      <c r="T34" s="15"/>
    </row>
    <row r="35" spans="1:25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29"/>
      <c r="L35" s="29"/>
      <c r="M35" s="29"/>
      <c r="N35" s="29"/>
      <c r="O35" s="29"/>
      <c r="P35" s="15"/>
      <c r="Q35" s="15"/>
      <c r="R35" s="15"/>
      <c r="S35" s="15"/>
      <c r="T35" s="15"/>
    </row>
    <row r="36" spans="1:25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6">E34*E35/10</f>
        <v>3.69</v>
      </c>
      <c r="F36" s="186">
        <f t="shared" si="16"/>
        <v>0</v>
      </c>
      <c r="G36" s="186">
        <f t="shared" si="16"/>
        <v>0</v>
      </c>
      <c r="H36" s="181">
        <f t="shared" si="2"/>
        <v>0</v>
      </c>
      <c r="I36" s="186"/>
      <c r="J36" s="16"/>
      <c r="K36" s="29"/>
      <c r="L36" s="29"/>
      <c r="M36" s="29"/>
      <c r="N36" s="29"/>
      <c r="O36" s="29"/>
      <c r="P36" s="15"/>
      <c r="Q36" s="15"/>
      <c r="R36" s="15"/>
      <c r="S36" s="15"/>
      <c r="T36" s="15"/>
    </row>
    <row r="37" spans="1:25" ht="31.9" customHeight="1" x14ac:dyDescent="0.25">
      <c r="A37" s="2">
        <v>2</v>
      </c>
      <c r="B37" s="225" t="s">
        <v>28</v>
      </c>
      <c r="C37" s="2" t="s">
        <v>4</v>
      </c>
      <c r="D37" s="181">
        <v>76.8</v>
      </c>
      <c r="E37" s="181">
        <v>67.650000000000006</v>
      </c>
      <c r="F37" s="181">
        <v>67.650000000000006</v>
      </c>
      <c r="G37" s="181">
        <v>67.650000000000006</v>
      </c>
      <c r="H37" s="181">
        <f t="shared" si="2"/>
        <v>100</v>
      </c>
      <c r="I37" s="181"/>
      <c r="J37" s="13"/>
      <c r="K37" s="8"/>
      <c r="L37" s="8"/>
      <c r="M37" s="8"/>
      <c r="N37" s="8"/>
      <c r="O37" s="8"/>
      <c r="P37" s="13"/>
      <c r="Q37" s="13"/>
      <c r="R37" s="13"/>
      <c r="S37" s="13"/>
      <c r="T37" s="13"/>
      <c r="U37" s="13"/>
      <c r="V37" s="13"/>
      <c r="W37" s="14"/>
      <c r="X37" s="14"/>
      <c r="Y37" s="14"/>
    </row>
    <row r="38" spans="1:25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8"/>
      <c r="L38" s="8"/>
      <c r="M38" s="8"/>
      <c r="N38" s="8"/>
      <c r="O38" s="8"/>
      <c r="P38" s="13"/>
      <c r="Q38" s="13"/>
      <c r="R38" s="13"/>
      <c r="S38" s="13"/>
      <c r="T38" s="13"/>
      <c r="U38" s="13"/>
      <c r="V38" s="13"/>
      <c r="W38" s="14"/>
      <c r="X38" s="14"/>
      <c r="Y38" s="14"/>
    </row>
    <row r="39" spans="1:25" ht="31.9" customHeight="1" x14ac:dyDescent="0.25">
      <c r="A39" s="2"/>
      <c r="B39" s="227" t="s">
        <v>141</v>
      </c>
      <c r="C39" s="4" t="s">
        <v>15</v>
      </c>
      <c r="D39" s="186">
        <f>D37*D38/10</f>
        <v>1056</v>
      </c>
      <c r="E39" s="186">
        <f t="shared" ref="E39:G39" si="17">E37*E38/10</f>
        <v>947.1</v>
      </c>
      <c r="F39" s="186">
        <f t="shared" si="17"/>
        <v>0</v>
      </c>
      <c r="G39" s="186">
        <f t="shared" si="17"/>
        <v>0</v>
      </c>
      <c r="H39" s="181">
        <f t="shared" si="2"/>
        <v>0</v>
      </c>
      <c r="I39" s="186"/>
      <c r="J39" s="13"/>
      <c r="K39" s="8"/>
      <c r="L39" s="8"/>
      <c r="M39" s="8"/>
      <c r="N39" s="8"/>
      <c r="O39" s="8"/>
      <c r="P39" s="13"/>
      <c r="Q39" s="13"/>
      <c r="R39" s="13"/>
      <c r="S39" s="13"/>
      <c r="T39" s="13"/>
      <c r="U39" s="13"/>
      <c r="V39" s="13"/>
      <c r="W39" s="14"/>
      <c r="X39" s="14"/>
      <c r="Y39" s="14"/>
    </row>
    <row r="40" spans="1:25" ht="31.9" customHeight="1" x14ac:dyDescent="0.25">
      <c r="A40" s="2">
        <v>3</v>
      </c>
      <c r="B40" s="223" t="s">
        <v>162</v>
      </c>
      <c r="C40" s="222" t="s">
        <v>4</v>
      </c>
      <c r="D40" s="184">
        <v>0.5</v>
      </c>
      <c r="E40" s="184">
        <v>0.5</v>
      </c>
      <c r="F40" s="181">
        <v>0</v>
      </c>
      <c r="G40" s="181">
        <v>0</v>
      </c>
      <c r="H40" s="181">
        <f t="shared" si="2"/>
        <v>0</v>
      </c>
      <c r="I40" s="186"/>
      <c r="J40" s="13"/>
      <c r="K40" s="8"/>
      <c r="L40" s="8"/>
      <c r="M40" s="8"/>
      <c r="N40" s="8"/>
      <c r="O40" s="8"/>
      <c r="P40" s="13"/>
      <c r="Q40" s="13"/>
      <c r="R40" s="13"/>
      <c r="S40" s="13"/>
      <c r="T40" s="13"/>
      <c r="U40" s="13"/>
      <c r="V40" s="13"/>
      <c r="W40" s="14"/>
      <c r="X40" s="14"/>
      <c r="Y40" s="14"/>
    </row>
    <row r="41" spans="1:25" ht="31.9" customHeight="1" x14ac:dyDescent="0.25">
      <c r="A41" s="2"/>
      <c r="B41" s="226" t="s">
        <v>139</v>
      </c>
      <c r="C41" s="233" t="s">
        <v>140</v>
      </c>
      <c r="D41" s="188">
        <v>25</v>
      </c>
      <c r="E41" s="188">
        <v>24.1</v>
      </c>
      <c r="F41" s="186"/>
      <c r="G41" s="186"/>
      <c r="H41" s="181">
        <f t="shared" si="2"/>
        <v>0</v>
      </c>
      <c r="I41" s="186"/>
      <c r="J41" s="13"/>
      <c r="K41" s="8"/>
      <c r="L41" s="8"/>
      <c r="M41" s="8"/>
      <c r="N41" s="8"/>
      <c r="O41" s="8"/>
      <c r="P41" s="13"/>
      <c r="Q41" s="13"/>
      <c r="R41" s="13"/>
      <c r="S41" s="13"/>
      <c r="T41" s="13"/>
      <c r="U41" s="13"/>
      <c r="V41" s="13"/>
      <c r="W41" s="14"/>
      <c r="X41" s="14"/>
      <c r="Y41" s="14"/>
    </row>
    <row r="42" spans="1:25" ht="31.9" customHeight="1" x14ac:dyDescent="0.25">
      <c r="A42" s="2"/>
      <c r="B42" s="226" t="s">
        <v>141</v>
      </c>
      <c r="C42" s="233" t="s">
        <v>15</v>
      </c>
      <c r="D42" s="188">
        <f>D40*D41/10</f>
        <v>1.25</v>
      </c>
      <c r="E42" s="188">
        <f>E40*E41/10</f>
        <v>1.2050000000000001</v>
      </c>
      <c r="F42" s="188">
        <f t="shared" ref="F42:G42" si="18">F40*F41/10</f>
        <v>0</v>
      </c>
      <c r="G42" s="188">
        <f t="shared" si="18"/>
        <v>0</v>
      </c>
      <c r="H42" s="181">
        <f t="shared" si="2"/>
        <v>0</v>
      </c>
      <c r="I42" s="186"/>
      <c r="J42" s="13"/>
      <c r="K42" s="8"/>
      <c r="L42" s="8"/>
      <c r="M42" s="8"/>
      <c r="N42" s="8"/>
      <c r="O42" s="8"/>
      <c r="P42" s="13"/>
      <c r="Q42" s="13"/>
      <c r="R42" s="13"/>
      <c r="S42" s="13"/>
      <c r="T42" s="13"/>
      <c r="U42" s="13"/>
      <c r="V42" s="13"/>
      <c r="W42" s="14"/>
      <c r="X42" s="14"/>
      <c r="Y42" s="14"/>
    </row>
    <row r="43" spans="1:25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26"/>
      <c r="L43" s="105"/>
      <c r="M43" s="105"/>
      <c r="N43" s="105"/>
      <c r="O43" s="105"/>
    </row>
    <row r="44" spans="1:25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26"/>
      <c r="L44" s="24"/>
      <c r="M44" s="24"/>
      <c r="N44" s="24"/>
      <c r="O44" s="39"/>
    </row>
    <row r="45" spans="1:25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5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19.87</v>
      </c>
      <c r="E46" s="181">
        <f t="shared" ref="E46:G46" si="20">E47+E55+E64</f>
        <v>28.97</v>
      </c>
      <c r="F46" s="181">
        <f t="shared" si="20"/>
        <v>19.27</v>
      </c>
      <c r="G46" s="181">
        <f t="shared" si="20"/>
        <v>19.27</v>
      </c>
      <c r="H46" s="181">
        <f t="shared" si="2"/>
        <v>66.517086641353131</v>
      </c>
      <c r="I46" s="181"/>
      <c r="J46" s="19"/>
      <c r="K46" s="19"/>
      <c r="L46" s="19"/>
      <c r="M46" s="19"/>
      <c r="N46" s="19"/>
    </row>
    <row r="47" spans="1:25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8.56</v>
      </c>
      <c r="E47" s="181">
        <f t="shared" ref="E47:G47" si="21">E48+E49</f>
        <v>17.66</v>
      </c>
      <c r="F47" s="181">
        <f t="shared" si="21"/>
        <v>8.56</v>
      </c>
      <c r="G47" s="181">
        <f t="shared" si="21"/>
        <v>8.56</v>
      </c>
      <c r="H47" s="181">
        <f t="shared" si="2"/>
        <v>48.471121177802942</v>
      </c>
      <c r="I47" s="181"/>
      <c r="J47" s="19"/>
      <c r="K47" s="19"/>
      <c r="L47" s="19"/>
      <c r="M47" s="19"/>
      <c r="N47" s="19"/>
    </row>
    <row r="48" spans="1:25" ht="31.9" customHeight="1" x14ac:dyDescent="0.25">
      <c r="A48" s="5" t="s">
        <v>22</v>
      </c>
      <c r="B48" s="273" t="s">
        <v>117</v>
      </c>
      <c r="C48" s="274" t="s">
        <v>4</v>
      </c>
      <c r="D48" s="186">
        <v>7.5</v>
      </c>
      <c r="E48" s="186">
        <f>D48+D49</f>
        <v>8.56</v>
      </c>
      <c r="F48" s="186">
        <v>8.56</v>
      </c>
      <c r="G48" s="186">
        <v>8.56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</row>
    <row r="49" spans="1:21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1.06</v>
      </c>
      <c r="E49" s="181">
        <f t="shared" ref="E49:G49" si="22">E50+E51</f>
        <v>9.1</v>
      </c>
      <c r="F49" s="181">
        <f t="shared" si="22"/>
        <v>0</v>
      </c>
      <c r="G49" s="181">
        <f t="shared" si="22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21" ht="31.9" customHeight="1" x14ac:dyDescent="0.25">
      <c r="A50" s="274" t="s">
        <v>16</v>
      </c>
      <c r="B50" s="276" t="s">
        <v>115</v>
      </c>
      <c r="C50" s="274" t="s">
        <v>4</v>
      </c>
      <c r="D50" s="186"/>
      <c r="E50" s="186">
        <f>6.6</f>
        <v>6.6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9"/>
      <c r="L50" s="19"/>
      <c r="M50" s="19"/>
      <c r="N50" s="19"/>
    </row>
    <row r="51" spans="1:21" ht="31.9" customHeight="1" x14ac:dyDescent="0.25">
      <c r="A51" s="274" t="s">
        <v>16</v>
      </c>
      <c r="B51" s="276" t="s">
        <v>33</v>
      </c>
      <c r="C51" s="4" t="s">
        <v>4</v>
      </c>
      <c r="D51" s="186">
        <f>0.86+0.2</f>
        <v>1.06</v>
      </c>
      <c r="E51" s="186">
        <f>2+0.5</f>
        <v>2.5</v>
      </c>
      <c r="F51" s="186">
        <v>0</v>
      </c>
      <c r="G51" s="186">
        <v>0</v>
      </c>
      <c r="H51" s="181">
        <f t="shared" si="2"/>
        <v>0</v>
      </c>
      <c r="I51" s="186"/>
      <c r="J51" s="19"/>
      <c r="K51" s="19"/>
      <c r="L51" s="19"/>
      <c r="M51" s="19"/>
      <c r="N51" s="19"/>
    </row>
    <row r="52" spans="1:21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4.88</v>
      </c>
      <c r="E52" s="181">
        <f t="shared" ref="E52:G52" si="23">E53+E54</f>
        <v>6.375</v>
      </c>
      <c r="F52" s="181">
        <f t="shared" si="23"/>
        <v>6.38</v>
      </c>
      <c r="G52" s="181">
        <f t="shared" si="23"/>
        <v>6.38</v>
      </c>
      <c r="H52" s="181">
        <f t="shared" si="2"/>
        <v>100.07843137254902</v>
      </c>
      <c r="I52" s="181"/>
      <c r="J52" s="103"/>
      <c r="K52" s="103"/>
      <c r="L52" s="103"/>
      <c r="M52" s="103"/>
      <c r="N52" s="103"/>
    </row>
    <row r="53" spans="1:21" ht="31.9" customHeight="1" x14ac:dyDescent="0.25">
      <c r="A53" s="277" t="s">
        <v>16</v>
      </c>
      <c r="B53" s="276" t="s">
        <v>119</v>
      </c>
      <c r="C53" s="4" t="s">
        <v>4</v>
      </c>
      <c r="D53" s="186">
        <v>4.88</v>
      </c>
      <c r="E53" s="186">
        <f>D48*85%</f>
        <v>6.375</v>
      </c>
      <c r="F53" s="186">
        <v>6.38</v>
      </c>
      <c r="G53" s="186">
        <v>6.38</v>
      </c>
      <c r="H53" s="186">
        <f t="shared" si="2"/>
        <v>100.07843137254902</v>
      </c>
      <c r="I53" s="186"/>
      <c r="J53" s="19"/>
      <c r="K53" s="47"/>
      <c r="L53" s="106"/>
      <c r="M53" s="47"/>
      <c r="N53" s="47"/>
      <c r="O53" s="30"/>
      <c r="P53" s="30"/>
      <c r="Q53" s="30"/>
      <c r="R53" s="30"/>
      <c r="S53" s="30"/>
      <c r="T53" s="30"/>
      <c r="U53" s="30"/>
    </row>
    <row r="54" spans="1:21" ht="31.9" customHeight="1" x14ac:dyDescent="0.25">
      <c r="A54" s="4"/>
      <c r="B54" s="276" t="s">
        <v>120</v>
      </c>
      <c r="C54" s="4" t="s">
        <v>4</v>
      </c>
      <c r="D54" s="186"/>
      <c r="E54" s="186"/>
      <c r="F54" s="186"/>
      <c r="G54" s="186"/>
      <c r="H54" s="181"/>
      <c r="I54" s="186"/>
      <c r="J54" s="19"/>
      <c r="K54" s="47"/>
      <c r="L54" s="47"/>
      <c r="M54" s="47"/>
      <c r="N54" s="47"/>
      <c r="O54" s="30"/>
      <c r="P54" s="30"/>
      <c r="Q54" s="30"/>
      <c r="R54" s="30"/>
      <c r="S54" s="30"/>
      <c r="T54" s="30"/>
      <c r="U54" s="30"/>
    </row>
    <row r="55" spans="1:21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5.56</v>
      </c>
      <c r="E55" s="181">
        <f t="shared" ref="E55:G55" si="24">E56+E57</f>
        <v>5.5600000000000005</v>
      </c>
      <c r="F55" s="181">
        <f t="shared" si="24"/>
        <v>4.96</v>
      </c>
      <c r="G55" s="181">
        <f t="shared" si="24"/>
        <v>4.96</v>
      </c>
      <c r="H55" s="181">
        <f t="shared" si="2"/>
        <v>89.208633093525165</v>
      </c>
      <c r="I55" s="181"/>
      <c r="J55" s="19"/>
      <c r="K55" s="47"/>
      <c r="L55" s="47"/>
      <c r="M55" s="47"/>
      <c r="N55" s="47"/>
      <c r="O55" s="30"/>
      <c r="P55" s="30"/>
      <c r="Q55" s="30"/>
      <c r="R55" s="30"/>
      <c r="S55" s="30"/>
      <c r="T55" s="30"/>
      <c r="U55" s="30"/>
    </row>
    <row r="56" spans="1:21" ht="31.9" customHeight="1" x14ac:dyDescent="0.25">
      <c r="A56" s="4" t="s">
        <v>22</v>
      </c>
      <c r="B56" s="273" t="s">
        <v>118</v>
      </c>
      <c r="C56" s="4" t="s">
        <v>4</v>
      </c>
      <c r="D56" s="186">
        <v>4.5599999999999996</v>
      </c>
      <c r="E56" s="186">
        <f>D56+E58</f>
        <v>4.96</v>
      </c>
      <c r="F56" s="186">
        <v>4.96</v>
      </c>
      <c r="G56" s="186">
        <v>4.96</v>
      </c>
      <c r="H56" s="186">
        <f t="shared" si="2"/>
        <v>100</v>
      </c>
      <c r="I56" s="186"/>
      <c r="J56" s="19"/>
      <c r="K56" s="47"/>
      <c r="L56" s="47"/>
      <c r="M56" s="47"/>
      <c r="N56" s="47"/>
      <c r="O56" s="30"/>
      <c r="P56" s="30"/>
      <c r="Q56" s="30"/>
      <c r="R56" s="30"/>
      <c r="S56" s="30"/>
      <c r="T56" s="30"/>
      <c r="U56" s="30"/>
    </row>
    <row r="57" spans="1:21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1</v>
      </c>
      <c r="E57" s="186">
        <f t="shared" ref="E57:G57" si="25">E58+E61</f>
        <v>0.60000000000000009</v>
      </c>
      <c r="F57" s="186">
        <f t="shared" si="25"/>
        <v>0</v>
      </c>
      <c r="G57" s="186">
        <f t="shared" si="25"/>
        <v>0</v>
      </c>
      <c r="H57" s="181">
        <f t="shared" si="2"/>
        <v>0</v>
      </c>
      <c r="I57" s="186"/>
      <c r="J57" s="19"/>
      <c r="K57" s="47"/>
      <c r="L57" s="47"/>
      <c r="M57" s="47"/>
      <c r="N57" s="47"/>
      <c r="O57" s="30"/>
      <c r="P57" s="30"/>
      <c r="Q57" s="30"/>
      <c r="R57" s="30"/>
      <c r="S57" s="30"/>
      <c r="T57" s="30"/>
      <c r="U57" s="30"/>
    </row>
    <row r="58" spans="1:21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>E59+E60</f>
        <v>0.4</v>
      </c>
      <c r="F58" s="189">
        <f t="shared" ref="F58:G58" si="26">F59+F60</f>
        <v>0</v>
      </c>
      <c r="G58" s="189">
        <f t="shared" si="26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  <c r="R58" s="48"/>
      <c r="S58" s="48"/>
      <c r="T58" s="48"/>
      <c r="U58" s="48"/>
    </row>
    <row r="59" spans="1:21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6"/>
      <c r="L59" s="6"/>
      <c r="M59" s="6"/>
      <c r="N59" s="6"/>
      <c r="O59" s="6"/>
      <c r="P59" s="30"/>
      <c r="Q59" s="30"/>
      <c r="R59" s="30"/>
      <c r="S59" s="30"/>
      <c r="T59" s="30"/>
      <c r="U59" s="30"/>
    </row>
    <row r="60" spans="1:21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0.2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6"/>
      <c r="L60" s="6"/>
      <c r="M60" s="6"/>
      <c r="N60" s="6"/>
      <c r="O60" s="6"/>
      <c r="P60" s="30"/>
      <c r="Q60" s="30"/>
      <c r="R60" s="30"/>
      <c r="S60" s="30"/>
      <c r="T60" s="30"/>
      <c r="U60" s="30"/>
    </row>
    <row r="61" spans="1:21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1</v>
      </c>
      <c r="E61" s="189">
        <f t="shared" ref="E61:G61" si="27">E62+E63</f>
        <v>0.2</v>
      </c>
      <c r="F61" s="189">
        <f t="shared" si="27"/>
        <v>0</v>
      </c>
      <c r="G61" s="189">
        <f t="shared" si="27"/>
        <v>0</v>
      </c>
      <c r="H61" s="181">
        <f t="shared" si="2"/>
        <v>0</v>
      </c>
      <c r="I61" s="189"/>
      <c r="J61" s="104"/>
      <c r="K61" s="34"/>
      <c r="L61" s="108"/>
      <c r="M61" s="108"/>
      <c r="N61" s="108"/>
      <c r="O61" s="48"/>
      <c r="P61" s="48"/>
      <c r="Q61" s="48"/>
      <c r="R61" s="48"/>
      <c r="S61" s="48"/>
      <c r="T61" s="48"/>
      <c r="U61" s="48"/>
    </row>
    <row r="62" spans="1:21" ht="31.9" customHeight="1" x14ac:dyDescent="0.25">
      <c r="A62" s="4" t="s">
        <v>16</v>
      </c>
      <c r="B62" s="273" t="s">
        <v>124</v>
      </c>
      <c r="C62" s="4" t="s">
        <v>4</v>
      </c>
      <c r="D62" s="186">
        <v>1</v>
      </c>
      <c r="E62" s="186">
        <v>0.1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6"/>
      <c r="L62" s="6"/>
      <c r="M62" s="6"/>
      <c r="N62" s="6"/>
      <c r="O62" s="6"/>
      <c r="P62" s="30"/>
      <c r="Q62" s="30"/>
      <c r="R62" s="30"/>
      <c r="S62" s="30"/>
      <c r="T62" s="30"/>
      <c r="U62" s="30"/>
    </row>
    <row r="63" spans="1:21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6"/>
      <c r="L63" s="6"/>
      <c r="M63" s="6"/>
      <c r="N63" s="6"/>
      <c r="O63" s="6"/>
      <c r="P63" s="30"/>
      <c r="Q63" s="30"/>
      <c r="R63" s="30"/>
      <c r="S63" s="30"/>
      <c r="T63" s="30"/>
      <c r="U63" s="30"/>
    </row>
    <row r="64" spans="1:21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5.75</v>
      </c>
      <c r="E64" s="181">
        <f t="shared" ref="E64:G64" si="28">E65+E66</f>
        <v>5.75</v>
      </c>
      <c r="F64" s="181">
        <f t="shared" si="28"/>
        <v>5.75</v>
      </c>
      <c r="G64" s="181">
        <f t="shared" si="28"/>
        <v>5.75</v>
      </c>
      <c r="H64" s="181">
        <f t="shared" si="2"/>
        <v>100</v>
      </c>
      <c r="I64" s="181"/>
      <c r="J64" s="19"/>
      <c r="K64" s="47"/>
      <c r="L64" s="47"/>
      <c r="M64" s="47"/>
      <c r="N64" s="47"/>
      <c r="O64" s="30"/>
      <c r="P64" s="30"/>
      <c r="Q64" s="30"/>
      <c r="R64" s="30"/>
      <c r="S64" s="30"/>
      <c r="T64" s="30"/>
      <c r="U64" s="30"/>
    </row>
    <row r="65" spans="1:21" ht="31.9" customHeight="1" x14ac:dyDescent="0.25">
      <c r="A65" s="4" t="s">
        <v>16</v>
      </c>
      <c r="B65" s="273" t="s">
        <v>117</v>
      </c>
      <c r="C65" s="4" t="s">
        <v>4</v>
      </c>
      <c r="D65" s="186">
        <v>5.75</v>
      </c>
      <c r="E65" s="186">
        <v>5.75</v>
      </c>
      <c r="F65" s="186">
        <v>5.75</v>
      </c>
      <c r="G65" s="186">
        <v>5.75</v>
      </c>
      <c r="H65" s="186">
        <f t="shared" si="2"/>
        <v>100</v>
      </c>
      <c r="I65" s="186"/>
      <c r="J65" s="19"/>
      <c r="K65" s="47"/>
      <c r="L65" s="47"/>
      <c r="M65" s="47"/>
      <c r="N65" s="47"/>
      <c r="O65" s="30"/>
      <c r="P65" s="30"/>
      <c r="Q65" s="30"/>
      <c r="R65" s="30"/>
      <c r="S65" s="30"/>
      <c r="T65" s="30"/>
      <c r="U65" s="30"/>
    </row>
    <row r="66" spans="1:21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21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21.9</v>
      </c>
      <c r="E67" s="181">
        <f t="shared" ref="E67:G67" si="29">E68+E71</f>
        <v>19</v>
      </c>
      <c r="F67" s="181">
        <f t="shared" si="29"/>
        <v>18.8</v>
      </c>
      <c r="G67" s="181">
        <f t="shared" si="29"/>
        <v>18.8</v>
      </c>
      <c r="H67" s="181">
        <f t="shared" si="2"/>
        <v>98.947368421052644</v>
      </c>
      <c r="I67" s="181"/>
      <c r="J67" s="19"/>
      <c r="K67" s="19"/>
      <c r="L67" s="19"/>
      <c r="M67" s="19"/>
      <c r="N67" s="19"/>
    </row>
    <row r="68" spans="1:21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0">E69+E70</f>
        <v>0</v>
      </c>
      <c r="F68" s="181">
        <f t="shared" si="30"/>
        <v>0</v>
      </c>
      <c r="G68" s="181">
        <f t="shared" si="30"/>
        <v>0</v>
      </c>
      <c r="H68" s="181"/>
      <c r="I68" s="181"/>
      <c r="J68" s="19"/>
      <c r="K68" s="19"/>
      <c r="L68" s="19"/>
      <c r="M68" s="19"/>
      <c r="N68" s="19"/>
    </row>
    <row r="69" spans="1:21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1"/>
      <c r="I69" s="186"/>
      <c r="J69" s="19"/>
      <c r="K69" s="19"/>
      <c r="L69" s="19"/>
      <c r="M69" s="19"/>
      <c r="N69" s="19"/>
    </row>
    <row r="70" spans="1:21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1"/>
      <c r="I70" s="186"/>
      <c r="J70" s="19"/>
      <c r="K70" s="19"/>
      <c r="L70" s="19"/>
      <c r="M70" s="19"/>
      <c r="N70" s="19"/>
    </row>
    <row r="71" spans="1:21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21.9</v>
      </c>
      <c r="E71" s="181">
        <f t="shared" ref="E71:G71" si="31">E72+E73</f>
        <v>19</v>
      </c>
      <c r="F71" s="181">
        <f t="shared" si="31"/>
        <v>18.8</v>
      </c>
      <c r="G71" s="181">
        <f t="shared" si="31"/>
        <v>18.8</v>
      </c>
      <c r="H71" s="181">
        <f t="shared" si="2"/>
        <v>98.947368421052644</v>
      </c>
      <c r="I71" s="181"/>
      <c r="J71" s="19"/>
      <c r="K71" s="19"/>
      <c r="L71" s="19"/>
      <c r="M71" s="19"/>
      <c r="N71" s="19"/>
    </row>
    <row r="72" spans="1:21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21.4</v>
      </c>
      <c r="E72" s="192">
        <f t="shared" ref="E72:G73" si="32">E75+E82</f>
        <v>18.8</v>
      </c>
      <c r="F72" s="192">
        <f t="shared" si="32"/>
        <v>18.8</v>
      </c>
      <c r="G72" s="192">
        <f t="shared" si="32"/>
        <v>18.8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21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0.5</v>
      </c>
      <c r="E73" s="181">
        <f t="shared" si="32"/>
        <v>0.2</v>
      </c>
      <c r="F73" s="181">
        <f t="shared" si="32"/>
        <v>0</v>
      </c>
      <c r="G73" s="181">
        <f t="shared" si="32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21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17.8</v>
      </c>
      <c r="E74" s="194">
        <f t="shared" ref="E74:G74" si="33">E75+E76</f>
        <v>15.8</v>
      </c>
      <c r="F74" s="194">
        <f t="shared" si="33"/>
        <v>15.8</v>
      </c>
      <c r="G74" s="194">
        <f t="shared" si="33"/>
        <v>15.8</v>
      </c>
      <c r="H74" s="203">
        <f t="shared" ref="H74:H98" si="34">F74/E74*100</f>
        <v>100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21" ht="31.9" customHeight="1" x14ac:dyDescent="0.25">
      <c r="A75" s="5" t="s">
        <v>22</v>
      </c>
      <c r="B75" s="281" t="s">
        <v>117</v>
      </c>
      <c r="C75" s="4" t="s">
        <v>4</v>
      </c>
      <c r="D75" s="196">
        <f>11.34+5.96</f>
        <v>17.3</v>
      </c>
      <c r="E75" s="196">
        <f>17.8-2</f>
        <v>15.8</v>
      </c>
      <c r="F75" s="186">
        <v>15.8</v>
      </c>
      <c r="G75" s="186">
        <v>15.8</v>
      </c>
      <c r="H75" s="186">
        <f t="shared" si="34"/>
        <v>100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21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0.5</v>
      </c>
      <c r="E76" s="197">
        <f>SUM(E77:E80)</f>
        <v>0</v>
      </c>
      <c r="F76" s="197">
        <f t="shared" ref="F76:G76" si="35">SUM(F77:F80)</f>
        <v>0</v>
      </c>
      <c r="G76" s="197">
        <f t="shared" si="35"/>
        <v>0</v>
      </c>
      <c r="H76" s="181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21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181"/>
      <c r="I77" s="186"/>
      <c r="J77" s="107"/>
      <c r="K77" s="107"/>
      <c r="L77" s="109"/>
      <c r="M77" s="110"/>
      <c r="N77" s="110"/>
      <c r="O77" s="18"/>
      <c r="P77" s="56"/>
      <c r="Q77" s="56"/>
    </row>
    <row r="78" spans="1:21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1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21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1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21" ht="31.9" customHeight="1" x14ac:dyDescent="0.25">
      <c r="A80" s="3" t="s">
        <v>16</v>
      </c>
      <c r="B80" s="284" t="s">
        <v>129</v>
      </c>
      <c r="C80" s="3" t="s">
        <v>4</v>
      </c>
      <c r="D80" s="186">
        <v>0.5</v>
      </c>
      <c r="E80" s="186"/>
      <c r="F80" s="186"/>
      <c r="G80" s="186"/>
      <c r="H80" s="181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20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4.0999999999999996</v>
      </c>
      <c r="E81" s="194">
        <f t="shared" ref="E81:G81" si="36">E82+E83</f>
        <v>3.2</v>
      </c>
      <c r="F81" s="194">
        <f t="shared" si="36"/>
        <v>3</v>
      </c>
      <c r="G81" s="194">
        <f t="shared" si="36"/>
        <v>3</v>
      </c>
      <c r="H81" s="203">
        <f t="shared" si="34"/>
        <v>93.75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20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4.0999999999999996</v>
      </c>
      <c r="E82" s="189">
        <v>3</v>
      </c>
      <c r="F82" s="189">
        <v>3</v>
      </c>
      <c r="G82" s="189">
        <v>3</v>
      </c>
      <c r="H82" s="189">
        <f t="shared" si="34"/>
        <v>100</v>
      </c>
      <c r="I82" s="189"/>
      <c r="J82" s="107"/>
      <c r="K82" s="107"/>
      <c r="L82" s="110"/>
      <c r="M82" s="109"/>
      <c r="N82" s="109"/>
      <c r="O82" s="40"/>
      <c r="P82" s="40"/>
      <c r="Q82" s="40"/>
    </row>
    <row r="83" spans="1:20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7">SUM(D84:D87)</f>
        <v>0</v>
      </c>
      <c r="E83" s="196">
        <f>SUM(E84:E87)</f>
        <v>0.2</v>
      </c>
      <c r="F83" s="196">
        <f t="shared" ref="F83:G83" si="38">SUM(F84:F87)</f>
        <v>0</v>
      </c>
      <c r="G83" s="196">
        <f t="shared" si="38"/>
        <v>0</v>
      </c>
      <c r="H83" s="181">
        <f t="shared" si="34"/>
        <v>0</v>
      </c>
      <c r="I83" s="196"/>
      <c r="J83" s="107"/>
      <c r="K83" s="107"/>
      <c r="L83" s="107"/>
      <c r="M83" s="107"/>
      <c r="N83" s="107"/>
    </row>
    <row r="84" spans="1:20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</row>
    <row r="85" spans="1:20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</row>
    <row r="86" spans="1:20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20" ht="31.9" customHeight="1" x14ac:dyDescent="0.25">
      <c r="A87" s="282" t="s">
        <v>16</v>
      </c>
      <c r="B87" s="283" t="s">
        <v>114</v>
      </c>
      <c r="C87" s="3" t="s">
        <v>4</v>
      </c>
      <c r="D87" s="186"/>
      <c r="E87" s="186">
        <v>0.2</v>
      </c>
      <c r="F87" s="186">
        <v>0</v>
      </c>
      <c r="G87" s="186">
        <v>0</v>
      </c>
      <c r="H87" s="181">
        <f t="shared" si="34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56"/>
      <c r="S87" s="18"/>
      <c r="T87" s="18"/>
    </row>
    <row r="88" spans="1:20" ht="31.9" customHeight="1" x14ac:dyDescent="0.25">
      <c r="A88" s="2" t="s">
        <v>42</v>
      </c>
      <c r="B88" s="224" t="s">
        <v>43</v>
      </c>
      <c r="C88" s="2"/>
      <c r="D88" s="181">
        <f>SUM(D89:D93)</f>
        <v>473</v>
      </c>
      <c r="E88" s="181">
        <f t="shared" ref="E88:G88" si="39">SUM(E89:E93)</f>
        <v>524</v>
      </c>
      <c r="F88" s="181">
        <f t="shared" si="39"/>
        <v>470</v>
      </c>
      <c r="G88" s="181">
        <f t="shared" si="39"/>
        <v>470</v>
      </c>
      <c r="H88" s="181">
        <f t="shared" si="34"/>
        <v>89.694656488549612</v>
      </c>
      <c r="I88" s="181"/>
      <c r="J88" s="20"/>
      <c r="K88" s="20"/>
      <c r="L88" s="20"/>
      <c r="M88" s="20"/>
      <c r="N88" s="20"/>
    </row>
    <row r="89" spans="1:20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42</v>
      </c>
      <c r="E89" s="186">
        <f>70+11</f>
        <v>81</v>
      </c>
      <c r="F89" s="186">
        <v>79</v>
      </c>
      <c r="G89" s="186">
        <f>F89</f>
        <v>79</v>
      </c>
      <c r="H89" s="186">
        <f t="shared" si="34"/>
        <v>97.53086419753086</v>
      </c>
      <c r="I89" s="186"/>
      <c r="J89" s="112"/>
      <c r="K89" s="157"/>
      <c r="L89" s="111"/>
      <c r="M89" s="112"/>
      <c r="N89" s="112"/>
    </row>
    <row r="90" spans="1:20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v>71</v>
      </c>
      <c r="E90" s="186">
        <f>75+12</f>
        <v>87</v>
      </c>
      <c r="F90" s="186">
        <v>85</v>
      </c>
      <c r="G90" s="186">
        <f>F90</f>
        <v>85</v>
      </c>
      <c r="H90" s="186">
        <f t="shared" si="34"/>
        <v>97.701149425287355</v>
      </c>
      <c r="I90" s="186"/>
      <c r="J90" s="112"/>
      <c r="K90" s="157"/>
      <c r="L90" s="111"/>
      <c r="M90" s="112"/>
      <c r="N90" s="112"/>
    </row>
    <row r="91" spans="1:20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v>41</v>
      </c>
      <c r="E91" s="186">
        <f>44+14</f>
        <v>58</v>
      </c>
      <c r="F91" s="186">
        <v>54</v>
      </c>
      <c r="G91" s="186">
        <f>F91</f>
        <v>54</v>
      </c>
      <c r="H91" s="186">
        <f t="shared" si="34"/>
        <v>93.103448275862064</v>
      </c>
      <c r="I91" s="186"/>
      <c r="J91" s="112"/>
      <c r="K91" s="157"/>
      <c r="L91" s="111"/>
      <c r="M91" s="112"/>
      <c r="N91" s="112"/>
    </row>
    <row r="92" spans="1:20" s="84" customFormat="1" ht="31.9" customHeight="1" x14ac:dyDescent="0.25">
      <c r="A92" s="4">
        <v>4</v>
      </c>
      <c r="B92" s="227" t="s">
        <v>47</v>
      </c>
      <c r="C92" s="4" t="s">
        <v>6</v>
      </c>
      <c r="D92" s="186">
        <v>7</v>
      </c>
      <c r="E92" s="186">
        <f>9+2</f>
        <v>11</v>
      </c>
      <c r="F92" s="186">
        <v>9</v>
      </c>
      <c r="G92" s="186">
        <f>F92</f>
        <v>9</v>
      </c>
      <c r="H92" s="186">
        <f t="shared" si="34"/>
        <v>81.818181818181827</v>
      </c>
      <c r="I92" s="186"/>
      <c r="J92" s="112"/>
      <c r="K92" s="157"/>
      <c r="L92" s="112"/>
      <c r="M92" s="112"/>
      <c r="N92" s="112"/>
    </row>
    <row r="93" spans="1:20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312</v>
      </c>
      <c r="E93" s="186">
        <f>318-31</f>
        <v>287</v>
      </c>
      <c r="F93" s="186">
        <v>243</v>
      </c>
      <c r="G93" s="186">
        <f>F93</f>
        <v>243</v>
      </c>
      <c r="H93" s="186">
        <f t="shared" si="34"/>
        <v>84.668989547038336</v>
      </c>
      <c r="I93" s="186"/>
      <c r="J93" s="157"/>
      <c r="K93" s="157"/>
      <c r="L93" s="115"/>
      <c r="M93" s="112"/>
      <c r="N93" s="112"/>
    </row>
    <row r="94" spans="1:20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3.5</v>
      </c>
      <c r="E94" s="181">
        <f t="shared" ref="E94:G94" si="40">E95</f>
        <v>3.5</v>
      </c>
      <c r="F94" s="181">
        <f t="shared" si="40"/>
        <v>3.5</v>
      </c>
      <c r="G94" s="181">
        <f t="shared" si="40"/>
        <v>3.5</v>
      </c>
      <c r="H94" s="181">
        <f t="shared" si="34"/>
        <v>100</v>
      </c>
      <c r="I94" s="181"/>
      <c r="J94" s="22"/>
      <c r="K94" s="22"/>
      <c r="L94" s="22"/>
      <c r="M94" s="22"/>
      <c r="N94" s="22"/>
    </row>
    <row r="95" spans="1:20" ht="31.9" customHeight="1" x14ac:dyDescent="0.25">
      <c r="A95" s="3" t="s">
        <v>16</v>
      </c>
      <c r="B95" s="279" t="s">
        <v>51</v>
      </c>
      <c r="C95" s="3" t="s">
        <v>4</v>
      </c>
      <c r="D95" s="186">
        <v>3.5</v>
      </c>
      <c r="E95" s="186">
        <v>3.5</v>
      </c>
      <c r="F95" s="186">
        <v>3.5</v>
      </c>
      <c r="G95" s="186">
        <v>3.5</v>
      </c>
      <c r="H95" s="186">
        <f t="shared" si="34"/>
        <v>100</v>
      </c>
      <c r="I95" s="186"/>
      <c r="J95" s="104"/>
      <c r="K95" s="20"/>
      <c r="L95" s="20"/>
      <c r="M95" s="20"/>
      <c r="N95" s="20"/>
    </row>
    <row r="96" spans="1:20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5.6</v>
      </c>
      <c r="E96" s="181">
        <f t="shared" ref="E96:G96" si="41">E97+E98</f>
        <v>3.55</v>
      </c>
      <c r="F96" s="181">
        <f t="shared" si="41"/>
        <v>0</v>
      </c>
      <c r="G96" s="181">
        <f t="shared" si="41"/>
        <v>0</v>
      </c>
      <c r="H96" s="181">
        <f t="shared" si="34"/>
        <v>0</v>
      </c>
      <c r="I96" s="181"/>
      <c r="J96" s="20"/>
      <c r="K96" s="20"/>
      <c r="L96" s="20"/>
      <c r="M96" s="20"/>
      <c r="N96" s="20"/>
    </row>
    <row r="97" spans="1:14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0</v>
      </c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1.9" customHeight="1" x14ac:dyDescent="0.25">
      <c r="A98" s="285" t="s">
        <v>16</v>
      </c>
      <c r="B98" s="281" t="s">
        <v>54</v>
      </c>
      <c r="C98" s="3" t="s">
        <v>4</v>
      </c>
      <c r="D98" s="186">
        <v>5.6</v>
      </c>
      <c r="E98" s="186">
        <v>3.55</v>
      </c>
      <c r="F98" s="186"/>
      <c r="G98" s="186"/>
      <c r="H98" s="181">
        <f t="shared" si="34"/>
        <v>0</v>
      </c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62992125984251968" bottom="0.51181102362204722" header="0" footer="0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540E-AD66-492B-ACAD-E44E54B6E337}">
  <dimension ref="A1:T1006"/>
  <sheetViews>
    <sheetView topLeftCell="A87" workbookViewId="0">
      <selection activeCell="S116" sqref="S116"/>
    </sheetView>
  </sheetViews>
  <sheetFormatPr defaultColWidth="11.21875" defaultRowHeight="16.5" x14ac:dyDescent="0.25"/>
  <cols>
    <col min="1" max="1" width="4.88671875" style="17" customWidth="1"/>
    <col min="2" max="2" width="46.6640625" style="17" customWidth="1"/>
    <col min="3" max="3" width="9.21875" style="57" customWidth="1"/>
    <col min="4" max="4" width="10.88671875" style="17" customWidth="1"/>
    <col min="5" max="5" width="9.77734375" style="17" customWidth="1"/>
    <col min="6" max="9" width="9.21875" style="17" customWidth="1"/>
    <col min="10" max="10" width="9.5546875" style="299" customWidth="1"/>
    <col min="11" max="14" width="8.88671875" style="17" hidden="1" customWidth="1"/>
    <col min="15" max="17" width="0" style="17" hidden="1" customWidth="1"/>
    <col min="18" max="16384" width="11.21875" style="17"/>
  </cols>
  <sheetData>
    <row r="1" spans="1:20" ht="16.149999999999999" customHeight="1" x14ac:dyDescent="0.25">
      <c r="A1" s="398"/>
      <c r="B1" s="399"/>
      <c r="C1" s="291"/>
      <c r="D1" s="291"/>
      <c r="E1" s="291"/>
      <c r="F1" s="400"/>
      <c r="G1" s="400"/>
      <c r="H1" s="400"/>
      <c r="I1" s="400"/>
      <c r="J1" s="400"/>
      <c r="K1" s="292"/>
      <c r="L1" s="292"/>
      <c r="M1" s="292"/>
      <c r="N1" s="292"/>
    </row>
    <row r="2" spans="1:20" ht="16.899999999999999" customHeight="1" x14ac:dyDescent="0.25">
      <c r="A2" s="401" t="s">
        <v>184</v>
      </c>
      <c r="B2" s="401"/>
      <c r="C2" s="401"/>
      <c r="D2" s="401"/>
      <c r="E2" s="401"/>
      <c r="F2" s="401"/>
      <c r="G2" s="401"/>
      <c r="H2" s="401"/>
      <c r="I2" s="401"/>
      <c r="J2" s="401"/>
      <c r="K2" s="292"/>
      <c r="L2" s="292"/>
      <c r="M2" s="292"/>
      <c r="N2" s="292"/>
    </row>
    <row r="3" spans="1:20" ht="16.899999999999999" customHeight="1" x14ac:dyDescent="0.25">
      <c r="A3" s="400" t="str">
        <f>'PL 01'!A3:J3</f>
        <v>(Kèm theo Báo cáo số        /BC-UBND, Ngày      tháng 5 năm 2026 của UBND xã Tu Mơ Rông)</v>
      </c>
      <c r="B3" s="400"/>
      <c r="C3" s="400"/>
      <c r="D3" s="400"/>
      <c r="E3" s="400"/>
      <c r="F3" s="400"/>
      <c r="G3" s="400"/>
      <c r="H3" s="400"/>
      <c r="I3" s="400"/>
      <c r="J3" s="400"/>
      <c r="K3" s="292"/>
      <c r="L3" s="292"/>
      <c r="M3" s="292"/>
      <c r="N3" s="292"/>
    </row>
    <row r="4" spans="1:20" x14ac:dyDescent="0.25">
      <c r="A4" s="293"/>
      <c r="B4" s="293"/>
      <c r="C4" s="293"/>
      <c r="D4" s="293"/>
      <c r="E4" s="293"/>
      <c r="F4" s="294"/>
      <c r="G4" s="294"/>
      <c r="H4" s="294"/>
      <c r="I4" s="294"/>
      <c r="J4" s="295"/>
      <c r="K4" s="292"/>
      <c r="L4" s="292"/>
      <c r="M4" s="292"/>
      <c r="N4" s="292"/>
    </row>
    <row r="5" spans="1:20" ht="24.75" customHeight="1" x14ac:dyDescent="0.25">
      <c r="A5" s="402" t="s">
        <v>0</v>
      </c>
      <c r="B5" s="404" t="s">
        <v>1</v>
      </c>
      <c r="C5" s="404" t="s">
        <v>2</v>
      </c>
      <c r="D5" s="406" t="s">
        <v>143</v>
      </c>
      <c r="E5" s="406" t="s">
        <v>185</v>
      </c>
      <c r="F5" s="409" t="s">
        <v>177</v>
      </c>
      <c r="G5" s="409"/>
      <c r="H5" s="409"/>
      <c r="I5" s="409"/>
      <c r="J5" s="413" t="s">
        <v>279</v>
      </c>
      <c r="K5" s="296"/>
      <c r="L5" s="296"/>
      <c r="M5" s="296"/>
      <c r="N5" s="296"/>
    </row>
    <row r="6" spans="1:20" ht="53.25" customHeight="1" x14ac:dyDescent="0.25">
      <c r="A6" s="403"/>
      <c r="B6" s="403"/>
      <c r="C6" s="405"/>
      <c r="D6" s="407"/>
      <c r="E6" s="408"/>
      <c r="F6" s="221" t="s">
        <v>178</v>
      </c>
      <c r="G6" s="221" t="s">
        <v>272</v>
      </c>
      <c r="H6" s="221" t="s">
        <v>273</v>
      </c>
      <c r="I6" s="221" t="s">
        <v>179</v>
      </c>
      <c r="J6" s="414"/>
      <c r="K6" s="296"/>
      <c r="L6" s="296"/>
      <c r="M6" s="296"/>
      <c r="N6" s="296"/>
    </row>
    <row r="7" spans="1:20" s="306" customFormat="1" ht="14.25" x14ac:dyDescent="0.25">
      <c r="A7" s="300">
        <v>1</v>
      </c>
      <c r="B7" s="301" t="s">
        <v>186</v>
      </c>
      <c r="C7" s="300" t="s">
        <v>187</v>
      </c>
      <c r="D7" s="302">
        <v>45000</v>
      </c>
      <c r="E7" s="302"/>
      <c r="F7" s="303">
        <v>25425</v>
      </c>
      <c r="G7" s="302"/>
      <c r="H7" s="300"/>
      <c r="I7" s="302">
        <f>G7/F7*100</f>
        <v>0</v>
      </c>
      <c r="J7" s="304"/>
      <c r="K7" s="305"/>
      <c r="L7" s="305"/>
      <c r="M7" s="305"/>
      <c r="N7" s="305"/>
    </row>
    <row r="8" spans="1:20" s="391" customFormat="1" ht="20.25" customHeight="1" x14ac:dyDescent="0.25">
      <c r="A8" s="307" t="s">
        <v>16</v>
      </c>
      <c r="B8" s="390" t="s">
        <v>188</v>
      </c>
      <c r="C8" s="307" t="s">
        <v>7</v>
      </c>
      <c r="D8" s="308">
        <v>0.02</v>
      </c>
      <c r="E8" s="308"/>
      <c r="F8" s="309" t="s">
        <v>274</v>
      </c>
      <c r="G8" s="310"/>
      <c r="H8" s="311"/>
      <c r="I8" s="366"/>
      <c r="J8" s="366"/>
      <c r="K8" s="349"/>
      <c r="L8" s="349"/>
      <c r="M8" s="349"/>
      <c r="N8" s="349"/>
    </row>
    <row r="9" spans="1:20" s="318" customFormat="1" ht="15" x14ac:dyDescent="0.2">
      <c r="A9" s="314">
        <v>2</v>
      </c>
      <c r="B9" s="315" t="s">
        <v>189</v>
      </c>
      <c r="C9" s="300" t="s">
        <v>7</v>
      </c>
      <c r="D9" s="316">
        <v>0.1</v>
      </c>
      <c r="E9" s="316"/>
      <c r="F9" s="316">
        <v>0.1</v>
      </c>
      <c r="G9" s="302"/>
      <c r="H9" s="300"/>
      <c r="I9" s="366">
        <f t="shared" ref="I9:I71" si="0">G9/F9*100</f>
        <v>0</v>
      </c>
      <c r="J9" s="366"/>
      <c r="K9" s="317"/>
      <c r="L9" s="317"/>
      <c r="M9" s="317"/>
      <c r="N9" s="317"/>
    </row>
    <row r="10" spans="1:20" s="325" customFormat="1" ht="15" x14ac:dyDescent="0.25">
      <c r="A10" s="300">
        <v>3</v>
      </c>
      <c r="B10" s="319" t="s">
        <v>55</v>
      </c>
      <c r="C10" s="320"/>
      <c r="D10" s="321"/>
      <c r="E10" s="321"/>
      <c r="F10" s="322"/>
      <c r="G10" s="323"/>
      <c r="H10" s="324"/>
      <c r="I10" s="302"/>
      <c r="J10" s="304"/>
      <c r="K10" s="305"/>
      <c r="L10" s="305"/>
      <c r="M10" s="305"/>
      <c r="N10" s="305"/>
    </row>
    <row r="11" spans="1:20" s="325" customFormat="1" ht="15" x14ac:dyDescent="0.25">
      <c r="A11" s="326" t="s">
        <v>16</v>
      </c>
      <c r="B11" s="327" t="s">
        <v>56</v>
      </c>
      <c r="C11" s="328" t="s">
        <v>57</v>
      </c>
      <c r="D11" s="329">
        <v>6413</v>
      </c>
      <c r="E11" s="329"/>
      <c r="F11" s="321"/>
      <c r="G11" s="330"/>
      <c r="H11" s="324"/>
      <c r="I11" s="302"/>
      <c r="J11" s="338"/>
      <c r="K11" s="331"/>
      <c r="L11" s="331"/>
      <c r="M11" s="331"/>
      <c r="N11" s="331"/>
    </row>
    <row r="12" spans="1:20" s="325" customFormat="1" ht="15" x14ac:dyDescent="0.25">
      <c r="A12" s="326" t="s">
        <v>16</v>
      </c>
      <c r="B12" s="327" t="s">
        <v>58</v>
      </c>
      <c r="C12" s="326" t="s">
        <v>59</v>
      </c>
      <c r="D12" s="329">
        <v>6399</v>
      </c>
      <c r="E12" s="329"/>
      <c r="F12" s="329">
        <f>6505-5</f>
        <v>6500</v>
      </c>
      <c r="G12" s="330"/>
      <c r="H12" s="324"/>
      <c r="I12" s="366">
        <f t="shared" si="0"/>
        <v>0</v>
      </c>
      <c r="J12" s="338"/>
      <c r="K12" s="331"/>
      <c r="L12" s="331"/>
      <c r="M12" s="331"/>
      <c r="N12" s="331"/>
    </row>
    <row r="13" spans="1:20" s="325" customFormat="1" ht="15" x14ac:dyDescent="0.25">
      <c r="A13" s="326" t="s">
        <v>16</v>
      </c>
      <c r="B13" s="327" t="s">
        <v>60</v>
      </c>
      <c r="C13" s="326" t="s">
        <v>59</v>
      </c>
      <c r="D13" s="329">
        <f t="shared" ref="D13" si="1">(D11+D12)/2</f>
        <v>6406</v>
      </c>
      <c r="E13" s="329">
        <v>6542</v>
      </c>
      <c r="F13" s="329">
        <f>F12+84</f>
        <v>6584</v>
      </c>
      <c r="G13" s="330"/>
      <c r="H13" s="324"/>
      <c r="I13" s="366">
        <f t="shared" si="0"/>
        <v>0</v>
      </c>
      <c r="J13" s="338"/>
      <c r="K13" s="331"/>
      <c r="L13" s="331"/>
      <c r="M13" s="331"/>
      <c r="N13" s="331"/>
      <c r="R13" s="332"/>
      <c r="S13" s="333"/>
      <c r="T13" s="334"/>
    </row>
    <row r="14" spans="1:20" s="325" customFormat="1" ht="15" x14ac:dyDescent="0.25">
      <c r="A14" s="326" t="s">
        <v>16</v>
      </c>
      <c r="B14" s="327" t="s">
        <v>61</v>
      </c>
      <c r="C14" s="326" t="s">
        <v>7</v>
      </c>
      <c r="D14" s="321">
        <v>1.35</v>
      </c>
      <c r="E14" s="321"/>
      <c r="F14" s="321">
        <f t="shared" ref="F14" si="2">(F12+F13)/2</f>
        <v>6542</v>
      </c>
      <c r="G14" s="335"/>
      <c r="H14" s="324"/>
      <c r="I14" s="366">
        <f t="shared" si="0"/>
        <v>0</v>
      </c>
      <c r="J14" s="338"/>
      <c r="K14" s="331"/>
      <c r="L14" s="331"/>
      <c r="M14" s="331"/>
      <c r="N14" s="331"/>
      <c r="P14" s="332"/>
      <c r="R14" s="337"/>
    </row>
    <row r="15" spans="1:20" s="325" customFormat="1" ht="15" x14ac:dyDescent="0.25">
      <c r="A15" s="326" t="s">
        <v>16</v>
      </c>
      <c r="B15" s="338" t="s">
        <v>14</v>
      </c>
      <c r="C15" s="326" t="s">
        <v>15</v>
      </c>
      <c r="D15" s="321">
        <v>777.87</v>
      </c>
      <c r="E15" s="321"/>
      <c r="F15" s="321">
        <v>1.3</v>
      </c>
      <c r="G15" s="339"/>
      <c r="H15" s="324"/>
      <c r="I15" s="366">
        <f t="shared" si="0"/>
        <v>0</v>
      </c>
      <c r="J15" s="410"/>
      <c r="K15" s="331"/>
      <c r="L15" s="331"/>
      <c r="M15" s="331"/>
      <c r="N15" s="331"/>
      <c r="P15" s="318"/>
      <c r="Q15" s="318"/>
    </row>
    <row r="16" spans="1:20" s="325" customFormat="1" ht="15" x14ac:dyDescent="0.25">
      <c r="A16" s="326" t="s">
        <v>16</v>
      </c>
      <c r="B16" s="327" t="s">
        <v>62</v>
      </c>
      <c r="C16" s="326" t="s">
        <v>63</v>
      </c>
      <c r="D16" s="321">
        <f>D15/D13*1000</f>
        <v>121.42834842335311</v>
      </c>
      <c r="E16" s="321"/>
      <c r="F16" s="321">
        <v>789.0181</v>
      </c>
      <c r="G16" s="339"/>
      <c r="H16" s="324"/>
      <c r="I16" s="366">
        <f t="shared" si="0"/>
        <v>0</v>
      </c>
      <c r="J16" s="412"/>
      <c r="K16" s="331"/>
      <c r="L16" s="331"/>
      <c r="M16" s="331"/>
      <c r="N16" s="331"/>
      <c r="P16" s="318"/>
      <c r="Q16" s="318"/>
    </row>
    <row r="17" spans="1:18" s="325" customFormat="1" ht="19.5" customHeight="1" x14ac:dyDescent="0.25">
      <c r="A17" s="326" t="s">
        <v>16</v>
      </c>
      <c r="B17" s="327" t="s">
        <v>190</v>
      </c>
      <c r="C17" s="326" t="s">
        <v>191</v>
      </c>
      <c r="D17" s="321">
        <v>70</v>
      </c>
      <c r="E17" s="321"/>
      <c r="F17" s="321">
        <f>F16/F14*1000</f>
        <v>120.60808621216754</v>
      </c>
      <c r="G17" s="339"/>
      <c r="H17" s="324"/>
      <c r="I17" s="366">
        <f t="shared" si="0"/>
        <v>0</v>
      </c>
      <c r="J17" s="410"/>
      <c r="K17" s="331"/>
      <c r="L17" s="331"/>
      <c r="M17" s="331"/>
      <c r="N17" s="331"/>
    </row>
    <row r="18" spans="1:18" s="325" customFormat="1" ht="15" x14ac:dyDescent="0.25">
      <c r="A18" s="326" t="s">
        <v>16</v>
      </c>
      <c r="B18" s="327" t="s">
        <v>192</v>
      </c>
      <c r="C18" s="326" t="s">
        <v>7</v>
      </c>
      <c r="D18" s="321">
        <v>106</v>
      </c>
      <c r="E18" s="321"/>
      <c r="F18" s="321">
        <v>70</v>
      </c>
      <c r="G18" s="339"/>
      <c r="H18" s="324"/>
      <c r="I18" s="366">
        <f t="shared" si="0"/>
        <v>0</v>
      </c>
      <c r="J18" s="412"/>
      <c r="K18" s="331"/>
      <c r="L18" s="331"/>
      <c r="M18" s="331"/>
      <c r="N18" s="331"/>
    </row>
    <row r="19" spans="1:18" s="325" customFormat="1" ht="15" x14ac:dyDescent="0.25">
      <c r="A19" s="300">
        <v>4</v>
      </c>
      <c r="B19" s="340" t="s">
        <v>64</v>
      </c>
      <c r="C19" s="322"/>
      <c r="D19" s="321"/>
      <c r="E19" s="321"/>
      <c r="F19" s="321">
        <v>106</v>
      </c>
      <c r="G19" s="324"/>
      <c r="H19" s="324"/>
      <c r="I19" s="366">
        <f t="shared" si="0"/>
        <v>0</v>
      </c>
      <c r="J19" s="338"/>
      <c r="K19" s="331"/>
      <c r="L19" s="331"/>
      <c r="M19" s="331"/>
      <c r="N19" s="331"/>
    </row>
    <row r="20" spans="1:18" s="325" customFormat="1" ht="15" x14ac:dyDescent="0.25">
      <c r="A20" s="326" t="s">
        <v>16</v>
      </c>
      <c r="B20" s="341" t="s">
        <v>65</v>
      </c>
      <c r="C20" s="326" t="s">
        <v>57</v>
      </c>
      <c r="D20" s="321">
        <v>62</v>
      </c>
      <c r="E20" s="321"/>
      <c r="F20" s="321"/>
      <c r="G20" s="324"/>
      <c r="H20" s="324"/>
      <c r="I20" s="366"/>
      <c r="J20" s="410"/>
      <c r="K20" s="331"/>
      <c r="L20" s="331"/>
      <c r="M20" s="331"/>
      <c r="N20" s="331"/>
    </row>
    <row r="21" spans="1:18" s="325" customFormat="1" ht="15" x14ac:dyDescent="0.25">
      <c r="A21" s="326" t="s">
        <v>16</v>
      </c>
      <c r="B21" s="342" t="s">
        <v>66</v>
      </c>
      <c r="C21" s="326" t="s">
        <v>7</v>
      </c>
      <c r="D21" s="321">
        <v>65</v>
      </c>
      <c r="E21" s="321"/>
      <c r="F21" s="321">
        <v>62</v>
      </c>
      <c r="G21" s="336"/>
      <c r="H21" s="324"/>
      <c r="I21" s="366">
        <f t="shared" si="0"/>
        <v>0</v>
      </c>
      <c r="J21" s="411"/>
      <c r="K21" s="331"/>
      <c r="L21" s="331"/>
      <c r="M21" s="331"/>
      <c r="N21" s="331"/>
    </row>
    <row r="22" spans="1:18" s="325" customFormat="1" ht="15" x14ac:dyDescent="0.25">
      <c r="A22" s="307"/>
      <c r="B22" s="343" t="s">
        <v>67</v>
      </c>
      <c r="C22" s="307" t="s">
        <v>7</v>
      </c>
      <c r="D22" s="321">
        <v>18</v>
      </c>
      <c r="E22" s="321"/>
      <c r="F22" s="321">
        <v>65</v>
      </c>
      <c r="G22" s="336"/>
      <c r="H22" s="324"/>
      <c r="I22" s="366">
        <f t="shared" si="0"/>
        <v>0</v>
      </c>
      <c r="J22" s="411"/>
      <c r="K22" s="331"/>
      <c r="L22" s="331"/>
      <c r="M22" s="331"/>
      <c r="N22" s="331"/>
    </row>
    <row r="23" spans="1:18" s="325" customFormat="1" ht="15" x14ac:dyDescent="0.25">
      <c r="A23" s="326" t="s">
        <v>16</v>
      </c>
      <c r="B23" s="342" t="s">
        <v>193</v>
      </c>
      <c r="C23" s="326" t="s">
        <v>57</v>
      </c>
      <c r="D23" s="321">
        <v>3605</v>
      </c>
      <c r="E23" s="321"/>
      <c r="F23" s="321">
        <v>18</v>
      </c>
      <c r="G23" s="324"/>
      <c r="H23" s="324"/>
      <c r="I23" s="366">
        <f t="shared" si="0"/>
        <v>0</v>
      </c>
      <c r="J23" s="411"/>
      <c r="K23" s="331"/>
      <c r="L23" s="331"/>
      <c r="M23" s="331"/>
      <c r="N23" s="331"/>
    </row>
    <row r="24" spans="1:18" s="393" customFormat="1" ht="18" customHeight="1" x14ac:dyDescent="0.25">
      <c r="A24" s="326" t="s">
        <v>16</v>
      </c>
      <c r="B24" s="392" t="s">
        <v>68</v>
      </c>
      <c r="C24" s="326" t="s">
        <v>7</v>
      </c>
      <c r="D24" s="321">
        <f>D23/D13*100</f>
        <v>56.275366843584138</v>
      </c>
      <c r="E24" s="321"/>
      <c r="F24" s="321">
        <v>3630</v>
      </c>
      <c r="G24" s="336"/>
      <c r="H24" s="324"/>
      <c r="I24" s="366">
        <f t="shared" si="0"/>
        <v>0</v>
      </c>
      <c r="J24" s="412"/>
      <c r="K24" s="331"/>
      <c r="L24" s="331"/>
      <c r="M24" s="331"/>
      <c r="N24" s="331"/>
    </row>
    <row r="25" spans="1:18" s="325" customFormat="1" ht="15" x14ac:dyDescent="0.25">
      <c r="A25" s="322">
        <v>5</v>
      </c>
      <c r="B25" s="344" t="s">
        <v>275</v>
      </c>
      <c r="C25" s="322"/>
      <c r="D25" s="321"/>
      <c r="E25" s="321"/>
      <c r="F25" s="321">
        <f>F24/F14*100</f>
        <v>55.487618465301139</v>
      </c>
      <c r="G25" s="323"/>
      <c r="H25" s="324"/>
      <c r="I25" s="366">
        <f t="shared" si="0"/>
        <v>0</v>
      </c>
      <c r="J25" s="338"/>
      <c r="K25" s="331"/>
      <c r="L25" s="331"/>
      <c r="M25" s="331"/>
      <c r="N25" s="331"/>
    </row>
    <row r="26" spans="1:18" s="325" customFormat="1" ht="15" x14ac:dyDescent="0.25">
      <c r="A26" s="322" t="s">
        <v>22</v>
      </c>
      <c r="B26" s="345" t="s">
        <v>136</v>
      </c>
      <c r="C26" s="346" t="s">
        <v>194</v>
      </c>
      <c r="D26" s="347">
        <v>1329</v>
      </c>
      <c r="E26" s="347">
        <v>1341</v>
      </c>
      <c r="F26" s="321"/>
      <c r="G26" s="323"/>
      <c r="H26" s="324"/>
      <c r="I26" s="366"/>
      <c r="J26" s="410"/>
      <c r="K26" s="331"/>
      <c r="L26" s="331"/>
      <c r="M26" s="331"/>
      <c r="N26" s="331"/>
      <c r="R26" s="334"/>
    </row>
    <row r="27" spans="1:18" s="325" customFormat="1" ht="15" x14ac:dyDescent="0.25">
      <c r="A27" s="328" t="s">
        <v>16</v>
      </c>
      <c r="B27" s="342" t="s">
        <v>195</v>
      </c>
      <c r="C27" s="328" t="s">
        <v>194</v>
      </c>
      <c r="D27" s="329">
        <f>236-21</f>
        <v>215</v>
      </c>
      <c r="E27" s="329">
        <v>121</v>
      </c>
      <c r="F27" s="347">
        <v>1341</v>
      </c>
      <c r="G27" s="324"/>
      <c r="H27" s="324"/>
      <c r="I27" s="366">
        <f t="shared" si="0"/>
        <v>0</v>
      </c>
      <c r="J27" s="411"/>
      <c r="K27" s="331"/>
      <c r="L27" s="331"/>
      <c r="M27" s="331"/>
      <c r="N27" s="331"/>
      <c r="R27" s="334"/>
    </row>
    <row r="28" spans="1:18" s="325" customFormat="1" ht="15" x14ac:dyDescent="0.25">
      <c r="A28" s="328" t="s">
        <v>16</v>
      </c>
      <c r="B28" s="342" t="s">
        <v>196</v>
      </c>
      <c r="C28" s="328" t="s">
        <v>194</v>
      </c>
      <c r="D28" s="329">
        <v>21</v>
      </c>
      <c r="E28" s="329">
        <v>94</v>
      </c>
      <c r="F28" s="329">
        <v>121</v>
      </c>
      <c r="G28" s="324"/>
      <c r="H28" s="324"/>
      <c r="I28" s="366">
        <f t="shared" si="0"/>
        <v>0</v>
      </c>
      <c r="J28" s="411"/>
      <c r="K28" s="331"/>
      <c r="L28" s="331"/>
      <c r="M28" s="331"/>
      <c r="N28" s="331"/>
      <c r="R28" s="334"/>
    </row>
    <row r="29" spans="1:18" s="325" customFormat="1" ht="15" x14ac:dyDescent="0.25">
      <c r="A29" s="328" t="s">
        <v>16</v>
      </c>
      <c r="B29" s="342" t="s">
        <v>197</v>
      </c>
      <c r="C29" s="326" t="s">
        <v>7</v>
      </c>
      <c r="D29" s="321">
        <f>D27/D26*100</f>
        <v>16.177577125658392</v>
      </c>
      <c r="E29" s="321">
        <f>E27/E26*100</f>
        <v>9.0231170768083508</v>
      </c>
      <c r="F29" s="329">
        <v>94</v>
      </c>
      <c r="G29" s="336"/>
      <c r="H29" s="324"/>
      <c r="I29" s="366">
        <f t="shared" si="0"/>
        <v>0</v>
      </c>
      <c r="J29" s="412"/>
      <c r="K29" s="331"/>
      <c r="L29" s="331"/>
      <c r="M29" s="331"/>
      <c r="N29" s="331"/>
      <c r="R29" s="334"/>
    </row>
    <row r="30" spans="1:18" s="325" customFormat="1" ht="15" x14ac:dyDescent="0.25">
      <c r="A30" s="322">
        <v>6</v>
      </c>
      <c r="B30" s="344" t="s">
        <v>69</v>
      </c>
      <c r="C30" s="300"/>
      <c r="D30" s="321"/>
      <c r="E30" s="321"/>
      <c r="F30" s="321">
        <f>F28/F27*100</f>
        <v>9.0231170768083508</v>
      </c>
      <c r="G30" s="348"/>
      <c r="H30" s="324"/>
      <c r="I30" s="366">
        <f t="shared" si="0"/>
        <v>0</v>
      </c>
      <c r="J30" s="338"/>
      <c r="K30" s="349"/>
      <c r="L30" s="349"/>
      <c r="M30" s="349"/>
      <c r="N30" s="349"/>
      <c r="R30" s="334"/>
    </row>
    <row r="31" spans="1:18" s="325" customFormat="1" ht="15" x14ac:dyDescent="0.25">
      <c r="A31" s="350" t="s">
        <v>16</v>
      </c>
      <c r="B31" s="341" t="s">
        <v>198</v>
      </c>
      <c r="C31" s="326" t="s">
        <v>70</v>
      </c>
      <c r="D31" s="321">
        <f t="shared" ref="D31" si="3">SUM(D32:D35)</f>
        <v>2217</v>
      </c>
      <c r="E31" s="321">
        <f>SUM(E32:E35)</f>
        <v>2263</v>
      </c>
      <c r="F31" s="321"/>
      <c r="G31" s="324"/>
      <c r="H31" s="324"/>
      <c r="I31" s="366"/>
      <c r="J31" s="410"/>
      <c r="K31" s="349"/>
      <c r="L31" s="349"/>
      <c r="M31" s="349"/>
      <c r="N31" s="349"/>
      <c r="P31" s="351">
        <v>1.3</v>
      </c>
      <c r="Q31" s="351">
        <v>1.25</v>
      </c>
      <c r="R31" s="334"/>
    </row>
    <row r="32" spans="1:18" s="325" customFormat="1" ht="15" x14ac:dyDescent="0.25">
      <c r="A32" s="350" t="s">
        <v>13</v>
      </c>
      <c r="B32" s="342" t="s">
        <v>71</v>
      </c>
      <c r="C32" s="326" t="s">
        <v>70</v>
      </c>
      <c r="D32" s="352">
        <v>34</v>
      </c>
      <c r="E32" s="321">
        <v>61</v>
      </c>
      <c r="F32" s="321">
        <f t="shared" ref="F32" si="4">SUM(F33:F36)</f>
        <v>2263</v>
      </c>
      <c r="G32" s="324"/>
      <c r="H32" s="324"/>
      <c r="I32" s="366">
        <f t="shared" si="0"/>
        <v>0</v>
      </c>
      <c r="J32" s="411"/>
      <c r="K32" s="349"/>
      <c r="L32" s="349"/>
      <c r="M32" s="349"/>
      <c r="N32" s="349"/>
      <c r="P32" s="337" t="e">
        <f>D31+#REF!</f>
        <v>#REF!</v>
      </c>
      <c r="R32" s="334"/>
    </row>
    <row r="33" spans="1:20" s="325" customFormat="1" ht="15" x14ac:dyDescent="0.25">
      <c r="A33" s="350" t="s">
        <v>13</v>
      </c>
      <c r="B33" s="342" t="s">
        <v>72</v>
      </c>
      <c r="C33" s="326" t="s">
        <v>70</v>
      </c>
      <c r="D33" s="352">
        <v>600</v>
      </c>
      <c r="E33" s="321">
        <v>609</v>
      </c>
      <c r="F33" s="321">
        <v>61</v>
      </c>
      <c r="G33" s="324"/>
      <c r="H33" s="324"/>
      <c r="I33" s="366">
        <f t="shared" si="0"/>
        <v>0</v>
      </c>
      <c r="J33" s="411"/>
      <c r="K33" s="349"/>
      <c r="L33" s="349"/>
      <c r="M33" s="349"/>
      <c r="N33" s="349"/>
      <c r="R33" s="334"/>
    </row>
    <row r="34" spans="1:20" s="325" customFormat="1" ht="15" x14ac:dyDescent="0.25">
      <c r="A34" s="350" t="s">
        <v>13</v>
      </c>
      <c r="B34" s="342" t="s">
        <v>73</v>
      </c>
      <c r="C34" s="326" t="s">
        <v>70</v>
      </c>
      <c r="D34" s="352">
        <v>858</v>
      </c>
      <c r="E34" s="352">
        <v>863</v>
      </c>
      <c r="F34" s="321">
        <v>609</v>
      </c>
      <c r="G34" s="324"/>
      <c r="H34" s="324"/>
      <c r="I34" s="366">
        <f t="shared" si="0"/>
        <v>0</v>
      </c>
      <c r="J34" s="411"/>
      <c r="K34" s="349"/>
      <c r="L34" s="349"/>
      <c r="M34" s="349"/>
      <c r="N34" s="349"/>
      <c r="R34" s="334"/>
      <c r="S34" s="352"/>
      <c r="T34" s="321"/>
    </row>
    <row r="35" spans="1:20" s="325" customFormat="1" ht="15" x14ac:dyDescent="0.25">
      <c r="A35" s="350" t="s">
        <v>13</v>
      </c>
      <c r="B35" s="342" t="s">
        <v>74</v>
      </c>
      <c r="C35" s="326" t="s">
        <v>70</v>
      </c>
      <c r="D35" s="352">
        <v>725</v>
      </c>
      <c r="E35" s="352">
        <v>730</v>
      </c>
      <c r="F35" s="321">
        <v>863</v>
      </c>
      <c r="G35" s="324"/>
      <c r="H35" s="324"/>
      <c r="I35" s="366">
        <f t="shared" si="0"/>
        <v>0</v>
      </c>
      <c r="J35" s="411"/>
      <c r="K35" s="349"/>
      <c r="L35" s="349"/>
      <c r="M35" s="349"/>
      <c r="N35" s="349"/>
      <c r="R35" s="334"/>
    </row>
    <row r="36" spans="1:20" s="325" customFormat="1" ht="15" x14ac:dyDescent="0.25">
      <c r="A36" s="326" t="s">
        <v>16</v>
      </c>
      <c r="B36" s="342" t="s">
        <v>76</v>
      </c>
      <c r="C36" s="326" t="s">
        <v>7</v>
      </c>
      <c r="D36" s="321">
        <v>100</v>
      </c>
      <c r="E36" s="321"/>
      <c r="F36" s="321">
        <v>730</v>
      </c>
      <c r="G36" s="330"/>
      <c r="H36" s="324"/>
      <c r="I36" s="366">
        <f t="shared" si="0"/>
        <v>0</v>
      </c>
      <c r="J36" s="411"/>
      <c r="K36" s="331"/>
      <c r="L36" s="331"/>
      <c r="M36" s="331"/>
      <c r="N36" s="331"/>
    </row>
    <row r="37" spans="1:20" s="325" customFormat="1" ht="15" x14ac:dyDescent="0.25">
      <c r="A37" s="326" t="s">
        <v>13</v>
      </c>
      <c r="B37" s="342" t="s">
        <v>73</v>
      </c>
      <c r="C37" s="326" t="s">
        <v>7</v>
      </c>
      <c r="D37" s="321">
        <v>100</v>
      </c>
      <c r="E37" s="321"/>
      <c r="F37" s="321">
        <v>100</v>
      </c>
      <c r="G37" s="336"/>
      <c r="H37" s="324"/>
      <c r="I37" s="366">
        <f t="shared" si="0"/>
        <v>0</v>
      </c>
      <c r="J37" s="411"/>
      <c r="K37" s="331"/>
      <c r="L37" s="331"/>
      <c r="M37" s="331"/>
      <c r="N37" s="331"/>
    </row>
    <row r="38" spans="1:20" s="325" customFormat="1" ht="15" x14ac:dyDescent="0.25">
      <c r="A38" s="326" t="s">
        <v>13</v>
      </c>
      <c r="B38" s="342" t="s">
        <v>74</v>
      </c>
      <c r="C38" s="326" t="s">
        <v>7</v>
      </c>
      <c r="D38" s="321">
        <v>99</v>
      </c>
      <c r="E38" s="321"/>
      <c r="F38" s="321">
        <v>100</v>
      </c>
      <c r="G38" s="336"/>
      <c r="H38" s="324"/>
      <c r="I38" s="366">
        <f t="shared" si="0"/>
        <v>0</v>
      </c>
      <c r="J38" s="411"/>
      <c r="K38" s="331"/>
      <c r="L38" s="331"/>
      <c r="M38" s="331"/>
      <c r="N38" s="331"/>
    </row>
    <row r="39" spans="1:20" s="325" customFormat="1" ht="15" x14ac:dyDescent="0.25">
      <c r="A39" s="326" t="s">
        <v>13</v>
      </c>
      <c r="B39" s="342" t="s">
        <v>75</v>
      </c>
      <c r="C39" s="326" t="s">
        <v>7</v>
      </c>
      <c r="D39" s="321">
        <v>93</v>
      </c>
      <c r="E39" s="321"/>
      <c r="F39" s="321">
        <v>99</v>
      </c>
      <c r="G39" s="336"/>
      <c r="H39" s="324"/>
      <c r="I39" s="366">
        <f t="shared" si="0"/>
        <v>0</v>
      </c>
      <c r="J39" s="411"/>
      <c r="K39" s="331"/>
      <c r="L39" s="331"/>
      <c r="M39" s="331"/>
      <c r="N39" s="331"/>
    </row>
    <row r="40" spans="1:20" s="325" customFormat="1" ht="15" x14ac:dyDescent="0.25">
      <c r="A40" s="326" t="s">
        <v>16</v>
      </c>
      <c r="B40" s="342" t="s">
        <v>199</v>
      </c>
      <c r="C40" s="326" t="s">
        <v>7</v>
      </c>
      <c r="D40" s="321">
        <v>10</v>
      </c>
      <c r="E40" s="321"/>
      <c r="F40" s="321">
        <v>93</v>
      </c>
      <c r="G40" s="336"/>
      <c r="H40" s="324"/>
      <c r="I40" s="366">
        <f t="shared" si="0"/>
        <v>0</v>
      </c>
      <c r="J40" s="411"/>
      <c r="K40" s="331"/>
      <c r="L40" s="331"/>
      <c r="M40" s="331"/>
      <c r="N40" s="331"/>
    </row>
    <row r="41" spans="1:20" s="325" customFormat="1" ht="15" x14ac:dyDescent="0.25">
      <c r="A41" s="326" t="s">
        <v>16</v>
      </c>
      <c r="B41" s="342" t="s">
        <v>200</v>
      </c>
      <c r="C41" s="326" t="s">
        <v>7</v>
      </c>
      <c r="D41" s="321">
        <v>80</v>
      </c>
      <c r="E41" s="321"/>
      <c r="F41" s="321">
        <v>10</v>
      </c>
      <c r="G41" s="336"/>
      <c r="H41" s="324"/>
      <c r="I41" s="366">
        <f t="shared" si="0"/>
        <v>0</v>
      </c>
      <c r="J41" s="411"/>
      <c r="K41" s="331"/>
      <c r="L41" s="331"/>
      <c r="M41" s="331"/>
      <c r="N41" s="331"/>
      <c r="S41" s="353"/>
    </row>
    <row r="42" spans="1:20" s="325" customFormat="1" ht="15" x14ac:dyDescent="0.25">
      <c r="A42" s="326" t="s">
        <v>16</v>
      </c>
      <c r="B42" s="342" t="s">
        <v>201</v>
      </c>
      <c r="C42" s="326" t="s">
        <v>7</v>
      </c>
      <c r="D42" s="321">
        <v>95</v>
      </c>
      <c r="E42" s="321"/>
      <c r="F42" s="321">
        <v>80</v>
      </c>
      <c r="G42" s="321"/>
      <c r="H42" s="321"/>
      <c r="I42" s="366">
        <f t="shared" si="0"/>
        <v>0</v>
      </c>
      <c r="J42" s="411"/>
      <c r="K42" s="331"/>
      <c r="L42" s="331"/>
      <c r="M42" s="331"/>
      <c r="N42" s="331"/>
    </row>
    <row r="43" spans="1:20" s="325" customFormat="1" ht="15" x14ac:dyDescent="0.25">
      <c r="A43" s="326" t="s">
        <v>13</v>
      </c>
      <c r="B43" s="342" t="s">
        <v>202</v>
      </c>
      <c r="C43" s="326" t="s">
        <v>7</v>
      </c>
      <c r="D43" s="321">
        <v>100</v>
      </c>
      <c r="E43" s="321"/>
      <c r="F43" s="321">
        <v>95</v>
      </c>
      <c r="G43" s="336"/>
      <c r="H43" s="324"/>
      <c r="I43" s="366">
        <f t="shared" si="0"/>
        <v>0</v>
      </c>
      <c r="J43" s="411"/>
      <c r="K43" s="331"/>
      <c r="L43" s="331"/>
      <c r="M43" s="331"/>
      <c r="N43" s="331"/>
    </row>
    <row r="44" spans="1:20" s="325" customFormat="1" ht="15" x14ac:dyDescent="0.25">
      <c r="A44" s="326" t="s">
        <v>13</v>
      </c>
      <c r="B44" s="342" t="s">
        <v>73</v>
      </c>
      <c r="C44" s="326" t="s">
        <v>7</v>
      </c>
      <c r="D44" s="321">
        <v>100</v>
      </c>
      <c r="E44" s="321"/>
      <c r="F44" s="321">
        <v>100</v>
      </c>
      <c r="G44" s="336"/>
      <c r="H44" s="324"/>
      <c r="I44" s="366">
        <f t="shared" si="0"/>
        <v>0</v>
      </c>
      <c r="J44" s="411"/>
      <c r="K44" s="331"/>
      <c r="L44" s="331"/>
      <c r="M44" s="331"/>
      <c r="N44" s="331"/>
    </row>
    <row r="45" spans="1:20" s="325" customFormat="1" ht="15" x14ac:dyDescent="0.25">
      <c r="A45" s="326" t="s">
        <v>13</v>
      </c>
      <c r="B45" s="342" t="s">
        <v>74</v>
      </c>
      <c r="C45" s="326" t="s">
        <v>7</v>
      </c>
      <c r="D45" s="321">
        <v>100</v>
      </c>
      <c r="E45" s="321"/>
      <c r="F45" s="321">
        <v>100</v>
      </c>
      <c r="G45" s="336"/>
      <c r="H45" s="324"/>
      <c r="I45" s="366">
        <f t="shared" si="0"/>
        <v>0</v>
      </c>
      <c r="J45" s="411"/>
      <c r="K45" s="331"/>
      <c r="L45" s="331"/>
      <c r="M45" s="331"/>
      <c r="N45" s="331"/>
    </row>
    <row r="46" spans="1:20" s="325" customFormat="1" ht="15" x14ac:dyDescent="0.25">
      <c r="A46" s="326" t="s">
        <v>13</v>
      </c>
      <c r="B46" s="342" t="s">
        <v>75</v>
      </c>
      <c r="C46" s="326" t="s">
        <v>7</v>
      </c>
      <c r="D46" s="321">
        <v>99</v>
      </c>
      <c r="E46" s="321"/>
      <c r="F46" s="321">
        <v>100</v>
      </c>
      <c r="G46" s="339"/>
      <c r="H46" s="324"/>
      <c r="I46" s="366">
        <f t="shared" si="0"/>
        <v>0</v>
      </c>
      <c r="J46" s="411"/>
      <c r="K46" s="331"/>
      <c r="L46" s="331"/>
      <c r="M46" s="331"/>
      <c r="N46" s="331"/>
    </row>
    <row r="47" spans="1:20" s="325" customFormat="1" ht="30" x14ac:dyDescent="0.25">
      <c r="A47" s="326" t="s">
        <v>16</v>
      </c>
      <c r="B47" s="342" t="s">
        <v>203</v>
      </c>
      <c r="C47" s="326" t="s">
        <v>204</v>
      </c>
      <c r="D47" s="321"/>
      <c r="E47" s="321"/>
      <c r="F47" s="321">
        <v>99</v>
      </c>
      <c r="G47" s="339"/>
      <c r="H47" s="324"/>
      <c r="I47" s="366">
        <f t="shared" si="0"/>
        <v>0</v>
      </c>
      <c r="J47" s="412"/>
      <c r="K47" s="331"/>
      <c r="L47" s="331"/>
      <c r="M47" s="331"/>
      <c r="N47" s="331"/>
    </row>
    <row r="48" spans="1:20" s="325" customFormat="1" ht="15" x14ac:dyDescent="0.25">
      <c r="A48" s="322">
        <v>7</v>
      </c>
      <c r="B48" s="344" t="s">
        <v>77</v>
      </c>
      <c r="C48" s="300"/>
      <c r="D48" s="321"/>
      <c r="E48" s="321"/>
      <c r="F48" s="321">
        <v>0</v>
      </c>
      <c r="G48" s="354"/>
      <c r="H48" s="324"/>
      <c r="I48" s="366"/>
      <c r="J48" s="304"/>
      <c r="K48" s="305"/>
      <c r="L48" s="305"/>
      <c r="M48" s="305"/>
      <c r="N48" s="305"/>
    </row>
    <row r="49" spans="1:14" s="325" customFormat="1" ht="15" x14ac:dyDescent="0.25">
      <c r="A49" s="322" t="s">
        <v>16</v>
      </c>
      <c r="B49" s="341" t="s">
        <v>205</v>
      </c>
      <c r="C49" s="326" t="s">
        <v>7</v>
      </c>
      <c r="D49" s="321">
        <v>100</v>
      </c>
      <c r="E49" s="321"/>
      <c r="F49" s="321"/>
      <c r="G49" s="336"/>
      <c r="H49" s="324"/>
      <c r="I49" s="366"/>
      <c r="J49" s="410"/>
      <c r="K49" s="355"/>
      <c r="L49" s="355"/>
      <c r="M49" s="355"/>
      <c r="N49" s="355"/>
    </row>
    <row r="50" spans="1:14" s="325" customFormat="1" ht="15" x14ac:dyDescent="0.25">
      <c r="A50" s="322" t="s">
        <v>16</v>
      </c>
      <c r="B50" s="341" t="s">
        <v>206</v>
      </c>
      <c r="C50" s="326" t="s">
        <v>7</v>
      </c>
      <c r="D50" s="321">
        <v>1</v>
      </c>
      <c r="E50" s="321"/>
      <c r="F50" s="321">
        <v>100</v>
      </c>
      <c r="G50" s="336"/>
      <c r="H50" s="324"/>
      <c r="I50" s="366">
        <f t="shared" si="0"/>
        <v>0</v>
      </c>
      <c r="J50" s="411"/>
      <c r="K50" s="355"/>
      <c r="L50" s="355"/>
      <c r="M50" s="355"/>
      <c r="N50" s="355"/>
    </row>
    <row r="51" spans="1:14" s="325" customFormat="1" ht="21.75" customHeight="1" x14ac:dyDescent="0.25">
      <c r="A51" s="322"/>
      <c r="B51" s="356" t="s">
        <v>207</v>
      </c>
      <c r="C51" s="326" t="s">
        <v>7</v>
      </c>
      <c r="D51" s="321">
        <v>9.31</v>
      </c>
      <c r="E51" s="321"/>
      <c r="F51" s="321">
        <v>1</v>
      </c>
      <c r="G51" s="336"/>
      <c r="H51" s="324"/>
      <c r="I51" s="366">
        <f t="shared" si="0"/>
        <v>0</v>
      </c>
      <c r="J51" s="411"/>
      <c r="K51" s="355"/>
      <c r="L51" s="355"/>
      <c r="M51" s="355"/>
      <c r="N51" s="355"/>
    </row>
    <row r="52" spans="1:14" s="325" customFormat="1" ht="31.5" customHeight="1" x14ac:dyDescent="0.25">
      <c r="A52" s="322" t="s">
        <v>16</v>
      </c>
      <c r="B52" s="341" t="s">
        <v>208</v>
      </c>
      <c r="C52" s="326" t="s">
        <v>7</v>
      </c>
      <c r="D52" s="321"/>
      <c r="E52" s="321"/>
      <c r="F52" s="321">
        <f>D52-0.44</f>
        <v>-0.44</v>
      </c>
      <c r="G52" s="336"/>
      <c r="H52" s="324"/>
      <c r="I52" s="366">
        <f t="shared" si="0"/>
        <v>0</v>
      </c>
      <c r="J52" s="411"/>
      <c r="K52" s="355"/>
      <c r="L52" s="355"/>
      <c r="M52" s="355"/>
      <c r="N52" s="355"/>
    </row>
    <row r="53" spans="1:14" s="325" customFormat="1" ht="15" x14ac:dyDescent="0.25">
      <c r="A53" s="322" t="s">
        <v>16</v>
      </c>
      <c r="B53" s="342" t="s">
        <v>78</v>
      </c>
      <c r="C53" s="328" t="s">
        <v>79</v>
      </c>
      <c r="D53" s="321">
        <v>10</v>
      </c>
      <c r="E53" s="321"/>
      <c r="F53" s="321"/>
      <c r="G53" s="324"/>
      <c r="H53" s="324"/>
      <c r="I53" s="366"/>
      <c r="J53" s="411"/>
      <c r="K53" s="355"/>
      <c r="L53" s="355"/>
      <c r="M53" s="355"/>
      <c r="N53" s="355"/>
    </row>
    <row r="54" spans="1:14" s="325" customFormat="1" ht="15" x14ac:dyDescent="0.25">
      <c r="A54" s="322" t="s">
        <v>13</v>
      </c>
      <c r="B54" s="342" t="s">
        <v>80</v>
      </c>
      <c r="C54" s="328" t="s">
        <v>79</v>
      </c>
      <c r="D54" s="321"/>
      <c r="E54" s="321"/>
      <c r="F54" s="321">
        <v>10</v>
      </c>
      <c r="G54" s="324"/>
      <c r="H54" s="324"/>
      <c r="I54" s="366">
        <f t="shared" si="0"/>
        <v>0</v>
      </c>
      <c r="J54" s="411"/>
      <c r="K54" s="355"/>
      <c r="L54" s="355"/>
      <c r="M54" s="355"/>
      <c r="N54" s="355"/>
    </row>
    <row r="55" spans="1:14" s="325" customFormat="1" ht="15" x14ac:dyDescent="0.25">
      <c r="A55" s="322" t="s">
        <v>13</v>
      </c>
      <c r="B55" s="342" t="s">
        <v>81</v>
      </c>
      <c r="C55" s="328" t="s">
        <v>79</v>
      </c>
      <c r="D55" s="321">
        <v>6</v>
      </c>
      <c r="E55" s="321"/>
      <c r="F55" s="321"/>
      <c r="G55" s="324"/>
      <c r="H55" s="324"/>
      <c r="I55" s="366"/>
      <c r="J55" s="411"/>
      <c r="K55" s="355"/>
      <c r="L55" s="355"/>
      <c r="M55" s="355"/>
      <c r="N55" s="355"/>
    </row>
    <row r="56" spans="1:14" s="325" customFormat="1" ht="15" x14ac:dyDescent="0.25">
      <c r="A56" s="322" t="s">
        <v>16</v>
      </c>
      <c r="B56" s="342" t="s">
        <v>209</v>
      </c>
      <c r="C56" s="326" t="s">
        <v>7</v>
      </c>
      <c r="D56" s="321">
        <v>100</v>
      </c>
      <c r="E56" s="321"/>
      <c r="F56" s="321">
        <v>6</v>
      </c>
      <c r="G56" s="324"/>
      <c r="H56" s="324"/>
      <c r="I56" s="366">
        <f t="shared" si="0"/>
        <v>0</v>
      </c>
      <c r="J56" s="411"/>
      <c r="K56" s="355"/>
      <c r="L56" s="355"/>
      <c r="M56" s="355"/>
      <c r="N56" s="355"/>
    </row>
    <row r="57" spans="1:14" s="325" customFormat="1" ht="15" x14ac:dyDescent="0.25">
      <c r="A57" s="322" t="s">
        <v>16</v>
      </c>
      <c r="B57" s="342" t="s">
        <v>82</v>
      </c>
      <c r="C57" s="328" t="s">
        <v>7</v>
      </c>
      <c r="D57" s="321">
        <v>0.1</v>
      </c>
      <c r="E57" s="321"/>
      <c r="F57" s="321">
        <v>100</v>
      </c>
      <c r="G57" s="336"/>
      <c r="H57" s="324"/>
      <c r="I57" s="366">
        <f t="shared" si="0"/>
        <v>0</v>
      </c>
      <c r="J57" s="411"/>
      <c r="K57" s="331"/>
      <c r="L57" s="331"/>
      <c r="M57" s="331"/>
      <c r="N57" s="331"/>
    </row>
    <row r="58" spans="1:14" s="325" customFormat="1" ht="21" customHeight="1" x14ac:dyDescent="0.25">
      <c r="A58" s="322" t="s">
        <v>16</v>
      </c>
      <c r="B58" s="342" t="s">
        <v>83</v>
      </c>
      <c r="C58" s="328" t="s">
        <v>79</v>
      </c>
      <c r="D58" s="321">
        <v>10</v>
      </c>
      <c r="E58" s="321"/>
      <c r="F58" s="321">
        <v>0.1</v>
      </c>
      <c r="G58" s="336"/>
      <c r="H58" s="324"/>
      <c r="I58" s="366">
        <f t="shared" si="0"/>
        <v>0</v>
      </c>
      <c r="J58" s="411"/>
      <c r="K58" s="331"/>
      <c r="L58" s="331"/>
      <c r="M58" s="331"/>
      <c r="N58" s="331"/>
    </row>
    <row r="59" spans="1:14" s="325" customFormat="1" ht="15" x14ac:dyDescent="0.25">
      <c r="A59" s="322" t="s">
        <v>16</v>
      </c>
      <c r="B59" s="342" t="s">
        <v>210</v>
      </c>
      <c r="C59" s="328" t="s">
        <v>7</v>
      </c>
      <c r="D59" s="321">
        <v>100</v>
      </c>
      <c r="E59" s="321"/>
      <c r="F59" s="321">
        <v>10</v>
      </c>
      <c r="G59" s="330"/>
      <c r="H59" s="324"/>
      <c r="I59" s="366">
        <f t="shared" si="0"/>
        <v>0</v>
      </c>
      <c r="J59" s="411"/>
      <c r="K59" s="331"/>
      <c r="L59" s="331"/>
      <c r="M59" s="331"/>
      <c r="N59" s="331"/>
    </row>
    <row r="60" spans="1:14" s="325" customFormat="1" ht="15" x14ac:dyDescent="0.25">
      <c r="A60" s="322" t="s">
        <v>16</v>
      </c>
      <c r="B60" s="342" t="s">
        <v>84</v>
      </c>
      <c r="C60" s="328" t="s">
        <v>7</v>
      </c>
      <c r="D60" s="321">
        <v>100</v>
      </c>
      <c r="E60" s="321"/>
      <c r="F60" s="321">
        <v>100</v>
      </c>
      <c r="G60" s="330"/>
      <c r="H60" s="324"/>
      <c r="I60" s="366">
        <f t="shared" si="0"/>
        <v>0</v>
      </c>
      <c r="J60" s="411"/>
      <c r="K60" s="331"/>
      <c r="L60" s="331"/>
      <c r="M60" s="331"/>
      <c r="N60" s="331"/>
    </row>
    <row r="61" spans="1:14" s="325" customFormat="1" ht="15" x14ac:dyDescent="0.25">
      <c r="A61" s="322" t="s">
        <v>16</v>
      </c>
      <c r="B61" s="341" t="s">
        <v>85</v>
      </c>
      <c r="C61" s="328" t="s">
        <v>7</v>
      </c>
      <c r="D61" s="321">
        <v>48</v>
      </c>
      <c r="E61" s="321"/>
      <c r="F61" s="321">
        <v>100</v>
      </c>
      <c r="G61" s="357"/>
      <c r="H61" s="324"/>
      <c r="I61" s="366">
        <f t="shared" si="0"/>
        <v>0</v>
      </c>
      <c r="J61" s="411"/>
      <c r="K61" s="331"/>
      <c r="L61" s="331"/>
      <c r="M61" s="331"/>
      <c r="N61" s="331"/>
    </row>
    <row r="62" spans="1:14" s="325" customFormat="1" ht="15" x14ac:dyDescent="0.25">
      <c r="A62" s="322" t="s">
        <v>16</v>
      </c>
      <c r="B62" s="341" t="s">
        <v>211</v>
      </c>
      <c r="C62" s="328" t="s">
        <v>7</v>
      </c>
      <c r="D62" s="321">
        <v>45.6</v>
      </c>
      <c r="E62" s="321"/>
      <c r="F62" s="321">
        <v>43.4</v>
      </c>
      <c r="G62" s="357"/>
      <c r="H62" s="324"/>
      <c r="I62" s="366">
        <f t="shared" si="0"/>
        <v>0</v>
      </c>
      <c r="J62" s="411"/>
      <c r="K62" s="331"/>
      <c r="L62" s="331"/>
      <c r="M62" s="331"/>
      <c r="N62" s="331"/>
    </row>
    <row r="63" spans="1:14" s="325" customFormat="1" ht="45" customHeight="1" x14ac:dyDescent="0.25">
      <c r="A63" s="322" t="s">
        <v>16</v>
      </c>
      <c r="B63" s="341" t="s">
        <v>212</v>
      </c>
      <c r="C63" s="328" t="s">
        <v>213</v>
      </c>
      <c r="D63" s="321">
        <v>0</v>
      </c>
      <c r="E63" s="321"/>
      <c r="F63" s="321">
        <v>39.08</v>
      </c>
      <c r="G63" s="336"/>
      <c r="H63" s="324"/>
      <c r="I63" s="366">
        <f t="shared" si="0"/>
        <v>0</v>
      </c>
      <c r="J63" s="411"/>
      <c r="K63" s="331"/>
      <c r="L63" s="331"/>
      <c r="M63" s="331"/>
      <c r="N63" s="331"/>
    </row>
    <row r="64" spans="1:14" s="325" customFormat="1" ht="17.25" customHeight="1" x14ac:dyDescent="0.25">
      <c r="A64" s="322" t="s">
        <v>16</v>
      </c>
      <c r="B64" s="341" t="s">
        <v>214</v>
      </c>
      <c r="C64" s="328" t="s">
        <v>7</v>
      </c>
      <c r="D64" s="321">
        <v>94</v>
      </c>
      <c r="E64" s="321"/>
      <c r="F64" s="321">
        <v>0</v>
      </c>
      <c r="G64" s="336"/>
      <c r="H64" s="324"/>
      <c r="I64" s="366"/>
      <c r="J64" s="411"/>
      <c r="K64" s="331"/>
      <c r="L64" s="331"/>
      <c r="M64" s="331"/>
      <c r="N64" s="331"/>
    </row>
    <row r="65" spans="1:14" s="325" customFormat="1" ht="17.25" customHeight="1" x14ac:dyDescent="0.25">
      <c r="A65" s="322" t="s">
        <v>16</v>
      </c>
      <c r="B65" s="341" t="s">
        <v>215</v>
      </c>
      <c r="C65" s="328" t="s">
        <v>7</v>
      </c>
      <c r="D65" s="321">
        <v>83.3</v>
      </c>
      <c r="E65" s="321"/>
      <c r="F65" s="321">
        <v>94</v>
      </c>
      <c r="G65" s="336"/>
      <c r="H65" s="324"/>
      <c r="I65" s="366">
        <f t="shared" si="0"/>
        <v>0</v>
      </c>
      <c r="J65" s="411"/>
      <c r="K65" s="331"/>
      <c r="L65" s="331"/>
      <c r="M65" s="331"/>
      <c r="N65" s="331"/>
    </row>
    <row r="66" spans="1:14" s="325" customFormat="1" ht="17.25" customHeight="1" x14ac:dyDescent="0.25">
      <c r="A66" s="322" t="s">
        <v>16</v>
      </c>
      <c r="B66" s="341" t="s">
        <v>216</v>
      </c>
      <c r="C66" s="328" t="s">
        <v>7</v>
      </c>
      <c r="D66" s="321">
        <v>86</v>
      </c>
      <c r="E66" s="321"/>
      <c r="F66" s="321">
        <v>83.3</v>
      </c>
      <c r="G66" s="336"/>
      <c r="H66" s="324"/>
      <c r="I66" s="366">
        <f t="shared" si="0"/>
        <v>0</v>
      </c>
      <c r="J66" s="411"/>
      <c r="K66" s="331"/>
      <c r="L66" s="331"/>
      <c r="M66" s="331"/>
      <c r="N66" s="331"/>
    </row>
    <row r="67" spans="1:14" s="325" customFormat="1" ht="15" x14ac:dyDescent="0.25">
      <c r="A67" s="322" t="s">
        <v>16</v>
      </c>
      <c r="B67" s="341" t="s">
        <v>217</v>
      </c>
      <c r="C67" s="328" t="s">
        <v>7</v>
      </c>
      <c r="D67" s="321">
        <v>75</v>
      </c>
      <c r="E67" s="321"/>
      <c r="F67" s="321">
        <v>86</v>
      </c>
      <c r="G67" s="336"/>
      <c r="H67" s="324"/>
      <c r="I67" s="366">
        <f t="shared" si="0"/>
        <v>0</v>
      </c>
      <c r="J67" s="411"/>
      <c r="K67" s="331"/>
      <c r="L67" s="331"/>
      <c r="M67" s="331"/>
      <c r="N67" s="331"/>
    </row>
    <row r="68" spans="1:14" s="325" customFormat="1" ht="15" x14ac:dyDescent="0.25">
      <c r="A68" s="322" t="s">
        <v>16</v>
      </c>
      <c r="B68" s="341" t="s">
        <v>218</v>
      </c>
      <c r="C68" s="328" t="s">
        <v>7</v>
      </c>
      <c r="D68" s="321">
        <v>75</v>
      </c>
      <c r="E68" s="321"/>
      <c r="F68" s="321">
        <v>75</v>
      </c>
      <c r="G68" s="336"/>
      <c r="H68" s="324"/>
      <c r="I68" s="366">
        <f t="shared" si="0"/>
        <v>0</v>
      </c>
      <c r="J68" s="411"/>
      <c r="K68" s="331"/>
      <c r="L68" s="331"/>
      <c r="M68" s="331"/>
      <c r="N68" s="331"/>
    </row>
    <row r="69" spans="1:14" s="325" customFormat="1" ht="15" x14ac:dyDescent="0.25">
      <c r="A69" s="322" t="s">
        <v>16</v>
      </c>
      <c r="B69" s="341" t="s">
        <v>219</v>
      </c>
      <c r="C69" s="328" t="s">
        <v>7</v>
      </c>
      <c r="D69" s="321">
        <v>92</v>
      </c>
      <c r="E69" s="321"/>
      <c r="F69" s="321">
        <v>75</v>
      </c>
      <c r="G69" s="336"/>
      <c r="H69" s="324"/>
      <c r="I69" s="366">
        <f t="shared" si="0"/>
        <v>0</v>
      </c>
      <c r="J69" s="411"/>
      <c r="K69" s="331"/>
      <c r="L69" s="331"/>
      <c r="M69" s="331"/>
      <c r="N69" s="331"/>
    </row>
    <row r="70" spans="1:14" s="325" customFormat="1" ht="15" x14ac:dyDescent="0.25">
      <c r="A70" s="322" t="s">
        <v>16</v>
      </c>
      <c r="B70" s="341" t="s">
        <v>220</v>
      </c>
      <c r="C70" s="328" t="s">
        <v>7</v>
      </c>
      <c r="D70" s="321">
        <v>92</v>
      </c>
      <c r="E70" s="321"/>
      <c r="F70" s="321">
        <v>92</v>
      </c>
      <c r="G70" s="336"/>
      <c r="H70" s="324"/>
      <c r="I70" s="366">
        <f t="shared" si="0"/>
        <v>0</v>
      </c>
      <c r="J70" s="411"/>
      <c r="K70" s="331"/>
      <c r="L70" s="331"/>
      <c r="M70" s="331"/>
      <c r="N70" s="331"/>
    </row>
    <row r="71" spans="1:14" s="325" customFormat="1" ht="36" customHeight="1" x14ac:dyDescent="0.25">
      <c r="A71" s="322" t="s">
        <v>16</v>
      </c>
      <c r="B71" s="341" t="s">
        <v>221</v>
      </c>
      <c r="C71" s="328" t="s">
        <v>7</v>
      </c>
      <c r="D71" s="321">
        <v>100</v>
      </c>
      <c r="E71" s="321"/>
      <c r="F71" s="321">
        <v>92</v>
      </c>
      <c r="G71" s="336"/>
      <c r="H71" s="324"/>
      <c r="I71" s="366">
        <f t="shared" si="0"/>
        <v>0</v>
      </c>
      <c r="J71" s="411"/>
      <c r="K71" s="331"/>
      <c r="L71" s="331"/>
      <c r="M71" s="331"/>
      <c r="N71" s="331"/>
    </row>
    <row r="72" spans="1:14" s="325" customFormat="1" ht="20.25" customHeight="1" x14ac:dyDescent="0.25">
      <c r="A72" s="322" t="s">
        <v>16</v>
      </c>
      <c r="B72" s="341" t="s">
        <v>222</v>
      </c>
      <c r="C72" s="328" t="s">
        <v>7</v>
      </c>
      <c r="D72" s="321">
        <v>97</v>
      </c>
      <c r="E72" s="321"/>
      <c r="F72" s="321">
        <v>100</v>
      </c>
      <c r="G72" s="336"/>
      <c r="H72" s="324"/>
      <c r="I72" s="366">
        <f t="shared" ref="I72:I124" si="5">G72/F72*100</f>
        <v>0</v>
      </c>
      <c r="J72" s="411"/>
      <c r="K72" s="331"/>
      <c r="L72" s="331"/>
      <c r="M72" s="331"/>
      <c r="N72" s="331"/>
    </row>
    <row r="73" spans="1:14" s="325" customFormat="1" ht="21" customHeight="1" x14ac:dyDescent="0.25">
      <c r="A73" s="322" t="s">
        <v>16</v>
      </c>
      <c r="B73" s="341" t="s">
        <v>223</v>
      </c>
      <c r="C73" s="328" t="s">
        <v>7</v>
      </c>
      <c r="D73" s="321">
        <v>98</v>
      </c>
      <c r="E73" s="321"/>
      <c r="F73" s="321">
        <v>97</v>
      </c>
      <c r="G73" s="336"/>
      <c r="H73" s="324"/>
      <c r="I73" s="366">
        <f t="shared" si="5"/>
        <v>0</v>
      </c>
      <c r="J73" s="412"/>
      <c r="K73" s="331"/>
      <c r="L73" s="331"/>
      <c r="M73" s="331"/>
      <c r="N73" s="331"/>
    </row>
    <row r="74" spans="1:14" s="325" customFormat="1" ht="15" x14ac:dyDescent="0.25">
      <c r="A74" s="300">
        <v>8</v>
      </c>
      <c r="B74" s="344" t="s">
        <v>86</v>
      </c>
      <c r="C74" s="300"/>
      <c r="D74" s="321"/>
      <c r="E74" s="321"/>
      <c r="F74" s="321">
        <v>98</v>
      </c>
      <c r="G74" s="336"/>
      <c r="H74" s="324"/>
      <c r="I74" s="366">
        <f t="shared" si="5"/>
        <v>0</v>
      </c>
      <c r="J74" s="338"/>
      <c r="K74" s="331"/>
      <c r="L74" s="331"/>
      <c r="M74" s="331"/>
      <c r="N74" s="331"/>
    </row>
    <row r="75" spans="1:14" s="325" customFormat="1" ht="15" x14ac:dyDescent="0.25">
      <c r="A75" s="326" t="s">
        <v>16</v>
      </c>
      <c r="B75" s="342" t="s">
        <v>87</v>
      </c>
      <c r="C75" s="326" t="s">
        <v>224</v>
      </c>
      <c r="D75" s="321">
        <v>280</v>
      </c>
      <c r="E75" s="321"/>
      <c r="F75" s="321">
        <f>SUM(F76:F77)</f>
        <v>313</v>
      </c>
      <c r="G75" s="324"/>
      <c r="H75" s="324"/>
      <c r="I75" s="366">
        <f t="shared" si="5"/>
        <v>0</v>
      </c>
      <c r="J75" s="410"/>
      <c r="K75" s="331"/>
      <c r="L75" s="331"/>
      <c r="M75" s="331"/>
      <c r="N75" s="331"/>
    </row>
    <row r="76" spans="1:14" s="313" customFormat="1" ht="15" x14ac:dyDescent="0.25">
      <c r="A76" s="307"/>
      <c r="B76" s="356" t="s">
        <v>276</v>
      </c>
      <c r="C76" s="307" t="s">
        <v>224</v>
      </c>
      <c r="D76" s="362">
        <v>4</v>
      </c>
      <c r="E76" s="362"/>
      <c r="F76" s="362">
        <v>308</v>
      </c>
      <c r="G76" s="364"/>
      <c r="H76" s="364"/>
      <c r="I76" s="312">
        <f t="shared" si="5"/>
        <v>0</v>
      </c>
      <c r="J76" s="411"/>
      <c r="K76" s="349"/>
      <c r="L76" s="349"/>
      <c r="M76" s="349"/>
      <c r="N76" s="349"/>
    </row>
    <row r="77" spans="1:14" s="313" customFormat="1" ht="15" x14ac:dyDescent="0.25">
      <c r="A77" s="307"/>
      <c r="B77" s="356" t="s">
        <v>225</v>
      </c>
      <c r="C77" s="307" t="s">
        <v>224</v>
      </c>
      <c r="D77" s="362">
        <v>190</v>
      </c>
      <c r="E77" s="362"/>
      <c r="F77" s="362">
        <v>5</v>
      </c>
      <c r="G77" s="364"/>
      <c r="H77" s="364"/>
      <c r="I77" s="312">
        <f t="shared" si="5"/>
        <v>0</v>
      </c>
      <c r="J77" s="411"/>
      <c r="K77" s="349"/>
      <c r="L77" s="349"/>
      <c r="M77" s="349"/>
      <c r="N77" s="349"/>
    </row>
    <row r="78" spans="1:14" s="325" customFormat="1" ht="15" x14ac:dyDescent="0.25">
      <c r="A78" s="326" t="s">
        <v>16</v>
      </c>
      <c r="B78" s="342" t="s">
        <v>226</v>
      </c>
      <c r="C78" s="326" t="s">
        <v>98</v>
      </c>
      <c r="D78" s="321">
        <v>0.45</v>
      </c>
      <c r="E78" s="321"/>
      <c r="F78" s="321">
        <v>200</v>
      </c>
      <c r="G78" s="336"/>
      <c r="H78" s="324"/>
      <c r="I78" s="366">
        <f t="shared" si="5"/>
        <v>0</v>
      </c>
      <c r="J78" s="411"/>
      <c r="K78" s="349"/>
      <c r="L78" s="349"/>
      <c r="M78" s="349"/>
      <c r="N78" s="349"/>
    </row>
    <row r="79" spans="1:14" s="325" customFormat="1" ht="15" x14ac:dyDescent="0.25">
      <c r="A79" s="326" t="s">
        <v>16</v>
      </c>
      <c r="B79" s="342" t="s">
        <v>227</v>
      </c>
      <c r="C79" s="326" t="s">
        <v>228</v>
      </c>
      <c r="D79" s="321">
        <v>0</v>
      </c>
      <c r="E79" s="321"/>
      <c r="F79" s="321">
        <v>0.5</v>
      </c>
      <c r="G79" s="336"/>
      <c r="H79" s="324"/>
      <c r="I79" s="366">
        <f t="shared" si="5"/>
        <v>0</v>
      </c>
      <c r="J79" s="411"/>
      <c r="K79" s="349"/>
      <c r="L79" s="349"/>
      <c r="M79" s="349"/>
      <c r="N79" s="349"/>
    </row>
    <row r="80" spans="1:14" s="325" customFormat="1" ht="15" x14ac:dyDescent="0.25">
      <c r="A80" s="326" t="s">
        <v>16</v>
      </c>
      <c r="B80" s="342" t="s">
        <v>229</v>
      </c>
      <c r="C80" s="326" t="s">
        <v>230</v>
      </c>
      <c r="D80" s="321">
        <v>0</v>
      </c>
      <c r="E80" s="321"/>
      <c r="F80" s="321">
        <v>0</v>
      </c>
      <c r="G80" s="336"/>
      <c r="H80" s="324"/>
      <c r="I80" s="366"/>
      <c r="J80" s="411"/>
      <c r="K80" s="349"/>
      <c r="L80" s="349"/>
      <c r="M80" s="349"/>
      <c r="N80" s="349"/>
    </row>
    <row r="81" spans="1:18" s="325" customFormat="1" ht="15" x14ac:dyDescent="0.25">
      <c r="A81" s="326" t="s">
        <v>16</v>
      </c>
      <c r="B81" s="342" t="s">
        <v>231</v>
      </c>
      <c r="C81" s="326" t="s">
        <v>230</v>
      </c>
      <c r="D81" s="321">
        <v>0</v>
      </c>
      <c r="E81" s="321"/>
      <c r="F81" s="321"/>
      <c r="G81" s="336"/>
      <c r="H81" s="324"/>
      <c r="I81" s="366"/>
      <c r="J81" s="411"/>
      <c r="K81" s="349"/>
      <c r="L81" s="349"/>
      <c r="M81" s="349"/>
      <c r="N81" s="349"/>
    </row>
    <row r="82" spans="1:18" s="325" customFormat="1" ht="15" x14ac:dyDescent="0.25">
      <c r="A82" s="326" t="s">
        <v>16</v>
      </c>
      <c r="B82" s="342" t="s">
        <v>88</v>
      </c>
      <c r="C82" s="326" t="s">
        <v>7</v>
      </c>
      <c r="D82" s="321">
        <v>100</v>
      </c>
      <c r="E82" s="321"/>
      <c r="F82" s="321"/>
      <c r="G82" s="336"/>
      <c r="H82" s="324"/>
      <c r="I82" s="366"/>
      <c r="J82" s="411"/>
      <c r="K82" s="349"/>
      <c r="L82" s="349"/>
      <c r="M82" s="349"/>
      <c r="N82" s="349"/>
    </row>
    <row r="83" spans="1:18" s="325" customFormat="1" ht="15" x14ac:dyDescent="0.25">
      <c r="A83" s="326" t="s">
        <v>16</v>
      </c>
      <c r="B83" s="342" t="s">
        <v>89</v>
      </c>
      <c r="C83" s="326" t="s">
        <v>7</v>
      </c>
      <c r="D83" s="321">
        <v>100</v>
      </c>
      <c r="E83" s="321"/>
      <c r="F83" s="321">
        <v>100</v>
      </c>
      <c r="G83" s="336"/>
      <c r="H83" s="324"/>
      <c r="I83" s="366">
        <f t="shared" si="5"/>
        <v>0</v>
      </c>
      <c r="J83" s="411"/>
      <c r="K83" s="349"/>
      <c r="L83" s="349"/>
      <c r="M83" s="349"/>
      <c r="N83" s="349"/>
    </row>
    <row r="84" spans="1:18" s="325" customFormat="1" ht="15" x14ac:dyDescent="0.25">
      <c r="A84" s="326" t="s">
        <v>16</v>
      </c>
      <c r="B84" s="342" t="s">
        <v>232</v>
      </c>
      <c r="C84" s="326" t="s">
        <v>7</v>
      </c>
      <c r="D84" s="321">
        <v>85</v>
      </c>
      <c r="E84" s="321"/>
      <c r="F84" s="321">
        <v>100</v>
      </c>
      <c r="G84" s="336"/>
      <c r="H84" s="324"/>
      <c r="I84" s="366">
        <f t="shared" si="5"/>
        <v>0</v>
      </c>
      <c r="J84" s="411"/>
      <c r="K84" s="349"/>
      <c r="L84" s="349"/>
      <c r="M84" s="349"/>
      <c r="N84" s="349"/>
      <c r="R84" s="353"/>
    </row>
    <row r="85" spans="1:18" s="325" customFormat="1" ht="15" x14ac:dyDescent="0.25">
      <c r="A85" s="326" t="s">
        <v>16</v>
      </c>
      <c r="B85" s="342" t="s">
        <v>90</v>
      </c>
      <c r="C85" s="326" t="s">
        <v>7</v>
      </c>
      <c r="D85" s="321">
        <v>38</v>
      </c>
      <c r="E85" s="321"/>
      <c r="F85" s="321">
        <v>86</v>
      </c>
      <c r="G85" s="336"/>
      <c r="H85" s="324"/>
      <c r="I85" s="366">
        <f t="shared" si="5"/>
        <v>0</v>
      </c>
      <c r="J85" s="411"/>
      <c r="K85" s="349"/>
      <c r="L85" s="349"/>
      <c r="M85" s="349"/>
      <c r="N85" s="349"/>
    </row>
    <row r="86" spans="1:18" s="325" customFormat="1" ht="15" x14ac:dyDescent="0.25">
      <c r="A86" s="326" t="s">
        <v>16</v>
      </c>
      <c r="B86" s="342" t="s">
        <v>233</v>
      </c>
      <c r="C86" s="326" t="s">
        <v>234</v>
      </c>
      <c r="D86" s="321">
        <v>4</v>
      </c>
      <c r="E86" s="321"/>
      <c r="F86" s="321">
        <v>38</v>
      </c>
      <c r="G86" s="336"/>
      <c r="H86" s="324"/>
      <c r="I86" s="366">
        <f t="shared" si="5"/>
        <v>0</v>
      </c>
      <c r="J86" s="411"/>
      <c r="K86" s="349"/>
      <c r="L86" s="349"/>
      <c r="M86" s="349"/>
      <c r="N86" s="349"/>
    </row>
    <row r="87" spans="1:18" s="325" customFormat="1" ht="15" x14ac:dyDescent="0.25">
      <c r="A87" s="326" t="s">
        <v>16</v>
      </c>
      <c r="B87" s="342" t="s">
        <v>235</v>
      </c>
      <c r="C87" s="326" t="s">
        <v>7</v>
      </c>
      <c r="D87" s="321">
        <v>80</v>
      </c>
      <c r="E87" s="321"/>
      <c r="F87" s="321">
        <v>4</v>
      </c>
      <c r="G87" s="336"/>
      <c r="H87" s="324"/>
      <c r="I87" s="366">
        <f t="shared" si="5"/>
        <v>0</v>
      </c>
      <c r="J87" s="412"/>
      <c r="K87" s="349"/>
      <c r="L87" s="349"/>
      <c r="M87" s="349"/>
      <c r="N87" s="349"/>
    </row>
    <row r="88" spans="1:18" s="325" customFormat="1" ht="15" x14ac:dyDescent="0.25">
      <c r="A88" s="300">
        <v>9</v>
      </c>
      <c r="B88" s="344" t="s">
        <v>99</v>
      </c>
      <c r="C88" s="300"/>
      <c r="D88" s="321"/>
      <c r="E88" s="321"/>
      <c r="F88" s="321">
        <v>81</v>
      </c>
      <c r="G88" s="339"/>
      <c r="H88" s="324"/>
      <c r="I88" s="366">
        <f t="shared" si="5"/>
        <v>0</v>
      </c>
      <c r="J88" s="338"/>
      <c r="K88" s="331"/>
      <c r="L88" s="331"/>
      <c r="M88" s="331"/>
      <c r="N88" s="331"/>
    </row>
    <row r="89" spans="1:18" s="325" customFormat="1" ht="15" x14ac:dyDescent="0.25">
      <c r="A89" s="328" t="s">
        <v>16</v>
      </c>
      <c r="B89" s="327" t="s">
        <v>100</v>
      </c>
      <c r="C89" s="328" t="s">
        <v>236</v>
      </c>
      <c r="D89" s="321">
        <v>13</v>
      </c>
      <c r="E89" s="321"/>
      <c r="F89" s="321"/>
      <c r="G89" s="324"/>
      <c r="H89" s="324"/>
      <c r="I89" s="366"/>
      <c r="J89" s="410"/>
      <c r="K89" s="331"/>
      <c r="L89" s="331"/>
      <c r="M89" s="331"/>
      <c r="N89" s="331"/>
    </row>
    <row r="90" spans="1:18" s="325" customFormat="1" ht="15" x14ac:dyDescent="0.25">
      <c r="A90" s="358"/>
      <c r="B90" s="359" t="s">
        <v>101</v>
      </c>
      <c r="C90" s="358" t="s">
        <v>236</v>
      </c>
      <c r="D90" s="321">
        <v>2</v>
      </c>
      <c r="E90" s="321"/>
      <c r="F90" s="321">
        <v>14</v>
      </c>
      <c r="G90" s="324"/>
      <c r="H90" s="324"/>
      <c r="I90" s="366">
        <f t="shared" si="5"/>
        <v>0</v>
      </c>
      <c r="J90" s="411"/>
      <c r="K90" s="331"/>
      <c r="L90" s="331"/>
      <c r="M90" s="331"/>
      <c r="N90" s="331"/>
    </row>
    <row r="91" spans="1:18" s="325" customFormat="1" ht="15" x14ac:dyDescent="0.25">
      <c r="A91" s="358"/>
      <c r="B91" s="359" t="s">
        <v>102</v>
      </c>
      <c r="C91" s="358" t="s">
        <v>236</v>
      </c>
      <c r="D91" s="321">
        <v>0</v>
      </c>
      <c r="E91" s="321"/>
      <c r="F91" s="321">
        <v>1</v>
      </c>
      <c r="G91" s="324"/>
      <c r="H91" s="324"/>
      <c r="I91" s="366">
        <f t="shared" si="5"/>
        <v>0</v>
      </c>
      <c r="J91" s="411"/>
      <c r="K91" s="331"/>
      <c r="L91" s="331"/>
      <c r="M91" s="331"/>
      <c r="N91" s="331"/>
    </row>
    <row r="92" spans="1:18" s="325" customFormat="1" ht="15" x14ac:dyDescent="0.25">
      <c r="A92" s="328" t="s">
        <v>16</v>
      </c>
      <c r="B92" s="327" t="s">
        <v>103</v>
      </c>
      <c r="C92" s="328" t="s">
        <v>57</v>
      </c>
      <c r="D92" s="321">
        <v>162</v>
      </c>
      <c r="E92" s="321"/>
      <c r="F92" s="321">
        <v>2</v>
      </c>
      <c r="G92" s="324"/>
      <c r="H92" s="324"/>
      <c r="I92" s="366">
        <f t="shared" si="5"/>
        <v>0</v>
      </c>
      <c r="J92" s="411"/>
      <c r="K92" s="331"/>
      <c r="L92" s="331"/>
      <c r="M92" s="331"/>
      <c r="N92" s="331"/>
    </row>
    <row r="93" spans="1:18" s="325" customFormat="1" ht="15" x14ac:dyDescent="0.25">
      <c r="A93" s="328" t="s">
        <v>16</v>
      </c>
      <c r="B93" s="327" t="s">
        <v>104</v>
      </c>
      <c r="C93" s="328" t="s">
        <v>7</v>
      </c>
      <c r="D93" s="321">
        <v>57.06</v>
      </c>
      <c r="E93" s="321"/>
      <c r="F93" s="321">
        <v>175</v>
      </c>
      <c r="G93" s="336"/>
      <c r="H93" s="324"/>
      <c r="I93" s="366">
        <f t="shared" si="5"/>
        <v>0</v>
      </c>
      <c r="J93" s="412"/>
      <c r="K93" s="331"/>
      <c r="L93" s="331"/>
      <c r="M93" s="331"/>
      <c r="N93" s="331"/>
    </row>
    <row r="94" spans="1:18" s="325" customFormat="1" ht="15" x14ac:dyDescent="0.25">
      <c r="A94" s="322">
        <v>10</v>
      </c>
      <c r="B94" s="319" t="s">
        <v>237</v>
      </c>
      <c r="C94" s="322"/>
      <c r="D94" s="321">
        <v>0</v>
      </c>
      <c r="E94" s="321"/>
      <c r="F94" s="321">
        <v>57.06</v>
      </c>
      <c r="G94" s="339"/>
      <c r="H94" s="324"/>
      <c r="I94" s="366">
        <f t="shared" si="5"/>
        <v>0</v>
      </c>
      <c r="J94" s="338"/>
      <c r="K94" s="331"/>
      <c r="L94" s="331"/>
      <c r="M94" s="331"/>
      <c r="N94" s="331"/>
    </row>
    <row r="95" spans="1:18" s="325" customFormat="1" ht="15" x14ac:dyDescent="0.25">
      <c r="A95" s="328" t="s">
        <v>16</v>
      </c>
      <c r="B95" s="327" t="s">
        <v>105</v>
      </c>
      <c r="C95" s="328" t="s">
        <v>238</v>
      </c>
      <c r="D95" s="321">
        <v>0</v>
      </c>
      <c r="E95" s="321"/>
      <c r="F95" s="321">
        <v>0</v>
      </c>
      <c r="G95" s="339"/>
      <c r="H95" s="324"/>
      <c r="I95" s="366"/>
      <c r="J95" s="410"/>
      <c r="K95" s="331"/>
      <c r="L95" s="331"/>
      <c r="M95" s="331"/>
      <c r="N95" s="331"/>
    </row>
    <row r="96" spans="1:18" s="325" customFormat="1" ht="15" x14ac:dyDescent="0.25">
      <c r="A96" s="328" t="s">
        <v>16</v>
      </c>
      <c r="B96" s="327" t="s">
        <v>239</v>
      </c>
      <c r="C96" s="328" t="s">
        <v>57</v>
      </c>
      <c r="D96" s="321">
        <v>0</v>
      </c>
      <c r="E96" s="321"/>
      <c r="F96" s="321">
        <v>0</v>
      </c>
      <c r="G96" s="339"/>
      <c r="H96" s="324"/>
      <c r="I96" s="366"/>
      <c r="J96" s="412"/>
      <c r="K96" s="331"/>
      <c r="L96" s="331"/>
      <c r="M96" s="331"/>
      <c r="N96" s="331"/>
    </row>
    <row r="97" spans="1:18" s="325" customFormat="1" ht="15" x14ac:dyDescent="0.25">
      <c r="A97" s="322">
        <v>11</v>
      </c>
      <c r="B97" s="319" t="s">
        <v>97</v>
      </c>
      <c r="C97" s="322"/>
      <c r="D97" s="321"/>
      <c r="E97" s="321"/>
      <c r="F97" s="321">
        <v>0</v>
      </c>
      <c r="G97" s="326"/>
      <c r="H97" s="324"/>
      <c r="I97" s="366"/>
      <c r="J97" s="338"/>
      <c r="K97" s="331"/>
      <c r="L97" s="331"/>
      <c r="M97" s="331"/>
      <c r="N97" s="331"/>
    </row>
    <row r="98" spans="1:18" s="325" customFormat="1" ht="15" x14ac:dyDescent="0.25">
      <c r="A98" s="328" t="s">
        <v>16</v>
      </c>
      <c r="B98" s="327" t="s">
        <v>240</v>
      </c>
      <c r="C98" s="328" t="s">
        <v>241</v>
      </c>
      <c r="D98" s="360">
        <v>5000</v>
      </c>
      <c r="E98" s="360"/>
      <c r="F98" s="321"/>
      <c r="G98" s="324"/>
      <c r="H98" s="324"/>
      <c r="I98" s="366"/>
      <c r="J98" s="410"/>
      <c r="K98" s="331"/>
      <c r="L98" s="331"/>
      <c r="M98" s="331"/>
      <c r="N98" s="331"/>
    </row>
    <row r="99" spans="1:18" s="325" customFormat="1" ht="15" x14ac:dyDescent="0.25">
      <c r="A99" s="328" t="s">
        <v>16</v>
      </c>
      <c r="B99" s="327" t="s">
        <v>242</v>
      </c>
      <c r="C99" s="328" t="s">
        <v>243</v>
      </c>
      <c r="D99" s="321"/>
      <c r="E99" s="321"/>
      <c r="F99" s="360">
        <v>5100</v>
      </c>
      <c r="G99" s="336"/>
      <c r="H99" s="324"/>
      <c r="I99" s="366">
        <f t="shared" si="5"/>
        <v>0</v>
      </c>
      <c r="J99" s="412"/>
      <c r="K99" s="331"/>
      <c r="L99" s="331"/>
      <c r="M99" s="331"/>
      <c r="N99" s="331"/>
    </row>
    <row r="100" spans="1:18" s="325" customFormat="1" ht="15" x14ac:dyDescent="0.25">
      <c r="A100" s="322">
        <v>12</v>
      </c>
      <c r="B100" s="319" t="s">
        <v>244</v>
      </c>
      <c r="C100" s="322" t="s">
        <v>98</v>
      </c>
      <c r="D100" s="321"/>
      <c r="E100" s="321"/>
      <c r="F100" s="321"/>
      <c r="G100" s="361"/>
      <c r="H100" s="324"/>
      <c r="I100" s="366"/>
      <c r="J100" s="338"/>
      <c r="K100" s="305"/>
      <c r="L100" s="305"/>
      <c r="M100" s="305"/>
      <c r="N100" s="305"/>
    </row>
    <row r="101" spans="1:18" s="325" customFormat="1" ht="15" x14ac:dyDescent="0.25">
      <c r="A101" s="322">
        <v>13</v>
      </c>
      <c r="B101" s="319" t="s">
        <v>245</v>
      </c>
      <c r="C101" s="322"/>
      <c r="D101" s="321"/>
      <c r="E101" s="321"/>
      <c r="F101" s="321"/>
      <c r="G101" s="339"/>
      <c r="H101" s="324"/>
      <c r="I101" s="366"/>
      <c r="J101" s="304"/>
      <c r="K101" s="305"/>
      <c r="L101" s="305"/>
      <c r="M101" s="305"/>
      <c r="N101" s="305"/>
    </row>
    <row r="102" spans="1:18" s="325" customFormat="1" ht="15" x14ac:dyDescent="0.25">
      <c r="A102" s="328" t="s">
        <v>16</v>
      </c>
      <c r="B102" s="327" t="s">
        <v>246</v>
      </c>
      <c r="C102" s="328" t="s">
        <v>247</v>
      </c>
      <c r="D102" s="321">
        <v>0</v>
      </c>
      <c r="E102" s="321"/>
      <c r="F102" s="321"/>
      <c r="G102" s="339"/>
      <c r="H102" s="324"/>
      <c r="I102" s="366"/>
      <c r="J102" s="410"/>
      <c r="K102" s="331"/>
      <c r="L102" s="331"/>
      <c r="M102" s="331"/>
      <c r="N102" s="331"/>
    </row>
    <row r="103" spans="1:18" s="325" customFormat="1" ht="15" x14ac:dyDescent="0.25">
      <c r="A103" s="328" t="s">
        <v>16</v>
      </c>
      <c r="B103" s="327" t="s">
        <v>248</v>
      </c>
      <c r="C103" s="328" t="s">
        <v>7</v>
      </c>
      <c r="D103" s="321"/>
      <c r="E103" s="321"/>
      <c r="F103" s="321">
        <v>0</v>
      </c>
      <c r="G103" s="336"/>
      <c r="H103" s="324"/>
      <c r="I103" s="366"/>
      <c r="J103" s="412"/>
      <c r="K103" s="331"/>
      <c r="L103" s="331"/>
      <c r="M103" s="331"/>
      <c r="N103" s="331"/>
    </row>
    <row r="104" spans="1:18" s="325" customFormat="1" ht="15" x14ac:dyDescent="0.25">
      <c r="A104" s="322">
        <v>14</v>
      </c>
      <c r="B104" s="319" t="s">
        <v>91</v>
      </c>
      <c r="C104" s="322" t="s">
        <v>7</v>
      </c>
      <c r="D104" s="321">
        <v>100</v>
      </c>
      <c r="E104" s="321"/>
      <c r="F104" s="321">
        <f t="shared" ref="F104" si="6">F103/17*100</f>
        <v>0</v>
      </c>
      <c r="G104" s="336"/>
      <c r="H104" s="324"/>
      <c r="I104" s="366"/>
      <c r="J104" s="338"/>
      <c r="K104" s="331"/>
      <c r="L104" s="331"/>
      <c r="M104" s="331"/>
      <c r="N104" s="331"/>
    </row>
    <row r="105" spans="1:18" s="325" customFormat="1" ht="15" x14ac:dyDescent="0.25">
      <c r="A105" s="322">
        <v>15</v>
      </c>
      <c r="B105" s="319" t="s">
        <v>92</v>
      </c>
      <c r="C105" s="322" t="s">
        <v>7</v>
      </c>
      <c r="D105" s="321">
        <v>100</v>
      </c>
      <c r="E105" s="321"/>
      <c r="F105" s="321">
        <v>100</v>
      </c>
      <c r="G105" s="336"/>
      <c r="H105" s="324"/>
      <c r="I105" s="366">
        <f t="shared" si="5"/>
        <v>0</v>
      </c>
      <c r="J105" s="338"/>
      <c r="K105" s="331"/>
      <c r="L105" s="331"/>
      <c r="M105" s="331"/>
      <c r="N105" s="331"/>
    </row>
    <row r="106" spans="1:18" s="325" customFormat="1" ht="15" x14ac:dyDescent="0.25">
      <c r="A106" s="322">
        <v>16</v>
      </c>
      <c r="B106" s="319" t="s">
        <v>93</v>
      </c>
      <c r="C106" s="322" t="s">
        <v>7</v>
      </c>
      <c r="D106" s="321">
        <v>100</v>
      </c>
      <c r="E106" s="321"/>
      <c r="F106" s="321">
        <v>100</v>
      </c>
      <c r="G106" s="336"/>
      <c r="H106" s="324"/>
      <c r="I106" s="366">
        <f t="shared" si="5"/>
        <v>0</v>
      </c>
      <c r="J106" s="338"/>
      <c r="K106" s="331"/>
      <c r="L106" s="331"/>
      <c r="M106" s="331"/>
      <c r="N106" s="331"/>
    </row>
    <row r="107" spans="1:18" s="325" customFormat="1" ht="15" x14ac:dyDescent="0.25">
      <c r="A107" s="322">
        <v>17</v>
      </c>
      <c r="B107" s="319" t="s">
        <v>249</v>
      </c>
      <c r="C107" s="322"/>
      <c r="D107" s="321"/>
      <c r="E107" s="321"/>
      <c r="F107" s="321">
        <v>100</v>
      </c>
      <c r="G107" s="339"/>
      <c r="H107" s="324"/>
      <c r="I107" s="366">
        <f t="shared" si="5"/>
        <v>0</v>
      </c>
      <c r="J107" s="338"/>
      <c r="K107" s="331"/>
      <c r="L107" s="331"/>
      <c r="M107" s="331"/>
      <c r="N107" s="331"/>
    </row>
    <row r="108" spans="1:18" s="325" customFormat="1" ht="15" x14ac:dyDescent="0.25">
      <c r="A108" s="328" t="s">
        <v>16</v>
      </c>
      <c r="B108" s="327" t="s">
        <v>250</v>
      </c>
      <c r="C108" s="328" t="s">
        <v>7</v>
      </c>
      <c r="D108" s="321">
        <v>88</v>
      </c>
      <c r="E108" s="321"/>
      <c r="F108" s="321"/>
      <c r="G108" s="336"/>
      <c r="H108" s="324"/>
      <c r="I108" s="366"/>
      <c r="J108" s="410"/>
      <c r="K108" s="331"/>
      <c r="L108" s="331"/>
      <c r="M108" s="331"/>
      <c r="N108" s="331"/>
    </row>
    <row r="109" spans="1:18" s="325" customFormat="1" ht="15" x14ac:dyDescent="0.25">
      <c r="A109" s="328"/>
      <c r="B109" s="327" t="s">
        <v>251</v>
      </c>
      <c r="C109" s="328" t="s">
        <v>7</v>
      </c>
      <c r="D109" s="321">
        <v>91</v>
      </c>
      <c r="E109" s="321"/>
      <c r="F109" s="321">
        <v>88</v>
      </c>
      <c r="G109" s="336"/>
      <c r="H109" s="324"/>
      <c r="I109" s="366">
        <f t="shared" si="5"/>
        <v>0</v>
      </c>
      <c r="J109" s="411"/>
      <c r="K109" s="331"/>
      <c r="L109" s="331"/>
      <c r="M109" s="331"/>
      <c r="N109" s="331"/>
    </row>
    <row r="110" spans="1:18" s="325" customFormat="1" ht="18" customHeight="1" x14ac:dyDescent="0.25">
      <c r="A110" s="328" t="s">
        <v>16</v>
      </c>
      <c r="B110" s="327" t="s">
        <v>252</v>
      </c>
      <c r="C110" s="326" t="s">
        <v>7</v>
      </c>
      <c r="D110" s="321">
        <v>95</v>
      </c>
      <c r="E110" s="321"/>
      <c r="F110" s="321">
        <v>91</v>
      </c>
      <c r="G110" s="336"/>
      <c r="H110" s="324"/>
      <c r="I110" s="366">
        <f t="shared" si="5"/>
        <v>0</v>
      </c>
      <c r="J110" s="411"/>
      <c r="K110" s="331"/>
      <c r="L110" s="331"/>
      <c r="M110" s="331"/>
      <c r="N110" s="331"/>
    </row>
    <row r="111" spans="1:18" s="325" customFormat="1" ht="18" customHeight="1" x14ac:dyDescent="0.25">
      <c r="A111" s="328" t="s">
        <v>16</v>
      </c>
      <c r="B111" s="327" t="s">
        <v>253</v>
      </c>
      <c r="C111" s="326" t="s">
        <v>7</v>
      </c>
      <c r="D111" s="321">
        <v>26</v>
      </c>
      <c r="E111" s="321"/>
      <c r="F111" s="321">
        <v>95</v>
      </c>
      <c r="G111" s="336"/>
      <c r="H111" s="324"/>
      <c r="I111" s="366">
        <f t="shared" si="5"/>
        <v>0</v>
      </c>
      <c r="J111" s="411"/>
      <c r="K111" s="331"/>
      <c r="L111" s="331"/>
      <c r="M111" s="331"/>
      <c r="N111" s="331"/>
    </row>
    <row r="112" spans="1:18" s="325" customFormat="1" ht="18" customHeight="1" x14ac:dyDescent="0.25">
      <c r="A112" s="328" t="s">
        <v>16</v>
      </c>
      <c r="B112" s="327" t="s">
        <v>254</v>
      </c>
      <c r="C112" s="326" t="s">
        <v>255</v>
      </c>
      <c r="D112" s="321">
        <v>89</v>
      </c>
      <c r="E112" s="321">
        <v>187</v>
      </c>
      <c r="F112" s="321">
        <v>26</v>
      </c>
      <c r="G112" s="336"/>
      <c r="H112" s="324"/>
      <c r="I112" s="366">
        <f t="shared" si="5"/>
        <v>0</v>
      </c>
      <c r="J112" s="411"/>
      <c r="K112" s="331"/>
      <c r="L112" s="331"/>
      <c r="M112" s="331"/>
      <c r="N112" s="331"/>
      <c r="R112" s="337"/>
    </row>
    <row r="113" spans="1:18" s="313" customFormat="1" ht="18" customHeight="1" x14ac:dyDescent="0.25">
      <c r="A113" s="358"/>
      <c r="B113" s="359" t="s">
        <v>256</v>
      </c>
      <c r="C113" s="307" t="s">
        <v>255</v>
      </c>
      <c r="D113" s="362">
        <v>89</v>
      </c>
      <c r="E113" s="362">
        <v>187</v>
      </c>
      <c r="F113" s="321">
        <v>187</v>
      </c>
      <c r="G113" s="363"/>
      <c r="H113" s="364"/>
      <c r="I113" s="366">
        <f t="shared" si="5"/>
        <v>0</v>
      </c>
      <c r="J113" s="412"/>
      <c r="K113" s="349"/>
      <c r="L113" s="349"/>
      <c r="M113" s="349"/>
      <c r="N113" s="349"/>
      <c r="R113" s="337"/>
    </row>
    <row r="114" spans="1:18" s="325" customFormat="1" ht="22.5" customHeight="1" x14ac:dyDescent="0.25">
      <c r="A114" s="300">
        <v>18</v>
      </c>
      <c r="B114" s="344" t="s">
        <v>94</v>
      </c>
      <c r="C114" s="328"/>
      <c r="D114" s="321"/>
      <c r="E114" s="321"/>
      <c r="F114" s="362">
        <v>187</v>
      </c>
      <c r="G114" s="339"/>
      <c r="H114" s="324"/>
      <c r="I114" s="366">
        <f t="shared" si="5"/>
        <v>0</v>
      </c>
      <c r="J114" s="338"/>
      <c r="K114" s="331"/>
      <c r="L114" s="331"/>
      <c r="M114" s="331"/>
      <c r="N114" s="331"/>
    </row>
    <row r="115" spans="1:18" s="325" customFormat="1" ht="15" x14ac:dyDescent="0.25">
      <c r="A115" s="328" t="s">
        <v>16</v>
      </c>
      <c r="B115" s="327" t="s">
        <v>257</v>
      </c>
      <c r="C115" s="328" t="s">
        <v>7</v>
      </c>
      <c r="D115" s="321">
        <v>100</v>
      </c>
      <c r="E115" s="321"/>
      <c r="F115" s="321"/>
      <c r="G115" s="336"/>
      <c r="H115" s="324"/>
      <c r="I115" s="366"/>
      <c r="J115" s="366"/>
      <c r="K115" s="331"/>
      <c r="L115" s="331"/>
      <c r="M115" s="331"/>
      <c r="N115" s="331"/>
    </row>
    <row r="116" spans="1:18" s="325" customFormat="1" ht="31.5" customHeight="1" x14ac:dyDescent="0.25">
      <c r="A116" s="328" t="s">
        <v>16</v>
      </c>
      <c r="B116" s="327" t="s">
        <v>95</v>
      </c>
      <c r="C116" s="328" t="s">
        <v>7</v>
      </c>
      <c r="D116" s="321">
        <v>100</v>
      </c>
      <c r="E116" s="321"/>
      <c r="F116" s="321">
        <v>100</v>
      </c>
      <c r="G116" s="336"/>
      <c r="H116" s="324"/>
      <c r="I116" s="366">
        <f t="shared" si="5"/>
        <v>0</v>
      </c>
      <c r="J116" s="410"/>
      <c r="K116" s="331"/>
      <c r="L116" s="331"/>
      <c r="M116" s="331"/>
      <c r="N116" s="331"/>
    </row>
    <row r="117" spans="1:18" s="325" customFormat="1" ht="15" x14ac:dyDescent="0.25">
      <c r="A117" s="328" t="s">
        <v>16</v>
      </c>
      <c r="B117" s="327" t="s">
        <v>96</v>
      </c>
      <c r="C117" s="328" t="s">
        <v>7</v>
      </c>
      <c r="D117" s="321">
        <v>90</v>
      </c>
      <c r="E117" s="321"/>
      <c r="F117" s="321">
        <v>100</v>
      </c>
      <c r="G117" s="336"/>
      <c r="H117" s="324"/>
      <c r="I117" s="366">
        <f t="shared" si="5"/>
        <v>0</v>
      </c>
      <c r="J117" s="411"/>
      <c r="K117" s="331"/>
      <c r="L117" s="331"/>
      <c r="M117" s="331"/>
      <c r="N117" s="331"/>
    </row>
    <row r="118" spans="1:18" s="325" customFormat="1" ht="15" x14ac:dyDescent="0.25">
      <c r="A118" s="358"/>
      <c r="B118" s="365" t="s">
        <v>258</v>
      </c>
      <c r="C118" s="358" t="s">
        <v>7</v>
      </c>
      <c r="D118" s="321">
        <v>100</v>
      </c>
      <c r="E118" s="321"/>
      <c r="F118" s="321">
        <v>90</v>
      </c>
      <c r="G118" s="363"/>
      <c r="H118" s="324"/>
      <c r="I118" s="366">
        <f t="shared" si="5"/>
        <v>0</v>
      </c>
      <c r="J118" s="411"/>
      <c r="K118" s="331"/>
      <c r="L118" s="331"/>
      <c r="M118" s="331"/>
      <c r="N118" s="331"/>
    </row>
    <row r="119" spans="1:18" s="325" customFormat="1" ht="36" customHeight="1" x14ac:dyDescent="0.25">
      <c r="A119" s="328" t="s">
        <v>16</v>
      </c>
      <c r="B119" s="327" t="s">
        <v>259</v>
      </c>
      <c r="C119" s="328" t="s">
        <v>7</v>
      </c>
      <c r="D119" s="321">
        <v>100</v>
      </c>
      <c r="E119" s="321"/>
      <c r="F119" s="321"/>
      <c r="G119" s="363"/>
      <c r="H119" s="324"/>
      <c r="I119" s="366"/>
      <c r="J119" s="411"/>
      <c r="K119" s="331"/>
      <c r="L119" s="331"/>
      <c r="M119" s="331"/>
      <c r="N119" s="331"/>
    </row>
    <row r="120" spans="1:18" s="325" customFormat="1" ht="30" x14ac:dyDescent="0.25">
      <c r="A120" s="328" t="s">
        <v>16</v>
      </c>
      <c r="B120" s="327" t="s">
        <v>260</v>
      </c>
      <c r="C120" s="328" t="s">
        <v>7</v>
      </c>
      <c r="D120" s="321">
        <v>100</v>
      </c>
      <c r="E120" s="321"/>
      <c r="F120" s="321">
        <v>100</v>
      </c>
      <c r="G120" s="363"/>
      <c r="H120" s="324"/>
      <c r="I120" s="366">
        <f t="shared" si="5"/>
        <v>0</v>
      </c>
      <c r="J120" s="411"/>
      <c r="K120" s="331"/>
      <c r="L120" s="331"/>
      <c r="M120" s="331"/>
      <c r="N120" s="331"/>
    </row>
    <row r="121" spans="1:18" s="325" customFormat="1" ht="30" x14ac:dyDescent="0.25">
      <c r="A121" s="328" t="s">
        <v>16</v>
      </c>
      <c r="B121" s="327" t="s">
        <v>261</v>
      </c>
      <c r="C121" s="328" t="s">
        <v>7</v>
      </c>
      <c r="D121" s="321">
        <v>95</v>
      </c>
      <c r="E121" s="321"/>
      <c r="F121" s="321">
        <v>100</v>
      </c>
      <c r="G121" s="363"/>
      <c r="H121" s="324"/>
      <c r="I121" s="366">
        <f t="shared" si="5"/>
        <v>0</v>
      </c>
      <c r="J121" s="411"/>
      <c r="K121" s="331"/>
      <c r="L121" s="331"/>
      <c r="M121" s="331"/>
      <c r="N121" s="331"/>
    </row>
    <row r="122" spans="1:18" s="325" customFormat="1" ht="39" customHeight="1" x14ac:dyDescent="0.25">
      <c r="A122" s="328" t="s">
        <v>16</v>
      </c>
      <c r="B122" s="327" t="s">
        <v>278</v>
      </c>
      <c r="C122" s="328" t="s">
        <v>7</v>
      </c>
      <c r="D122" s="321">
        <v>100</v>
      </c>
      <c r="E122" s="321"/>
      <c r="F122" s="321">
        <v>95</v>
      </c>
      <c r="G122" s="363"/>
      <c r="H122" s="324"/>
      <c r="I122" s="366">
        <f t="shared" si="5"/>
        <v>0</v>
      </c>
      <c r="J122" s="412"/>
      <c r="K122" s="331"/>
      <c r="L122" s="331"/>
      <c r="M122" s="331"/>
      <c r="N122" s="331"/>
    </row>
    <row r="123" spans="1:18" s="325" customFormat="1" ht="19.5" customHeight="1" x14ac:dyDescent="0.25">
      <c r="A123" s="328"/>
      <c r="B123" s="327" t="s">
        <v>262</v>
      </c>
      <c r="C123" s="328" t="s">
        <v>7</v>
      </c>
      <c r="D123" s="321">
        <v>25</v>
      </c>
      <c r="E123" s="321"/>
      <c r="F123" s="321">
        <v>100</v>
      </c>
      <c r="G123" s="363"/>
      <c r="H123" s="324"/>
      <c r="I123" s="366">
        <f t="shared" si="5"/>
        <v>0</v>
      </c>
      <c r="J123" s="410"/>
      <c r="K123" s="331"/>
      <c r="L123" s="331"/>
      <c r="M123" s="331"/>
      <c r="N123" s="331"/>
    </row>
    <row r="124" spans="1:18" s="325" customFormat="1" ht="16.5" customHeight="1" x14ac:dyDescent="0.25">
      <c r="A124" s="328" t="s">
        <v>16</v>
      </c>
      <c r="B124" s="327" t="s">
        <v>263</v>
      </c>
      <c r="C124" s="328" t="s">
        <v>264</v>
      </c>
      <c r="D124" s="321">
        <v>1</v>
      </c>
      <c r="E124" s="321"/>
      <c r="F124" s="321">
        <v>25</v>
      </c>
      <c r="G124" s="366"/>
      <c r="H124" s="324"/>
      <c r="I124" s="366">
        <f t="shared" si="5"/>
        <v>0</v>
      </c>
      <c r="J124" s="412"/>
      <c r="K124" s="367"/>
      <c r="L124" s="367"/>
      <c r="M124" s="367"/>
      <c r="N124" s="367"/>
    </row>
    <row r="125" spans="1:18" s="325" customFormat="1" ht="15" hidden="1" x14ac:dyDescent="0.25">
      <c r="A125" s="368">
        <v>19</v>
      </c>
      <c r="B125" s="369" t="s">
        <v>265</v>
      </c>
      <c r="C125" s="370"/>
      <c r="D125" s="371"/>
      <c r="E125" s="371"/>
      <c r="F125" s="321">
        <v>1</v>
      </c>
      <c r="G125" s="372"/>
      <c r="H125" s="373"/>
      <c r="I125" s="372"/>
      <c r="J125" s="331"/>
      <c r="K125" s="367"/>
      <c r="L125" s="367"/>
      <c r="M125" s="367"/>
      <c r="N125" s="367"/>
    </row>
    <row r="126" spans="1:18" s="325" customFormat="1" ht="15" hidden="1" x14ac:dyDescent="0.25">
      <c r="A126" s="374" t="s">
        <v>16</v>
      </c>
      <c r="B126" s="375" t="s">
        <v>266</v>
      </c>
      <c r="C126" s="376" t="s">
        <v>267</v>
      </c>
      <c r="D126" s="351">
        <v>16</v>
      </c>
      <c r="E126" s="351"/>
      <c r="F126" s="377" t="e">
        <f>SUM(G126:I126)</f>
        <v>#REF!</v>
      </c>
      <c r="G126" s="378">
        <v>5</v>
      </c>
      <c r="H126" s="373" t="e">
        <f>I126+#REF!</f>
        <v>#REF!</v>
      </c>
      <c r="I126" s="378"/>
      <c r="J126" s="367"/>
      <c r="K126" s="367"/>
      <c r="L126" s="367"/>
      <c r="M126" s="367"/>
      <c r="N126" s="367"/>
    </row>
    <row r="127" spans="1:18" s="325" customFormat="1" ht="15" hidden="1" x14ac:dyDescent="0.25">
      <c r="A127" s="374" t="s">
        <v>16</v>
      </c>
      <c r="B127" s="375" t="s">
        <v>268</v>
      </c>
      <c r="C127" s="376" t="s">
        <v>7</v>
      </c>
      <c r="D127" s="351">
        <v>90</v>
      </c>
      <c r="E127" s="351"/>
      <c r="F127" s="379">
        <v>80</v>
      </c>
      <c r="G127" s="378">
        <v>100</v>
      </c>
      <c r="H127" s="373"/>
      <c r="I127" s="378"/>
      <c r="J127" s="367"/>
      <c r="K127" s="367"/>
      <c r="L127" s="367"/>
      <c r="M127" s="367"/>
      <c r="N127" s="367"/>
    </row>
    <row r="128" spans="1:18" s="325" customFormat="1" ht="15" hidden="1" x14ac:dyDescent="0.25">
      <c r="A128" s="374" t="s">
        <v>16</v>
      </c>
      <c r="B128" s="375" t="s">
        <v>269</v>
      </c>
      <c r="C128" s="376" t="s">
        <v>7</v>
      </c>
      <c r="D128" s="351">
        <v>87</v>
      </c>
      <c r="E128" s="351"/>
      <c r="F128" s="379">
        <v>88</v>
      </c>
      <c r="G128" s="378">
        <v>85</v>
      </c>
      <c r="H128" s="373" t="e">
        <f>I128+#REF!</f>
        <v>#REF!</v>
      </c>
      <c r="I128" s="378"/>
      <c r="J128" s="367"/>
      <c r="K128" s="367"/>
      <c r="L128" s="367"/>
      <c r="M128" s="367"/>
      <c r="N128" s="367"/>
    </row>
    <row r="129" spans="1:14" s="325" customFormat="1" ht="15" hidden="1" x14ac:dyDescent="0.25">
      <c r="A129" s="374" t="s">
        <v>16</v>
      </c>
      <c r="B129" s="375" t="s">
        <v>270</v>
      </c>
      <c r="C129" s="376" t="s">
        <v>7</v>
      </c>
      <c r="D129" s="351">
        <v>94</v>
      </c>
      <c r="E129" s="351"/>
      <c r="F129" s="379">
        <v>88</v>
      </c>
      <c r="G129" s="378">
        <v>100</v>
      </c>
      <c r="H129" s="373" t="e">
        <f>I129+#REF!</f>
        <v>#REF!</v>
      </c>
      <c r="I129" s="378"/>
      <c r="J129" s="367"/>
      <c r="K129" s="367"/>
      <c r="L129" s="367"/>
      <c r="M129" s="367"/>
      <c r="N129" s="367"/>
    </row>
    <row r="130" spans="1:14" s="325" customFormat="1" ht="15" hidden="1" x14ac:dyDescent="0.25">
      <c r="A130" s="380" t="s">
        <v>16</v>
      </c>
      <c r="B130" s="381" t="s">
        <v>271</v>
      </c>
      <c r="C130" s="382" t="s">
        <v>7</v>
      </c>
      <c r="D130" s="383">
        <v>72</v>
      </c>
      <c r="E130" s="383"/>
      <c r="F130" s="384">
        <v>55</v>
      </c>
      <c r="G130" s="385">
        <v>88</v>
      </c>
      <c r="H130" s="373" t="e">
        <f>I130+#REF!</f>
        <v>#REF!</v>
      </c>
      <c r="I130" s="385"/>
      <c r="J130" s="386"/>
      <c r="K130" s="386"/>
      <c r="L130" s="386"/>
      <c r="M130" s="386"/>
      <c r="N130" s="386"/>
    </row>
    <row r="131" spans="1:14" s="325" customFormat="1" ht="15" hidden="1" x14ac:dyDescent="0.25">
      <c r="A131" s="387"/>
      <c r="B131" s="388"/>
      <c r="C131" s="389"/>
      <c r="D131" s="389"/>
      <c r="E131" s="389"/>
      <c r="F131" s="389"/>
      <c r="G131" s="389"/>
      <c r="H131" s="389"/>
      <c r="I131" s="389"/>
      <c r="J131" s="386"/>
      <c r="K131" s="386"/>
      <c r="L131" s="386"/>
      <c r="M131" s="386"/>
      <c r="N131" s="386"/>
    </row>
    <row r="132" spans="1:14" s="325" customFormat="1" ht="15" hidden="1" x14ac:dyDescent="0.25">
      <c r="A132" s="387"/>
      <c r="B132" s="388"/>
      <c r="C132" s="389"/>
      <c r="D132" s="389"/>
      <c r="E132" s="389"/>
      <c r="F132" s="389"/>
      <c r="G132" s="389"/>
      <c r="H132" s="389"/>
      <c r="I132" s="389"/>
      <c r="J132" s="386"/>
      <c r="K132" s="386"/>
      <c r="L132" s="386"/>
      <c r="M132" s="386"/>
      <c r="N132" s="386"/>
    </row>
    <row r="133" spans="1:14" s="325" customFormat="1" ht="15" hidden="1" x14ac:dyDescent="0.25">
      <c r="A133" s="387"/>
      <c r="B133" s="388"/>
      <c r="C133" s="389"/>
      <c r="D133" s="389"/>
      <c r="E133" s="389"/>
      <c r="F133" s="389"/>
      <c r="G133" s="389"/>
      <c r="H133" s="389"/>
      <c r="I133" s="389"/>
      <c r="J133" s="386"/>
      <c r="K133" s="386"/>
      <c r="L133" s="386"/>
      <c r="M133" s="386"/>
      <c r="N133" s="386"/>
    </row>
    <row r="134" spans="1:14" s="325" customFormat="1" ht="15" hidden="1" x14ac:dyDescent="0.25">
      <c r="A134" s="387"/>
      <c r="B134" s="388"/>
      <c r="C134" s="389"/>
      <c r="D134" s="389"/>
      <c r="E134" s="389"/>
      <c r="F134" s="389"/>
      <c r="G134" s="389"/>
      <c r="H134" s="389"/>
      <c r="I134" s="389"/>
      <c r="J134" s="386"/>
      <c r="K134" s="386"/>
      <c r="L134" s="386"/>
      <c r="M134" s="386"/>
      <c r="N134" s="386"/>
    </row>
    <row r="135" spans="1:14" s="325" customFormat="1" ht="15" hidden="1" x14ac:dyDescent="0.25">
      <c r="A135" s="387"/>
      <c r="B135" s="388"/>
      <c r="C135" s="389"/>
      <c r="D135" s="389"/>
      <c r="E135" s="389"/>
      <c r="F135" s="389"/>
      <c r="G135" s="389"/>
      <c r="H135" s="389"/>
      <c r="I135" s="389"/>
      <c r="J135" s="386"/>
      <c r="K135" s="386"/>
      <c r="L135" s="386"/>
      <c r="M135" s="386"/>
      <c r="N135" s="386"/>
    </row>
    <row r="136" spans="1:14" s="325" customFormat="1" ht="15" hidden="1" x14ac:dyDescent="0.25">
      <c r="A136" s="387"/>
      <c r="B136" s="388"/>
      <c r="C136" s="389"/>
      <c r="D136" s="389"/>
      <c r="E136" s="389"/>
      <c r="F136" s="389"/>
      <c r="G136" s="389"/>
      <c r="H136" s="389"/>
      <c r="I136" s="389"/>
      <c r="J136" s="386"/>
      <c r="K136" s="386"/>
      <c r="L136" s="386"/>
      <c r="M136" s="386"/>
      <c r="N136" s="386"/>
    </row>
    <row r="137" spans="1:14" s="325" customFormat="1" ht="15" hidden="1" x14ac:dyDescent="0.25">
      <c r="A137" s="387"/>
      <c r="B137" s="388"/>
      <c r="C137" s="389"/>
      <c r="D137" s="389"/>
      <c r="E137" s="389"/>
      <c r="F137" s="389"/>
      <c r="G137" s="389"/>
      <c r="H137" s="389"/>
      <c r="I137" s="389"/>
      <c r="J137" s="386"/>
      <c r="K137" s="386"/>
      <c r="L137" s="386"/>
      <c r="M137" s="386"/>
      <c r="N137" s="386"/>
    </row>
    <row r="138" spans="1:14" s="325" customFormat="1" ht="15" hidden="1" x14ac:dyDescent="0.25">
      <c r="A138" s="387"/>
      <c r="B138" s="388"/>
      <c r="C138" s="389"/>
      <c r="D138" s="389"/>
      <c r="E138" s="389"/>
      <c r="F138" s="389"/>
      <c r="G138" s="389"/>
      <c r="H138" s="389"/>
      <c r="I138" s="389"/>
      <c r="J138" s="386"/>
      <c r="K138" s="386"/>
      <c r="L138" s="386"/>
      <c r="M138" s="386"/>
      <c r="N138" s="386"/>
    </row>
    <row r="139" spans="1:14" s="325" customFormat="1" ht="15" hidden="1" x14ac:dyDescent="0.25">
      <c r="A139" s="387"/>
      <c r="B139" s="388"/>
      <c r="C139" s="389"/>
      <c r="D139" s="389"/>
      <c r="E139" s="389"/>
      <c r="F139" s="389"/>
      <c r="G139" s="389"/>
      <c r="H139" s="389"/>
      <c r="I139" s="389"/>
      <c r="J139" s="386"/>
      <c r="K139" s="386"/>
      <c r="L139" s="386"/>
      <c r="M139" s="386"/>
      <c r="N139" s="386"/>
    </row>
    <row r="140" spans="1:14" s="325" customFormat="1" ht="15" hidden="1" x14ac:dyDescent="0.25">
      <c r="A140" s="387"/>
      <c r="B140" s="388"/>
      <c r="C140" s="389"/>
      <c r="D140" s="389"/>
      <c r="E140" s="389"/>
      <c r="F140" s="389"/>
      <c r="G140" s="389"/>
      <c r="H140" s="389"/>
      <c r="I140" s="389"/>
      <c r="J140" s="386"/>
      <c r="K140" s="386"/>
      <c r="L140" s="386"/>
      <c r="M140" s="386"/>
      <c r="N140" s="386"/>
    </row>
    <row r="141" spans="1:14" s="325" customFormat="1" ht="15" hidden="1" x14ac:dyDescent="0.25">
      <c r="A141" s="387"/>
      <c r="B141" s="388"/>
      <c r="C141" s="389"/>
      <c r="D141" s="389"/>
      <c r="E141" s="389"/>
      <c r="F141" s="389"/>
      <c r="G141" s="389"/>
      <c r="H141" s="389"/>
      <c r="I141" s="389"/>
      <c r="J141" s="386"/>
      <c r="K141" s="386"/>
      <c r="L141" s="386"/>
      <c r="M141" s="386"/>
      <c r="N141" s="386"/>
    </row>
    <row r="142" spans="1:14" s="325" customFormat="1" ht="15" hidden="1" x14ac:dyDescent="0.25">
      <c r="A142" s="387"/>
      <c r="B142" s="388"/>
      <c r="C142" s="389"/>
      <c r="D142" s="389"/>
      <c r="E142" s="389"/>
      <c r="F142" s="389"/>
      <c r="G142" s="389"/>
      <c r="H142" s="389"/>
      <c r="I142" s="389"/>
      <c r="J142" s="386"/>
      <c r="K142" s="386"/>
      <c r="L142" s="386"/>
      <c r="M142" s="386"/>
      <c r="N142" s="386"/>
    </row>
    <row r="143" spans="1:14" s="325" customFormat="1" ht="15" hidden="1" x14ac:dyDescent="0.25">
      <c r="A143" s="387"/>
      <c r="B143" s="388"/>
      <c r="C143" s="389"/>
      <c r="D143" s="389"/>
      <c r="E143" s="389"/>
      <c r="F143" s="389"/>
      <c r="G143" s="389"/>
      <c r="H143" s="389"/>
      <c r="I143" s="389"/>
      <c r="J143" s="386"/>
      <c r="K143" s="386"/>
      <c r="L143" s="386"/>
      <c r="M143" s="386"/>
      <c r="N143" s="386"/>
    </row>
    <row r="144" spans="1:14" s="325" customFormat="1" ht="15" hidden="1" x14ac:dyDescent="0.25">
      <c r="A144" s="387"/>
      <c r="B144" s="388"/>
      <c r="C144" s="389"/>
      <c r="D144" s="389"/>
      <c r="E144" s="389"/>
      <c r="F144" s="389"/>
      <c r="G144" s="389"/>
      <c r="H144" s="389"/>
      <c r="I144" s="389"/>
      <c r="J144" s="386"/>
      <c r="K144" s="386"/>
      <c r="L144" s="386"/>
      <c r="M144" s="386"/>
      <c r="N144" s="386"/>
    </row>
    <row r="145" spans="1:14" s="325" customFormat="1" ht="15" hidden="1" x14ac:dyDescent="0.25">
      <c r="A145" s="387"/>
      <c r="B145" s="388"/>
      <c r="C145" s="389"/>
      <c r="D145" s="389"/>
      <c r="E145" s="389"/>
      <c r="F145" s="389"/>
      <c r="G145" s="389"/>
      <c r="H145" s="389"/>
      <c r="I145" s="389"/>
      <c r="J145" s="386"/>
      <c r="K145" s="386"/>
      <c r="L145" s="386"/>
      <c r="M145" s="386"/>
      <c r="N145" s="386"/>
    </row>
    <row r="146" spans="1:14" s="325" customFormat="1" ht="15" hidden="1" x14ac:dyDescent="0.25">
      <c r="A146" s="387"/>
      <c r="B146" s="388"/>
      <c r="C146" s="389"/>
      <c r="D146" s="389"/>
      <c r="E146" s="389"/>
      <c r="F146" s="389"/>
      <c r="G146" s="389"/>
      <c r="H146" s="389"/>
      <c r="I146" s="389"/>
      <c r="J146" s="386"/>
      <c r="K146" s="386"/>
      <c r="L146" s="386"/>
      <c r="M146" s="386"/>
      <c r="N146" s="386"/>
    </row>
    <row r="147" spans="1:14" s="325" customFormat="1" ht="15" hidden="1" x14ac:dyDescent="0.25">
      <c r="A147" s="387"/>
      <c r="B147" s="388"/>
      <c r="C147" s="389"/>
      <c r="D147" s="389"/>
      <c r="E147" s="389"/>
      <c r="F147" s="389"/>
      <c r="G147" s="389"/>
      <c r="H147" s="389"/>
      <c r="I147" s="389"/>
      <c r="J147" s="386"/>
      <c r="K147" s="386"/>
      <c r="L147" s="386"/>
      <c r="M147" s="386"/>
      <c r="N147" s="386"/>
    </row>
    <row r="148" spans="1:14" s="325" customFormat="1" ht="15" hidden="1" x14ac:dyDescent="0.25">
      <c r="A148" s="387"/>
      <c r="B148" s="388"/>
      <c r="C148" s="389"/>
      <c r="D148" s="389"/>
      <c r="E148" s="389"/>
      <c r="F148" s="389"/>
      <c r="G148" s="389"/>
      <c r="H148" s="389"/>
      <c r="I148" s="389"/>
      <c r="J148" s="386"/>
      <c r="K148" s="386"/>
      <c r="L148" s="386"/>
      <c r="M148" s="386"/>
      <c r="N148" s="386"/>
    </row>
    <row r="149" spans="1:14" s="325" customFormat="1" ht="15" hidden="1" x14ac:dyDescent="0.25">
      <c r="A149" s="387"/>
      <c r="B149" s="388"/>
      <c r="C149" s="389"/>
      <c r="D149" s="389"/>
      <c r="E149" s="389"/>
      <c r="F149" s="389"/>
      <c r="G149" s="389"/>
      <c r="H149" s="389"/>
      <c r="I149" s="389"/>
      <c r="J149" s="386"/>
      <c r="K149" s="386"/>
      <c r="L149" s="386"/>
      <c r="M149" s="386"/>
      <c r="N149" s="386"/>
    </row>
    <row r="150" spans="1:14" s="325" customFormat="1" ht="15" hidden="1" x14ac:dyDescent="0.25">
      <c r="A150" s="387"/>
      <c r="B150" s="388"/>
      <c r="C150" s="389"/>
      <c r="D150" s="389"/>
      <c r="E150" s="389"/>
      <c r="F150" s="389"/>
      <c r="G150" s="389"/>
      <c r="H150" s="389"/>
      <c r="I150" s="389"/>
      <c r="J150" s="386"/>
      <c r="K150" s="386"/>
      <c r="L150" s="386"/>
      <c r="M150" s="386"/>
      <c r="N150" s="386"/>
    </row>
    <row r="151" spans="1:14" s="325" customFormat="1" ht="15" hidden="1" x14ac:dyDescent="0.25">
      <c r="A151" s="387"/>
      <c r="B151" s="388"/>
      <c r="C151" s="389"/>
      <c r="D151" s="389"/>
      <c r="E151" s="389"/>
      <c r="F151" s="389"/>
      <c r="G151" s="389"/>
      <c r="H151" s="389"/>
      <c r="I151" s="389"/>
      <c r="J151" s="386"/>
      <c r="K151" s="386"/>
      <c r="L151" s="386"/>
      <c r="M151" s="386"/>
      <c r="N151" s="386"/>
    </row>
    <row r="152" spans="1:14" s="325" customFormat="1" ht="15" hidden="1" x14ac:dyDescent="0.25">
      <c r="A152" s="387"/>
      <c r="B152" s="388"/>
      <c r="C152" s="389"/>
      <c r="D152" s="389"/>
      <c r="E152" s="389"/>
      <c r="F152" s="389"/>
      <c r="G152" s="389"/>
      <c r="H152" s="389"/>
      <c r="I152" s="389"/>
      <c r="J152" s="386"/>
      <c r="K152" s="386"/>
      <c r="L152" s="386"/>
      <c r="M152" s="386"/>
      <c r="N152" s="386"/>
    </row>
    <row r="153" spans="1:14" s="325" customFormat="1" ht="15" hidden="1" x14ac:dyDescent="0.25">
      <c r="A153" s="387"/>
      <c r="B153" s="388"/>
      <c r="C153" s="389"/>
      <c r="D153" s="389"/>
      <c r="E153" s="389"/>
      <c r="F153" s="389"/>
      <c r="G153" s="389"/>
      <c r="H153" s="389"/>
      <c r="I153" s="389"/>
      <c r="J153" s="386"/>
      <c r="K153" s="386"/>
      <c r="L153" s="386"/>
      <c r="M153" s="386"/>
      <c r="N153" s="386"/>
    </row>
    <row r="154" spans="1:14" s="325" customFormat="1" ht="15" hidden="1" x14ac:dyDescent="0.25">
      <c r="A154" s="387"/>
      <c r="B154" s="388"/>
      <c r="C154" s="389"/>
      <c r="D154" s="389"/>
      <c r="E154" s="389"/>
      <c r="F154" s="389"/>
      <c r="G154" s="389"/>
      <c r="H154" s="389"/>
      <c r="I154" s="389"/>
      <c r="J154" s="386"/>
      <c r="K154" s="386"/>
      <c r="L154" s="386"/>
      <c r="M154" s="386"/>
      <c r="N154" s="386"/>
    </row>
    <row r="155" spans="1:14" s="325" customFormat="1" ht="15" hidden="1" x14ac:dyDescent="0.25">
      <c r="A155" s="387"/>
      <c r="B155" s="388"/>
      <c r="C155" s="389"/>
      <c r="D155" s="389"/>
      <c r="E155" s="389"/>
      <c r="F155" s="389"/>
      <c r="G155" s="389"/>
      <c r="H155" s="389"/>
      <c r="I155" s="389"/>
      <c r="J155" s="386"/>
      <c r="K155" s="386"/>
      <c r="L155" s="386"/>
      <c r="M155" s="386"/>
      <c r="N155" s="386"/>
    </row>
    <row r="156" spans="1:14" s="325" customFormat="1" ht="15" hidden="1" x14ac:dyDescent="0.25">
      <c r="A156" s="387"/>
      <c r="B156" s="388"/>
      <c r="C156" s="389"/>
      <c r="D156" s="389"/>
      <c r="E156" s="389"/>
      <c r="F156" s="389"/>
      <c r="G156" s="389"/>
      <c r="H156" s="389"/>
      <c r="I156" s="389"/>
      <c r="J156" s="386"/>
      <c r="K156" s="386"/>
      <c r="L156" s="386"/>
      <c r="M156" s="386"/>
      <c r="N156" s="386"/>
    </row>
    <row r="157" spans="1:14" s="325" customFormat="1" ht="15" hidden="1" x14ac:dyDescent="0.25">
      <c r="A157" s="387"/>
      <c r="B157" s="388"/>
      <c r="C157" s="389"/>
      <c r="D157" s="389"/>
      <c r="E157" s="389"/>
      <c r="F157" s="389"/>
      <c r="G157" s="389"/>
      <c r="H157" s="389"/>
      <c r="I157" s="389"/>
      <c r="J157" s="386"/>
      <c r="K157" s="386"/>
      <c r="L157" s="386"/>
      <c r="M157" s="386"/>
      <c r="N157" s="386"/>
    </row>
    <row r="158" spans="1:14" s="325" customFormat="1" ht="15" hidden="1" x14ac:dyDescent="0.25">
      <c r="A158" s="387"/>
      <c r="B158" s="388"/>
      <c r="C158" s="389"/>
      <c r="D158" s="389"/>
      <c r="E158" s="389"/>
      <c r="F158" s="389"/>
      <c r="G158" s="389"/>
      <c r="H158" s="389"/>
      <c r="I158" s="389"/>
      <c r="J158" s="386"/>
      <c r="K158" s="386"/>
      <c r="L158" s="386"/>
      <c r="M158" s="386"/>
      <c r="N158" s="386"/>
    </row>
    <row r="159" spans="1:14" s="325" customFormat="1" ht="15" hidden="1" x14ac:dyDescent="0.25">
      <c r="A159" s="387"/>
      <c r="B159" s="388"/>
      <c r="C159" s="389"/>
      <c r="D159" s="389"/>
      <c r="E159" s="389"/>
      <c r="F159" s="389"/>
      <c r="G159" s="389"/>
      <c r="H159" s="389"/>
      <c r="I159" s="389"/>
      <c r="J159" s="386"/>
      <c r="K159" s="386"/>
      <c r="L159" s="386"/>
      <c r="M159" s="386"/>
      <c r="N159" s="386"/>
    </row>
    <row r="160" spans="1:14" s="325" customFormat="1" ht="15" hidden="1" x14ac:dyDescent="0.25">
      <c r="A160" s="387"/>
      <c r="B160" s="388"/>
      <c r="C160" s="389"/>
      <c r="D160" s="389"/>
      <c r="E160" s="389"/>
      <c r="F160" s="389"/>
      <c r="G160" s="389"/>
      <c r="H160" s="389"/>
      <c r="I160" s="389"/>
      <c r="J160" s="386"/>
      <c r="K160" s="386"/>
      <c r="L160" s="386"/>
      <c r="M160" s="386"/>
      <c r="N160" s="386"/>
    </row>
    <row r="161" spans="1:14" s="325" customFormat="1" ht="15" hidden="1" x14ac:dyDescent="0.25">
      <c r="A161" s="387"/>
      <c r="B161" s="388"/>
      <c r="C161" s="389"/>
      <c r="D161" s="389"/>
      <c r="E161" s="389"/>
      <c r="F161" s="389"/>
      <c r="G161" s="389"/>
      <c r="H161" s="389"/>
      <c r="I161" s="389"/>
      <c r="J161" s="386"/>
      <c r="K161" s="386"/>
      <c r="L161" s="386"/>
      <c r="M161" s="386"/>
      <c r="N161" s="386"/>
    </row>
    <row r="162" spans="1:14" s="325" customFormat="1" ht="15" hidden="1" x14ac:dyDescent="0.25">
      <c r="A162" s="387"/>
      <c r="B162" s="388"/>
      <c r="C162" s="389"/>
      <c r="D162" s="389"/>
      <c r="E162" s="389"/>
      <c r="F162" s="389"/>
      <c r="G162" s="389"/>
      <c r="H162" s="389"/>
      <c r="I162" s="389"/>
      <c r="J162" s="386"/>
      <c r="K162" s="386"/>
      <c r="L162" s="386"/>
      <c r="M162" s="386"/>
      <c r="N162" s="386"/>
    </row>
    <row r="163" spans="1:14" s="325" customFormat="1" ht="15" hidden="1" x14ac:dyDescent="0.25">
      <c r="A163" s="387"/>
      <c r="B163" s="388"/>
      <c r="C163" s="389"/>
      <c r="D163" s="389"/>
      <c r="E163" s="389"/>
      <c r="F163" s="389"/>
      <c r="G163" s="389"/>
      <c r="H163" s="389"/>
      <c r="I163" s="389"/>
      <c r="J163" s="386"/>
      <c r="K163" s="386"/>
      <c r="L163" s="386"/>
      <c r="M163" s="386"/>
      <c r="N163" s="386"/>
    </row>
    <row r="164" spans="1:14" s="325" customFormat="1" ht="15" hidden="1" x14ac:dyDescent="0.25">
      <c r="A164" s="387"/>
      <c r="B164" s="388"/>
      <c r="C164" s="389"/>
      <c r="D164" s="389"/>
      <c r="E164" s="389"/>
      <c r="F164" s="389"/>
      <c r="G164" s="389"/>
      <c r="H164" s="389"/>
      <c r="I164" s="389"/>
      <c r="J164" s="386"/>
      <c r="K164" s="386"/>
      <c r="L164" s="386"/>
      <c r="M164" s="386"/>
      <c r="N164" s="386"/>
    </row>
    <row r="165" spans="1:14" s="325" customFormat="1" ht="15" hidden="1" x14ac:dyDescent="0.25">
      <c r="A165" s="387"/>
      <c r="B165" s="388"/>
      <c r="C165" s="389"/>
      <c r="D165" s="389"/>
      <c r="E165" s="389"/>
      <c r="F165" s="389"/>
      <c r="G165" s="389"/>
      <c r="H165" s="389"/>
      <c r="I165" s="389"/>
      <c r="J165" s="386"/>
      <c r="K165" s="386"/>
      <c r="L165" s="386"/>
      <c r="M165" s="386"/>
      <c r="N165" s="386"/>
    </row>
    <row r="166" spans="1:14" s="325" customFormat="1" ht="15" hidden="1" x14ac:dyDescent="0.25">
      <c r="A166" s="387"/>
      <c r="B166" s="388"/>
      <c r="C166" s="389"/>
      <c r="D166" s="389"/>
      <c r="E166" s="389"/>
      <c r="F166" s="389"/>
      <c r="G166" s="389"/>
      <c r="H166" s="389"/>
      <c r="I166" s="389"/>
      <c r="J166" s="386"/>
      <c r="K166" s="386"/>
      <c r="L166" s="386"/>
      <c r="M166" s="386"/>
      <c r="N166" s="386"/>
    </row>
    <row r="167" spans="1:14" s="325" customFormat="1" ht="15" hidden="1" x14ac:dyDescent="0.25">
      <c r="A167" s="387"/>
      <c r="B167" s="388"/>
      <c r="C167" s="389"/>
      <c r="D167" s="389"/>
      <c r="E167" s="389"/>
      <c r="F167" s="389"/>
      <c r="G167" s="389"/>
      <c r="H167" s="389"/>
      <c r="I167" s="389"/>
      <c r="J167" s="386"/>
      <c r="K167" s="386"/>
      <c r="L167" s="386"/>
      <c r="M167" s="386"/>
      <c r="N167" s="386"/>
    </row>
    <row r="168" spans="1:14" s="325" customFormat="1" ht="15" hidden="1" x14ac:dyDescent="0.25">
      <c r="A168" s="387"/>
      <c r="B168" s="388"/>
      <c r="C168" s="389"/>
      <c r="D168" s="389"/>
      <c r="E168" s="389"/>
      <c r="F168" s="389"/>
      <c r="G168" s="389"/>
      <c r="H168" s="389"/>
      <c r="I168" s="389"/>
      <c r="J168" s="386"/>
      <c r="K168" s="386"/>
      <c r="L168" s="386"/>
      <c r="M168" s="386"/>
      <c r="N168" s="386"/>
    </row>
    <row r="169" spans="1:14" s="325" customFormat="1" ht="15" hidden="1" x14ac:dyDescent="0.25">
      <c r="A169" s="387"/>
      <c r="B169" s="388"/>
      <c r="C169" s="389"/>
      <c r="D169" s="389"/>
      <c r="E169" s="389"/>
      <c r="F169" s="389"/>
      <c r="G169" s="389"/>
      <c r="H169" s="389"/>
      <c r="I169" s="389"/>
      <c r="J169" s="386"/>
      <c r="K169" s="386"/>
      <c r="L169" s="386"/>
      <c r="M169" s="386"/>
      <c r="N169" s="386"/>
    </row>
    <row r="170" spans="1:14" s="325" customFormat="1" ht="15" hidden="1" x14ac:dyDescent="0.25">
      <c r="A170" s="387"/>
      <c r="B170" s="388"/>
      <c r="C170" s="389"/>
      <c r="D170" s="389"/>
      <c r="E170" s="389"/>
      <c r="F170" s="389"/>
      <c r="G170" s="389"/>
      <c r="H170" s="389"/>
      <c r="I170" s="389"/>
      <c r="J170" s="386"/>
      <c r="K170" s="386"/>
      <c r="L170" s="386"/>
      <c r="M170" s="386"/>
      <c r="N170" s="386"/>
    </row>
    <row r="171" spans="1:14" s="325" customFormat="1" ht="15" hidden="1" x14ac:dyDescent="0.25">
      <c r="A171" s="387"/>
      <c r="B171" s="388"/>
      <c r="C171" s="389"/>
      <c r="D171" s="389"/>
      <c r="E171" s="389"/>
      <c r="F171" s="389"/>
      <c r="G171" s="389"/>
      <c r="H171" s="389"/>
      <c r="I171" s="389"/>
      <c r="J171" s="386"/>
      <c r="K171" s="386"/>
      <c r="L171" s="386"/>
      <c r="M171" s="386"/>
      <c r="N171" s="386"/>
    </row>
    <row r="172" spans="1:14" s="325" customFormat="1" ht="15" hidden="1" x14ac:dyDescent="0.25">
      <c r="A172" s="387"/>
      <c r="B172" s="388"/>
      <c r="C172" s="389"/>
      <c r="D172" s="389"/>
      <c r="E172" s="389"/>
      <c r="F172" s="389"/>
      <c r="G172" s="389"/>
      <c r="H172" s="389"/>
      <c r="I172" s="389"/>
      <c r="J172" s="386"/>
      <c r="K172" s="386"/>
      <c r="L172" s="386"/>
      <c r="M172" s="386"/>
      <c r="N172" s="386"/>
    </row>
    <row r="173" spans="1:14" s="325" customFormat="1" ht="15" hidden="1" x14ac:dyDescent="0.25">
      <c r="A173" s="387"/>
      <c r="B173" s="388"/>
      <c r="C173" s="389"/>
      <c r="D173" s="389"/>
      <c r="E173" s="389"/>
      <c r="F173" s="389"/>
      <c r="G173" s="389"/>
      <c r="H173" s="389"/>
      <c r="I173" s="389"/>
      <c r="J173" s="386"/>
      <c r="K173" s="386"/>
      <c r="L173" s="386"/>
      <c r="M173" s="386"/>
      <c r="N173" s="386"/>
    </row>
    <row r="174" spans="1:14" s="325" customFormat="1" ht="15" hidden="1" x14ac:dyDescent="0.25">
      <c r="A174" s="387"/>
      <c r="B174" s="388"/>
      <c r="C174" s="389"/>
      <c r="D174" s="389"/>
      <c r="E174" s="389"/>
      <c r="F174" s="389"/>
      <c r="G174" s="389"/>
      <c r="H174" s="389"/>
      <c r="I174" s="389"/>
      <c r="J174" s="386"/>
      <c r="K174" s="386"/>
      <c r="L174" s="386"/>
      <c r="M174" s="386"/>
      <c r="N174" s="386"/>
    </row>
    <row r="175" spans="1:14" s="325" customFormat="1" ht="15" hidden="1" x14ac:dyDescent="0.25">
      <c r="A175" s="387"/>
      <c r="B175" s="388"/>
      <c r="C175" s="389"/>
      <c r="D175" s="389"/>
      <c r="E175" s="389"/>
      <c r="F175" s="389"/>
      <c r="G175" s="389"/>
      <c r="H175" s="389"/>
      <c r="I175" s="389"/>
      <c r="J175" s="386"/>
      <c r="K175" s="386"/>
      <c r="L175" s="386"/>
      <c r="M175" s="386"/>
      <c r="N175" s="386"/>
    </row>
    <row r="176" spans="1:14" s="325" customFormat="1" ht="15" hidden="1" x14ac:dyDescent="0.25">
      <c r="A176" s="387"/>
      <c r="B176" s="388"/>
      <c r="C176" s="389"/>
      <c r="D176" s="389"/>
      <c r="E176" s="389"/>
      <c r="F176" s="389"/>
      <c r="G176" s="389"/>
      <c r="H176" s="389"/>
      <c r="I176" s="389"/>
      <c r="J176" s="386"/>
      <c r="K176" s="386"/>
      <c r="L176" s="386"/>
      <c r="M176" s="386"/>
      <c r="N176" s="386"/>
    </row>
    <row r="177" spans="1:14" s="325" customFormat="1" ht="15" hidden="1" x14ac:dyDescent="0.25">
      <c r="A177" s="387"/>
      <c r="B177" s="388"/>
      <c r="C177" s="389"/>
      <c r="D177" s="389"/>
      <c r="E177" s="389"/>
      <c r="F177" s="389"/>
      <c r="G177" s="389"/>
      <c r="H177" s="389"/>
      <c r="I177" s="389"/>
      <c r="J177" s="386"/>
      <c r="K177" s="386"/>
      <c r="L177" s="386"/>
      <c r="M177" s="386"/>
      <c r="N177" s="386"/>
    </row>
    <row r="178" spans="1:14" s="325" customFormat="1" ht="15" hidden="1" x14ac:dyDescent="0.25">
      <c r="A178" s="387"/>
      <c r="B178" s="388"/>
      <c r="C178" s="389"/>
      <c r="D178" s="389"/>
      <c r="E178" s="389"/>
      <c r="F178" s="389"/>
      <c r="G178" s="389"/>
      <c r="H178" s="389"/>
      <c r="I178" s="389"/>
      <c r="J178" s="386"/>
      <c r="K178" s="386"/>
      <c r="L178" s="386"/>
      <c r="M178" s="386"/>
      <c r="N178" s="386"/>
    </row>
    <row r="179" spans="1:14" s="325" customFormat="1" ht="15" hidden="1" x14ac:dyDescent="0.25">
      <c r="A179" s="387"/>
      <c r="B179" s="388"/>
      <c r="C179" s="389"/>
      <c r="D179" s="389"/>
      <c r="E179" s="389"/>
      <c r="F179" s="389"/>
      <c r="G179" s="389"/>
      <c r="H179" s="389"/>
      <c r="I179" s="389"/>
      <c r="J179" s="386"/>
      <c r="K179" s="386"/>
      <c r="L179" s="386"/>
      <c r="M179" s="386"/>
      <c r="N179" s="386"/>
    </row>
    <row r="180" spans="1:14" s="325" customFormat="1" ht="15" hidden="1" x14ac:dyDescent="0.25">
      <c r="A180" s="387"/>
      <c r="B180" s="388"/>
      <c r="C180" s="389"/>
      <c r="D180" s="389"/>
      <c r="E180" s="389"/>
      <c r="F180" s="389"/>
      <c r="G180" s="389"/>
      <c r="H180" s="389"/>
      <c r="I180" s="389"/>
      <c r="J180" s="386"/>
      <c r="K180" s="386"/>
      <c r="L180" s="386"/>
      <c r="M180" s="386"/>
      <c r="N180" s="386"/>
    </row>
    <row r="181" spans="1:14" s="325" customFormat="1" ht="15" hidden="1" x14ac:dyDescent="0.25">
      <c r="A181" s="387"/>
      <c r="B181" s="388"/>
      <c r="C181" s="389"/>
      <c r="D181" s="389"/>
      <c r="E181" s="389"/>
      <c r="F181" s="389"/>
      <c r="G181" s="389"/>
      <c r="H181" s="389"/>
      <c r="I181" s="389"/>
      <c r="J181" s="386"/>
      <c r="K181" s="386"/>
      <c r="L181" s="386"/>
      <c r="M181" s="386"/>
      <c r="N181" s="386"/>
    </row>
    <row r="182" spans="1:14" s="325" customFormat="1" ht="15" hidden="1" x14ac:dyDescent="0.25">
      <c r="A182" s="387"/>
      <c r="B182" s="388"/>
      <c r="C182" s="389"/>
      <c r="D182" s="389"/>
      <c r="E182" s="389"/>
      <c r="F182" s="389"/>
      <c r="G182" s="389"/>
      <c r="H182" s="389"/>
      <c r="I182" s="389"/>
      <c r="J182" s="386"/>
      <c r="K182" s="386"/>
      <c r="L182" s="386"/>
      <c r="M182" s="386"/>
      <c r="N182" s="386"/>
    </row>
    <row r="183" spans="1:14" s="325" customFormat="1" ht="15" hidden="1" x14ac:dyDescent="0.25">
      <c r="A183" s="387"/>
      <c r="B183" s="388"/>
      <c r="C183" s="389"/>
      <c r="D183" s="389"/>
      <c r="E183" s="389"/>
      <c r="F183" s="389"/>
      <c r="G183" s="389"/>
      <c r="H183" s="389"/>
      <c r="I183" s="389"/>
      <c r="J183" s="386"/>
      <c r="K183" s="386"/>
      <c r="L183" s="386"/>
      <c r="M183" s="386"/>
      <c r="N183" s="386"/>
    </row>
    <row r="184" spans="1:14" s="325" customFormat="1" ht="15" hidden="1" x14ac:dyDescent="0.25">
      <c r="A184" s="387"/>
      <c r="B184" s="388"/>
      <c r="C184" s="389"/>
      <c r="D184" s="389"/>
      <c r="E184" s="389"/>
      <c r="F184" s="389"/>
      <c r="G184" s="389"/>
      <c r="H184" s="389"/>
      <c r="I184" s="389"/>
      <c r="J184" s="386"/>
      <c r="K184" s="386"/>
      <c r="L184" s="386"/>
      <c r="M184" s="386"/>
      <c r="N184" s="386"/>
    </row>
    <row r="185" spans="1:14" s="325" customFormat="1" ht="15" hidden="1" x14ac:dyDescent="0.25">
      <c r="A185" s="387"/>
      <c r="B185" s="388"/>
      <c r="C185" s="389"/>
      <c r="D185" s="389"/>
      <c r="E185" s="389"/>
      <c r="F185" s="389"/>
      <c r="G185" s="389"/>
      <c r="H185" s="389"/>
      <c r="I185" s="389"/>
      <c r="J185" s="386"/>
      <c r="K185" s="386"/>
      <c r="L185" s="386"/>
      <c r="M185" s="386"/>
      <c r="N185" s="386"/>
    </row>
    <row r="186" spans="1:14" s="325" customFormat="1" ht="15" hidden="1" x14ac:dyDescent="0.25">
      <c r="A186" s="387"/>
      <c r="B186" s="388"/>
      <c r="C186" s="389"/>
      <c r="D186" s="389"/>
      <c r="E186" s="389"/>
      <c r="F186" s="389"/>
      <c r="G186" s="389"/>
      <c r="H186" s="389"/>
      <c r="I186" s="389"/>
      <c r="J186" s="386"/>
      <c r="K186" s="386"/>
      <c r="L186" s="386"/>
      <c r="M186" s="386"/>
      <c r="N186" s="386"/>
    </row>
    <row r="187" spans="1:14" s="325" customFormat="1" ht="15" hidden="1" x14ac:dyDescent="0.25">
      <c r="A187" s="387"/>
      <c r="B187" s="388"/>
      <c r="C187" s="389"/>
      <c r="D187" s="389"/>
      <c r="E187" s="389"/>
      <c r="F187" s="389"/>
      <c r="G187" s="389"/>
      <c r="H187" s="389"/>
      <c r="I187" s="389"/>
      <c r="J187" s="386"/>
      <c r="K187" s="386"/>
      <c r="L187" s="386"/>
      <c r="M187" s="386"/>
      <c r="N187" s="386"/>
    </row>
    <row r="188" spans="1:14" s="325" customFormat="1" ht="15" hidden="1" x14ac:dyDescent="0.25">
      <c r="A188" s="387"/>
      <c r="B188" s="388"/>
      <c r="C188" s="389"/>
      <c r="D188" s="389"/>
      <c r="E188" s="389"/>
      <c r="F188" s="389"/>
      <c r="G188" s="389"/>
      <c r="H188" s="389"/>
      <c r="I188" s="389"/>
      <c r="J188" s="386"/>
      <c r="K188" s="386"/>
      <c r="L188" s="386"/>
      <c r="M188" s="386"/>
      <c r="N188" s="386"/>
    </row>
    <row r="189" spans="1:14" s="325" customFormat="1" ht="15" hidden="1" x14ac:dyDescent="0.25">
      <c r="A189" s="387"/>
      <c r="B189" s="388"/>
      <c r="C189" s="389"/>
      <c r="D189" s="389"/>
      <c r="E189" s="389"/>
      <c r="F189" s="389"/>
      <c r="G189" s="389"/>
      <c r="H189" s="389"/>
      <c r="I189" s="389"/>
      <c r="J189" s="386"/>
      <c r="K189" s="386"/>
      <c r="L189" s="386"/>
      <c r="M189" s="386"/>
      <c r="N189" s="386"/>
    </row>
    <row r="190" spans="1:14" s="325" customFormat="1" ht="15" hidden="1" x14ac:dyDescent="0.25">
      <c r="A190" s="387"/>
      <c r="B190" s="388"/>
      <c r="C190" s="389"/>
      <c r="D190" s="389"/>
      <c r="E190" s="389"/>
      <c r="F190" s="389"/>
      <c r="G190" s="389"/>
      <c r="H190" s="389"/>
      <c r="I190" s="389"/>
      <c r="J190" s="386"/>
      <c r="K190" s="386"/>
      <c r="L190" s="386"/>
      <c r="M190" s="386"/>
      <c r="N190" s="386"/>
    </row>
    <row r="191" spans="1:14" s="325" customFormat="1" ht="15" hidden="1" x14ac:dyDescent="0.25">
      <c r="A191" s="387"/>
      <c r="B191" s="388"/>
      <c r="C191" s="389"/>
      <c r="D191" s="389"/>
      <c r="E191" s="389"/>
      <c r="F191" s="389"/>
      <c r="G191" s="389"/>
      <c r="H191" s="389"/>
      <c r="I191" s="389"/>
      <c r="J191" s="386"/>
      <c r="K191" s="386"/>
      <c r="L191" s="386"/>
      <c r="M191" s="386"/>
      <c r="N191" s="386"/>
    </row>
    <row r="192" spans="1:14" s="325" customFormat="1" ht="15" hidden="1" x14ac:dyDescent="0.25">
      <c r="A192" s="387"/>
      <c r="B192" s="388"/>
      <c r="C192" s="389"/>
      <c r="D192" s="389"/>
      <c r="E192" s="389"/>
      <c r="F192" s="389"/>
      <c r="G192" s="389"/>
      <c r="H192" s="389"/>
      <c r="I192" s="389"/>
      <c r="J192" s="386"/>
      <c r="K192" s="386"/>
      <c r="L192" s="386"/>
      <c r="M192" s="386"/>
      <c r="N192" s="386"/>
    </row>
    <row r="193" spans="1:14" s="325" customFormat="1" ht="15" hidden="1" x14ac:dyDescent="0.25">
      <c r="A193" s="387"/>
      <c r="B193" s="388"/>
      <c r="C193" s="389"/>
      <c r="D193" s="389"/>
      <c r="E193" s="389"/>
      <c r="F193" s="389"/>
      <c r="G193" s="389"/>
      <c r="H193" s="389"/>
      <c r="I193" s="389"/>
      <c r="J193" s="386"/>
      <c r="K193" s="386"/>
      <c r="L193" s="386"/>
      <c r="M193" s="386"/>
      <c r="N193" s="386"/>
    </row>
    <row r="194" spans="1:14" s="325" customFormat="1" ht="15" hidden="1" x14ac:dyDescent="0.25">
      <c r="A194" s="387"/>
      <c r="B194" s="388"/>
      <c r="C194" s="389"/>
      <c r="D194" s="389"/>
      <c r="E194" s="389"/>
      <c r="F194" s="389"/>
      <c r="G194" s="389"/>
      <c r="H194" s="389"/>
      <c r="I194" s="389"/>
      <c r="J194" s="386"/>
      <c r="K194" s="386"/>
      <c r="L194" s="386"/>
      <c r="M194" s="386"/>
      <c r="N194" s="386"/>
    </row>
    <row r="195" spans="1:14" s="325" customFormat="1" ht="15" hidden="1" x14ac:dyDescent="0.25">
      <c r="A195" s="387"/>
      <c r="B195" s="388"/>
      <c r="C195" s="389"/>
      <c r="D195" s="389"/>
      <c r="E195" s="389"/>
      <c r="F195" s="389"/>
      <c r="G195" s="389"/>
      <c r="H195" s="389"/>
      <c r="I195" s="389"/>
      <c r="J195" s="386"/>
      <c r="K195" s="386"/>
      <c r="L195" s="386"/>
      <c r="M195" s="386"/>
      <c r="N195" s="386"/>
    </row>
    <row r="196" spans="1:14" s="325" customFormat="1" ht="15" hidden="1" x14ac:dyDescent="0.25">
      <c r="A196" s="387"/>
      <c r="B196" s="388"/>
      <c r="C196" s="389"/>
      <c r="D196" s="389"/>
      <c r="E196" s="389"/>
      <c r="F196" s="389"/>
      <c r="G196" s="389"/>
      <c r="H196" s="389"/>
      <c r="I196" s="389"/>
      <c r="J196" s="386"/>
      <c r="K196" s="386"/>
      <c r="L196" s="386"/>
      <c r="M196" s="386"/>
      <c r="N196" s="386"/>
    </row>
    <row r="197" spans="1:14" s="325" customFormat="1" ht="15" hidden="1" x14ac:dyDescent="0.25">
      <c r="A197" s="387"/>
      <c r="B197" s="388"/>
      <c r="C197" s="389"/>
      <c r="D197" s="389"/>
      <c r="E197" s="389"/>
      <c r="F197" s="389"/>
      <c r="G197" s="389"/>
      <c r="H197" s="389"/>
      <c r="I197" s="389"/>
      <c r="J197" s="386"/>
      <c r="K197" s="386"/>
      <c r="L197" s="386"/>
      <c r="M197" s="386"/>
      <c r="N197" s="386"/>
    </row>
    <row r="198" spans="1:14" s="325" customFormat="1" ht="15" hidden="1" x14ac:dyDescent="0.25">
      <c r="A198" s="387"/>
      <c r="B198" s="388"/>
      <c r="C198" s="389"/>
      <c r="D198" s="389"/>
      <c r="E198" s="389"/>
      <c r="F198" s="389"/>
      <c r="G198" s="389"/>
      <c r="H198" s="389"/>
      <c r="I198" s="389"/>
      <c r="J198" s="386"/>
      <c r="K198" s="386"/>
      <c r="L198" s="386"/>
      <c r="M198" s="386"/>
      <c r="N198" s="386"/>
    </row>
    <row r="199" spans="1:14" s="325" customFormat="1" ht="15" hidden="1" x14ac:dyDescent="0.25">
      <c r="A199" s="387"/>
      <c r="B199" s="388"/>
      <c r="C199" s="389"/>
      <c r="D199" s="389"/>
      <c r="E199" s="389"/>
      <c r="F199" s="389"/>
      <c r="G199" s="389"/>
      <c r="H199" s="389"/>
      <c r="I199" s="389"/>
      <c r="J199" s="386"/>
      <c r="K199" s="386"/>
      <c r="L199" s="386"/>
      <c r="M199" s="386"/>
      <c r="N199" s="386"/>
    </row>
    <row r="200" spans="1:14" s="325" customFormat="1" ht="15" hidden="1" x14ac:dyDescent="0.25">
      <c r="A200" s="387"/>
      <c r="B200" s="388"/>
      <c r="C200" s="389"/>
      <c r="D200" s="389"/>
      <c r="E200" s="389"/>
      <c r="F200" s="389"/>
      <c r="G200" s="389"/>
      <c r="H200" s="389"/>
      <c r="I200" s="389"/>
      <c r="J200" s="386"/>
      <c r="K200" s="386"/>
      <c r="L200" s="386"/>
      <c r="M200" s="386"/>
      <c r="N200" s="386"/>
    </row>
    <row r="201" spans="1:14" s="325" customFormat="1" ht="15" hidden="1" x14ac:dyDescent="0.25">
      <c r="A201" s="387"/>
      <c r="B201" s="388"/>
      <c r="C201" s="389"/>
      <c r="D201" s="389"/>
      <c r="E201" s="389"/>
      <c r="F201" s="389"/>
      <c r="G201" s="389"/>
      <c r="H201" s="389"/>
      <c r="I201" s="389"/>
      <c r="J201" s="386"/>
      <c r="K201" s="386"/>
      <c r="L201" s="386"/>
      <c r="M201" s="386"/>
      <c r="N201" s="386"/>
    </row>
    <row r="202" spans="1:14" s="325" customFormat="1" ht="15" hidden="1" x14ac:dyDescent="0.25">
      <c r="A202" s="387"/>
      <c r="B202" s="388"/>
      <c r="C202" s="389"/>
      <c r="D202" s="389"/>
      <c r="E202" s="389"/>
      <c r="F202" s="389"/>
      <c r="G202" s="389"/>
      <c r="H202" s="389"/>
      <c r="I202" s="389"/>
      <c r="J202" s="386"/>
      <c r="K202" s="386"/>
      <c r="L202" s="386"/>
      <c r="M202" s="386"/>
      <c r="N202" s="386"/>
    </row>
    <row r="203" spans="1:14" s="325" customFormat="1" ht="15" hidden="1" x14ac:dyDescent="0.25">
      <c r="A203" s="387"/>
      <c r="B203" s="388"/>
      <c r="C203" s="389"/>
      <c r="D203" s="389"/>
      <c r="E203" s="389"/>
      <c r="F203" s="389"/>
      <c r="G203" s="389"/>
      <c r="H203" s="389"/>
      <c r="I203" s="389"/>
      <c r="J203" s="386"/>
      <c r="K203" s="386"/>
      <c r="L203" s="386"/>
      <c r="M203" s="386"/>
      <c r="N203" s="386"/>
    </row>
    <row r="204" spans="1:14" s="325" customFormat="1" ht="15" hidden="1" x14ac:dyDescent="0.25">
      <c r="A204" s="387"/>
      <c r="B204" s="388"/>
      <c r="C204" s="389"/>
      <c r="D204" s="389"/>
      <c r="E204" s="389"/>
      <c r="F204" s="389"/>
      <c r="G204" s="389"/>
      <c r="H204" s="389"/>
      <c r="I204" s="389"/>
      <c r="J204" s="386"/>
      <c r="K204" s="386"/>
      <c r="L204" s="386"/>
      <c r="M204" s="386"/>
      <c r="N204" s="386"/>
    </row>
    <row r="205" spans="1:14" s="325" customFormat="1" ht="15" hidden="1" x14ac:dyDescent="0.25">
      <c r="A205" s="387"/>
      <c r="B205" s="388"/>
      <c r="C205" s="389"/>
      <c r="D205" s="389"/>
      <c r="E205" s="389"/>
      <c r="F205" s="389"/>
      <c r="G205" s="389"/>
      <c r="H205" s="389"/>
      <c r="I205" s="389"/>
      <c r="J205" s="386"/>
      <c r="K205" s="386"/>
      <c r="L205" s="386"/>
      <c r="M205" s="386"/>
      <c r="N205" s="386"/>
    </row>
    <row r="206" spans="1:14" s="325" customFormat="1" ht="15" hidden="1" x14ac:dyDescent="0.25">
      <c r="A206" s="387"/>
      <c r="B206" s="388"/>
      <c r="C206" s="389"/>
      <c r="D206" s="389"/>
      <c r="E206" s="389"/>
      <c r="F206" s="389"/>
      <c r="G206" s="389"/>
      <c r="H206" s="389"/>
      <c r="I206" s="389"/>
      <c r="J206" s="386"/>
      <c r="K206" s="386"/>
      <c r="L206" s="386"/>
      <c r="M206" s="386"/>
      <c r="N206" s="386"/>
    </row>
    <row r="207" spans="1:14" s="325" customFormat="1" ht="15" hidden="1" x14ac:dyDescent="0.25">
      <c r="A207" s="387"/>
      <c r="B207" s="388"/>
      <c r="C207" s="389"/>
      <c r="D207" s="389"/>
      <c r="E207" s="389"/>
      <c r="F207" s="389"/>
      <c r="G207" s="389"/>
      <c r="H207" s="389"/>
      <c r="I207" s="389"/>
      <c r="J207" s="386"/>
      <c r="K207" s="386"/>
      <c r="L207" s="386"/>
      <c r="M207" s="386"/>
      <c r="N207" s="386"/>
    </row>
    <row r="208" spans="1:14" s="325" customFormat="1" ht="15" hidden="1" x14ac:dyDescent="0.25">
      <c r="A208" s="387"/>
      <c r="B208" s="388"/>
      <c r="C208" s="389"/>
      <c r="D208" s="389"/>
      <c r="E208" s="389"/>
      <c r="F208" s="389"/>
      <c r="G208" s="389"/>
      <c r="H208" s="389"/>
      <c r="I208" s="389"/>
      <c r="J208" s="386"/>
      <c r="K208" s="386"/>
      <c r="L208" s="386"/>
      <c r="M208" s="386"/>
      <c r="N208" s="386"/>
    </row>
    <row r="209" spans="1:14" s="325" customFormat="1" ht="15" hidden="1" x14ac:dyDescent="0.25">
      <c r="A209" s="387"/>
      <c r="B209" s="388"/>
      <c r="C209" s="389"/>
      <c r="D209" s="389"/>
      <c r="E209" s="389"/>
      <c r="F209" s="389"/>
      <c r="G209" s="389"/>
      <c r="H209" s="389"/>
      <c r="I209" s="389"/>
      <c r="J209" s="386"/>
      <c r="K209" s="386"/>
      <c r="L209" s="386"/>
      <c r="M209" s="386"/>
      <c r="N209" s="386"/>
    </row>
    <row r="210" spans="1:14" s="325" customFormat="1" ht="15" hidden="1" x14ac:dyDescent="0.25">
      <c r="A210" s="387"/>
      <c r="B210" s="388"/>
      <c r="C210" s="389"/>
      <c r="D210" s="389"/>
      <c r="E210" s="389"/>
      <c r="F210" s="389"/>
      <c r="G210" s="389"/>
      <c r="H210" s="389"/>
      <c r="I210" s="389"/>
      <c r="J210" s="386"/>
      <c r="K210" s="386"/>
      <c r="L210" s="386"/>
      <c r="M210" s="386"/>
      <c r="N210" s="386"/>
    </row>
    <row r="211" spans="1:14" s="325" customFormat="1" ht="15" hidden="1" x14ac:dyDescent="0.25">
      <c r="A211" s="387"/>
      <c r="B211" s="388"/>
      <c r="C211" s="389"/>
      <c r="D211" s="389"/>
      <c r="E211" s="389"/>
      <c r="F211" s="389"/>
      <c r="G211" s="389"/>
      <c r="H211" s="389"/>
      <c r="I211" s="389"/>
      <c r="J211" s="386"/>
      <c r="K211" s="386"/>
      <c r="L211" s="386"/>
      <c r="M211" s="386"/>
      <c r="N211" s="386"/>
    </row>
    <row r="212" spans="1:14" s="325" customFormat="1" ht="15" hidden="1" x14ac:dyDescent="0.25">
      <c r="A212" s="387"/>
      <c r="B212" s="388"/>
      <c r="C212" s="389"/>
      <c r="D212" s="389"/>
      <c r="E212" s="389"/>
      <c r="F212" s="389"/>
      <c r="G212" s="389"/>
      <c r="H212" s="389"/>
      <c r="I212" s="389"/>
      <c r="J212" s="386"/>
      <c r="K212" s="386"/>
      <c r="L212" s="386"/>
      <c r="M212" s="386"/>
      <c r="N212" s="386"/>
    </row>
    <row r="213" spans="1:14" s="325" customFormat="1" ht="15" hidden="1" x14ac:dyDescent="0.25">
      <c r="A213" s="387"/>
      <c r="B213" s="388"/>
      <c r="C213" s="389"/>
      <c r="D213" s="389"/>
      <c r="E213" s="389"/>
      <c r="F213" s="389"/>
      <c r="G213" s="389"/>
      <c r="H213" s="389"/>
      <c r="I213" s="389"/>
      <c r="J213" s="386"/>
      <c r="K213" s="386"/>
      <c r="L213" s="386"/>
      <c r="M213" s="386"/>
      <c r="N213" s="386"/>
    </row>
    <row r="214" spans="1:14" s="325" customFormat="1" ht="15" hidden="1" x14ac:dyDescent="0.25">
      <c r="A214" s="387"/>
      <c r="B214" s="388"/>
      <c r="C214" s="389"/>
      <c r="D214" s="389"/>
      <c r="E214" s="389"/>
      <c r="F214" s="389"/>
      <c r="G214" s="389"/>
      <c r="H214" s="389"/>
      <c r="I214" s="389"/>
      <c r="J214" s="386"/>
      <c r="K214" s="386"/>
      <c r="L214" s="386"/>
      <c r="M214" s="386"/>
      <c r="N214" s="386"/>
    </row>
    <row r="215" spans="1:14" s="325" customFormat="1" ht="15" hidden="1" x14ac:dyDescent="0.25">
      <c r="A215" s="387"/>
      <c r="B215" s="388"/>
      <c r="C215" s="389"/>
      <c r="D215" s="389"/>
      <c r="E215" s="389"/>
      <c r="F215" s="389"/>
      <c r="G215" s="389"/>
      <c r="H215" s="389"/>
      <c r="I215" s="389"/>
      <c r="J215" s="386"/>
      <c r="K215" s="386"/>
      <c r="L215" s="386"/>
      <c r="M215" s="386"/>
      <c r="N215" s="386"/>
    </row>
    <row r="216" spans="1:14" s="325" customFormat="1" ht="15" hidden="1" x14ac:dyDescent="0.25">
      <c r="A216" s="387"/>
      <c r="B216" s="388"/>
      <c r="C216" s="389"/>
      <c r="D216" s="389"/>
      <c r="E216" s="389"/>
      <c r="F216" s="389"/>
      <c r="G216" s="389"/>
      <c r="H216" s="389"/>
      <c r="I216" s="389"/>
      <c r="J216" s="386"/>
      <c r="K216" s="386"/>
      <c r="L216" s="386"/>
      <c r="M216" s="386"/>
      <c r="N216" s="386"/>
    </row>
    <row r="217" spans="1:14" s="325" customFormat="1" ht="15" hidden="1" x14ac:dyDescent="0.25">
      <c r="A217" s="387"/>
      <c r="B217" s="388"/>
      <c r="C217" s="389"/>
      <c r="D217" s="389"/>
      <c r="E217" s="389"/>
      <c r="F217" s="389"/>
      <c r="G217" s="389"/>
      <c r="H217" s="389"/>
      <c r="I217" s="389"/>
      <c r="J217" s="386"/>
      <c r="K217" s="386"/>
      <c r="L217" s="386"/>
      <c r="M217" s="386"/>
      <c r="N217" s="386"/>
    </row>
    <row r="218" spans="1:14" s="325" customFormat="1" ht="15" hidden="1" x14ac:dyDescent="0.25">
      <c r="A218" s="387"/>
      <c r="B218" s="388"/>
      <c r="C218" s="389"/>
      <c r="D218" s="389"/>
      <c r="E218" s="389"/>
      <c r="F218" s="389"/>
      <c r="G218" s="389"/>
      <c r="H218" s="389"/>
      <c r="I218" s="389"/>
      <c r="J218" s="386"/>
      <c r="K218" s="386"/>
      <c r="L218" s="386"/>
      <c r="M218" s="386"/>
      <c r="N218" s="386"/>
    </row>
    <row r="219" spans="1:14" s="325" customFormat="1" ht="15" hidden="1" x14ac:dyDescent="0.25">
      <c r="A219" s="387"/>
      <c r="B219" s="388"/>
      <c r="C219" s="389"/>
      <c r="D219" s="389"/>
      <c r="E219" s="389"/>
      <c r="F219" s="389"/>
      <c r="G219" s="389"/>
      <c r="H219" s="389"/>
      <c r="I219" s="389"/>
      <c r="J219" s="386"/>
      <c r="K219" s="386"/>
      <c r="L219" s="386"/>
      <c r="M219" s="386"/>
      <c r="N219" s="386"/>
    </row>
    <row r="220" spans="1:14" s="325" customFormat="1" ht="15" hidden="1" x14ac:dyDescent="0.25">
      <c r="A220" s="387"/>
      <c r="B220" s="388"/>
      <c r="C220" s="389"/>
      <c r="D220" s="389"/>
      <c r="E220" s="389"/>
      <c r="F220" s="389"/>
      <c r="G220" s="389"/>
      <c r="H220" s="389"/>
      <c r="I220" s="389"/>
      <c r="J220" s="386"/>
      <c r="K220" s="386"/>
      <c r="L220" s="386"/>
      <c r="M220" s="386"/>
      <c r="N220" s="386"/>
    </row>
    <row r="221" spans="1:14" s="325" customFormat="1" ht="15" hidden="1" x14ac:dyDescent="0.25">
      <c r="A221" s="387"/>
      <c r="B221" s="388"/>
      <c r="C221" s="389"/>
      <c r="D221" s="389"/>
      <c r="E221" s="389"/>
      <c r="F221" s="389"/>
      <c r="G221" s="389"/>
      <c r="H221" s="389"/>
      <c r="I221" s="389"/>
      <c r="J221" s="386"/>
      <c r="K221" s="386"/>
      <c r="L221" s="386"/>
      <c r="M221" s="386"/>
      <c r="N221" s="386"/>
    </row>
    <row r="222" spans="1:14" s="325" customFormat="1" ht="15" hidden="1" x14ac:dyDescent="0.25">
      <c r="A222" s="387"/>
      <c r="B222" s="388"/>
      <c r="C222" s="389"/>
      <c r="D222" s="389"/>
      <c r="E222" s="389"/>
      <c r="F222" s="389"/>
      <c r="G222" s="389"/>
      <c r="H222" s="389"/>
      <c r="I222" s="389"/>
      <c r="J222" s="386"/>
      <c r="K222" s="386"/>
      <c r="L222" s="386"/>
      <c r="M222" s="386"/>
      <c r="N222" s="386"/>
    </row>
    <row r="223" spans="1:14" s="325" customFormat="1" ht="15" hidden="1" x14ac:dyDescent="0.25">
      <c r="A223" s="387"/>
      <c r="B223" s="388"/>
      <c r="C223" s="389"/>
      <c r="D223" s="389"/>
      <c r="E223" s="389"/>
      <c r="F223" s="389"/>
      <c r="G223" s="389"/>
      <c r="H223" s="389"/>
      <c r="I223" s="389"/>
      <c r="J223" s="386"/>
      <c r="K223" s="386"/>
      <c r="L223" s="386"/>
      <c r="M223" s="386"/>
      <c r="N223" s="386"/>
    </row>
    <row r="224" spans="1:14" s="325" customFormat="1" ht="15" hidden="1" x14ac:dyDescent="0.25">
      <c r="A224" s="387"/>
      <c r="B224" s="388"/>
      <c r="C224" s="389"/>
      <c r="D224" s="389"/>
      <c r="E224" s="389"/>
      <c r="F224" s="389"/>
      <c r="G224" s="389"/>
      <c r="H224" s="389"/>
      <c r="I224" s="389"/>
      <c r="J224" s="386"/>
      <c r="K224" s="386"/>
      <c r="L224" s="386"/>
      <c r="M224" s="386"/>
      <c r="N224" s="386"/>
    </row>
    <row r="225" spans="1:14" s="325" customFormat="1" ht="15" hidden="1" x14ac:dyDescent="0.25">
      <c r="A225" s="387"/>
      <c r="B225" s="388"/>
      <c r="C225" s="389"/>
      <c r="D225" s="389"/>
      <c r="E225" s="389"/>
      <c r="F225" s="389"/>
      <c r="G225" s="389"/>
      <c r="H225" s="389"/>
      <c r="I225" s="389"/>
      <c r="J225" s="386"/>
      <c r="K225" s="386"/>
      <c r="L225" s="386"/>
      <c r="M225" s="386"/>
      <c r="N225" s="386"/>
    </row>
    <row r="226" spans="1:14" s="325" customFormat="1" ht="15" hidden="1" x14ac:dyDescent="0.25">
      <c r="A226" s="387"/>
      <c r="B226" s="388"/>
      <c r="C226" s="389"/>
      <c r="D226" s="389"/>
      <c r="E226" s="389"/>
      <c r="F226" s="389"/>
      <c r="G226" s="389"/>
      <c r="H226" s="389"/>
      <c r="I226" s="389"/>
      <c r="J226" s="386"/>
      <c r="K226" s="386"/>
      <c r="L226" s="386"/>
      <c r="M226" s="386"/>
      <c r="N226" s="386"/>
    </row>
    <row r="227" spans="1:14" s="325" customFormat="1" ht="15" hidden="1" x14ac:dyDescent="0.25">
      <c r="A227" s="387"/>
      <c r="B227" s="388"/>
      <c r="C227" s="389"/>
      <c r="D227" s="389"/>
      <c r="E227" s="389"/>
      <c r="F227" s="389"/>
      <c r="G227" s="389"/>
      <c r="H227" s="389"/>
      <c r="I227" s="389"/>
      <c r="J227" s="386"/>
      <c r="K227" s="386"/>
      <c r="L227" s="386"/>
      <c r="M227" s="386"/>
      <c r="N227" s="386"/>
    </row>
    <row r="228" spans="1:14" s="325" customFormat="1" ht="15" hidden="1" x14ac:dyDescent="0.25">
      <c r="A228" s="387"/>
      <c r="B228" s="388"/>
      <c r="C228" s="389"/>
      <c r="D228" s="389"/>
      <c r="E228" s="389"/>
      <c r="F228" s="389"/>
      <c r="G228" s="389"/>
      <c r="H228" s="389"/>
      <c r="I228" s="389"/>
      <c r="J228" s="386"/>
      <c r="K228" s="386"/>
      <c r="L228" s="386"/>
      <c r="M228" s="386"/>
      <c r="N228" s="386"/>
    </row>
    <row r="229" spans="1:14" s="325" customFormat="1" ht="15" hidden="1" x14ac:dyDescent="0.25">
      <c r="A229" s="387"/>
      <c r="B229" s="388"/>
      <c r="C229" s="389"/>
      <c r="D229" s="389"/>
      <c r="E229" s="389"/>
      <c r="F229" s="389"/>
      <c r="G229" s="389"/>
      <c r="H229" s="389"/>
      <c r="I229" s="389"/>
      <c r="J229" s="386"/>
      <c r="K229" s="386"/>
      <c r="L229" s="386"/>
      <c r="M229" s="386"/>
      <c r="N229" s="386"/>
    </row>
    <row r="230" spans="1:14" s="325" customFormat="1" ht="15" hidden="1" x14ac:dyDescent="0.25">
      <c r="A230" s="387"/>
      <c r="B230" s="388"/>
      <c r="C230" s="389"/>
      <c r="D230" s="389"/>
      <c r="E230" s="389"/>
      <c r="F230" s="389"/>
      <c r="G230" s="389"/>
      <c r="H230" s="389"/>
      <c r="I230" s="389"/>
      <c r="J230" s="386"/>
      <c r="K230" s="386"/>
      <c r="L230" s="386"/>
      <c r="M230" s="386"/>
      <c r="N230" s="386"/>
    </row>
    <row r="231" spans="1:14" s="325" customFormat="1" ht="15" hidden="1" x14ac:dyDescent="0.25">
      <c r="A231" s="387"/>
      <c r="B231" s="388"/>
      <c r="C231" s="389"/>
      <c r="D231" s="389"/>
      <c r="E231" s="389"/>
      <c r="F231" s="389"/>
      <c r="G231" s="389"/>
      <c r="H231" s="389"/>
      <c r="I231" s="389"/>
      <c r="J231" s="386"/>
      <c r="K231" s="386"/>
      <c r="L231" s="386"/>
      <c r="M231" s="386"/>
      <c r="N231" s="386"/>
    </row>
    <row r="232" spans="1:14" s="325" customFormat="1" ht="15" hidden="1" x14ac:dyDescent="0.25">
      <c r="A232" s="387"/>
      <c r="B232" s="388"/>
      <c r="C232" s="389"/>
      <c r="D232" s="389"/>
      <c r="E232" s="389"/>
      <c r="F232" s="389"/>
      <c r="G232" s="389"/>
      <c r="H232" s="389"/>
      <c r="I232" s="389"/>
      <c r="J232" s="386"/>
      <c r="K232" s="386"/>
      <c r="L232" s="386"/>
      <c r="M232" s="386"/>
      <c r="N232" s="386"/>
    </row>
    <row r="233" spans="1:14" s="325" customFormat="1" ht="15" hidden="1" x14ac:dyDescent="0.25">
      <c r="A233" s="387"/>
      <c r="B233" s="388"/>
      <c r="C233" s="389"/>
      <c r="D233" s="389"/>
      <c r="E233" s="389"/>
      <c r="F233" s="389"/>
      <c r="G233" s="389"/>
      <c r="H233" s="389"/>
      <c r="I233" s="389"/>
      <c r="J233" s="386"/>
      <c r="K233" s="386"/>
      <c r="L233" s="386"/>
      <c r="M233" s="386"/>
      <c r="N233" s="386"/>
    </row>
    <row r="234" spans="1:14" s="325" customFormat="1" ht="15" hidden="1" x14ac:dyDescent="0.25">
      <c r="A234" s="387"/>
      <c r="B234" s="388"/>
      <c r="C234" s="389"/>
      <c r="D234" s="389"/>
      <c r="E234" s="389"/>
      <c r="F234" s="389"/>
      <c r="G234" s="389"/>
      <c r="H234" s="389"/>
      <c r="I234" s="389"/>
      <c r="J234" s="386"/>
      <c r="K234" s="386"/>
      <c r="L234" s="386"/>
      <c r="M234" s="386"/>
      <c r="N234" s="386"/>
    </row>
    <row r="235" spans="1:14" s="325" customFormat="1" ht="15" hidden="1" x14ac:dyDescent="0.25">
      <c r="A235" s="387"/>
      <c r="B235" s="388"/>
      <c r="C235" s="389"/>
      <c r="D235" s="389"/>
      <c r="E235" s="389"/>
      <c r="F235" s="389"/>
      <c r="G235" s="389"/>
      <c r="H235" s="389"/>
      <c r="I235" s="389"/>
      <c r="J235" s="386"/>
      <c r="K235" s="386"/>
      <c r="L235" s="386"/>
      <c r="M235" s="386"/>
      <c r="N235" s="386"/>
    </row>
    <row r="236" spans="1:14" s="325" customFormat="1" ht="15" hidden="1" x14ac:dyDescent="0.25">
      <c r="A236" s="387"/>
      <c r="B236" s="388"/>
      <c r="C236" s="389"/>
      <c r="D236" s="389"/>
      <c r="E236" s="389"/>
      <c r="F236" s="389"/>
      <c r="G236" s="389"/>
      <c r="H236" s="389"/>
      <c r="I236" s="389"/>
      <c r="J236" s="386"/>
      <c r="K236" s="386"/>
      <c r="L236" s="386"/>
      <c r="M236" s="386"/>
      <c r="N236" s="386"/>
    </row>
    <row r="237" spans="1:14" s="325" customFormat="1" ht="15" hidden="1" x14ac:dyDescent="0.25">
      <c r="A237" s="387"/>
      <c r="B237" s="388"/>
      <c r="C237" s="389"/>
      <c r="D237" s="389"/>
      <c r="E237" s="389"/>
      <c r="F237" s="389"/>
      <c r="G237" s="389"/>
      <c r="H237" s="389"/>
      <c r="I237" s="389"/>
      <c r="J237" s="386"/>
      <c r="K237" s="386"/>
      <c r="L237" s="386"/>
      <c r="M237" s="386"/>
      <c r="N237" s="386"/>
    </row>
    <row r="238" spans="1:14" s="325" customFormat="1" ht="15" hidden="1" x14ac:dyDescent="0.25">
      <c r="A238" s="387"/>
      <c r="B238" s="388"/>
      <c r="C238" s="389"/>
      <c r="D238" s="389"/>
      <c r="E238" s="389"/>
      <c r="F238" s="389"/>
      <c r="G238" s="389"/>
      <c r="H238" s="389"/>
      <c r="I238" s="389"/>
      <c r="J238" s="386"/>
      <c r="K238" s="386"/>
      <c r="L238" s="386"/>
      <c r="M238" s="386"/>
      <c r="N238" s="386"/>
    </row>
    <row r="239" spans="1:14" s="325" customFormat="1" ht="15" hidden="1" x14ac:dyDescent="0.25">
      <c r="A239" s="387"/>
      <c r="B239" s="388"/>
      <c r="C239" s="389"/>
      <c r="D239" s="389"/>
      <c r="E239" s="389"/>
      <c r="F239" s="389"/>
      <c r="G239" s="389"/>
      <c r="H239" s="389"/>
      <c r="I239" s="389"/>
      <c r="J239" s="386"/>
      <c r="K239" s="386"/>
      <c r="L239" s="386"/>
      <c r="M239" s="386"/>
      <c r="N239" s="386"/>
    </row>
    <row r="240" spans="1:14" s="325" customFormat="1" ht="15" hidden="1" x14ac:dyDescent="0.25">
      <c r="A240" s="387"/>
      <c r="B240" s="388"/>
      <c r="C240" s="389"/>
      <c r="D240" s="389"/>
      <c r="E240" s="389"/>
      <c r="F240" s="389"/>
      <c r="G240" s="389"/>
      <c r="H240" s="389"/>
      <c r="I240" s="389"/>
      <c r="J240" s="386"/>
      <c r="K240" s="386"/>
      <c r="L240" s="386"/>
      <c r="M240" s="386"/>
      <c r="N240" s="386"/>
    </row>
    <row r="241" spans="1:14" s="325" customFormat="1" ht="15" hidden="1" x14ac:dyDescent="0.25">
      <c r="A241" s="387"/>
      <c r="B241" s="388"/>
      <c r="C241" s="389"/>
      <c r="D241" s="389"/>
      <c r="E241" s="389"/>
      <c r="F241" s="389"/>
      <c r="G241" s="389"/>
      <c r="H241" s="389"/>
      <c r="I241" s="389"/>
      <c r="J241" s="386"/>
      <c r="K241" s="386"/>
      <c r="L241" s="386"/>
      <c r="M241" s="386"/>
      <c r="N241" s="386"/>
    </row>
    <row r="242" spans="1:14" s="325" customFormat="1" ht="15" hidden="1" x14ac:dyDescent="0.25">
      <c r="A242" s="387"/>
      <c r="B242" s="388"/>
      <c r="C242" s="389"/>
      <c r="D242" s="389"/>
      <c r="E242" s="389"/>
      <c r="F242" s="389"/>
      <c r="G242" s="389"/>
      <c r="H242" s="389"/>
      <c r="I242" s="389"/>
      <c r="J242" s="386"/>
      <c r="K242" s="386"/>
      <c r="L242" s="386"/>
      <c r="M242" s="386"/>
      <c r="N242" s="386"/>
    </row>
    <row r="243" spans="1:14" s="325" customFormat="1" ht="15" hidden="1" x14ac:dyDescent="0.25">
      <c r="A243" s="387"/>
      <c r="B243" s="388"/>
      <c r="C243" s="389"/>
      <c r="D243" s="389"/>
      <c r="E243" s="389"/>
      <c r="F243" s="389"/>
      <c r="G243" s="389"/>
      <c r="H243" s="389"/>
      <c r="I243" s="389"/>
      <c r="J243" s="386"/>
      <c r="K243" s="386"/>
      <c r="L243" s="386"/>
      <c r="M243" s="386"/>
      <c r="N243" s="386"/>
    </row>
    <row r="244" spans="1:14" s="325" customFormat="1" ht="15" hidden="1" x14ac:dyDescent="0.25">
      <c r="A244" s="387"/>
      <c r="B244" s="388"/>
      <c r="C244" s="389"/>
      <c r="D244" s="389"/>
      <c r="E244" s="389"/>
      <c r="F244" s="389"/>
      <c r="G244" s="389"/>
      <c r="H244" s="389"/>
      <c r="I244" s="389"/>
      <c r="J244" s="386"/>
      <c r="K244" s="386"/>
      <c r="L244" s="386"/>
      <c r="M244" s="386"/>
      <c r="N244" s="386"/>
    </row>
    <row r="245" spans="1:14" s="325" customFormat="1" ht="15" hidden="1" x14ac:dyDescent="0.25">
      <c r="A245" s="387"/>
      <c r="B245" s="388"/>
      <c r="C245" s="389"/>
      <c r="D245" s="389"/>
      <c r="E245" s="389"/>
      <c r="F245" s="389"/>
      <c r="G245" s="389"/>
      <c r="H245" s="389"/>
      <c r="I245" s="389"/>
      <c r="J245" s="386"/>
      <c r="K245" s="386"/>
      <c r="L245" s="386"/>
      <c r="M245" s="386"/>
      <c r="N245" s="386"/>
    </row>
    <row r="246" spans="1:14" s="325" customFormat="1" ht="15" hidden="1" x14ac:dyDescent="0.25">
      <c r="A246" s="387"/>
      <c r="B246" s="388"/>
      <c r="C246" s="389"/>
      <c r="D246" s="389"/>
      <c r="E246" s="389"/>
      <c r="F246" s="389"/>
      <c r="G246" s="389"/>
      <c r="H246" s="389"/>
      <c r="I246" s="389"/>
      <c r="J246" s="386"/>
      <c r="K246" s="386"/>
      <c r="L246" s="386"/>
      <c r="M246" s="386"/>
      <c r="N246" s="386"/>
    </row>
    <row r="247" spans="1:14" s="325" customFormat="1" ht="15" hidden="1" x14ac:dyDescent="0.25">
      <c r="A247" s="387"/>
      <c r="B247" s="388"/>
      <c r="C247" s="389"/>
      <c r="D247" s="389"/>
      <c r="E247" s="389"/>
      <c r="F247" s="389"/>
      <c r="G247" s="389"/>
      <c r="H247" s="389"/>
      <c r="I247" s="389"/>
      <c r="J247" s="386"/>
      <c r="K247" s="386"/>
      <c r="L247" s="386"/>
      <c r="M247" s="386"/>
      <c r="N247" s="386"/>
    </row>
    <row r="248" spans="1:14" s="325" customFormat="1" ht="15" hidden="1" x14ac:dyDescent="0.25">
      <c r="A248" s="387"/>
      <c r="B248" s="388"/>
      <c r="C248" s="389"/>
      <c r="D248" s="389"/>
      <c r="E248" s="389"/>
      <c r="F248" s="389"/>
      <c r="G248" s="389"/>
      <c r="H248" s="389"/>
      <c r="I248" s="389"/>
      <c r="J248" s="386"/>
      <c r="K248" s="386"/>
      <c r="L248" s="386"/>
      <c r="M248" s="386"/>
      <c r="N248" s="386"/>
    </row>
    <row r="249" spans="1:14" s="325" customFormat="1" ht="15" hidden="1" x14ac:dyDescent="0.25">
      <c r="A249" s="387"/>
      <c r="B249" s="388"/>
      <c r="C249" s="389"/>
      <c r="D249" s="389"/>
      <c r="E249" s="389"/>
      <c r="F249" s="389"/>
      <c r="G249" s="389"/>
      <c r="H249" s="389"/>
      <c r="I249" s="389"/>
      <c r="J249" s="386"/>
      <c r="K249" s="386"/>
      <c r="L249" s="386"/>
      <c r="M249" s="386"/>
      <c r="N249" s="386"/>
    </row>
    <row r="250" spans="1:14" s="325" customFormat="1" ht="15" hidden="1" x14ac:dyDescent="0.25">
      <c r="A250" s="387"/>
      <c r="B250" s="388"/>
      <c r="C250" s="389"/>
      <c r="D250" s="389"/>
      <c r="E250" s="389"/>
      <c r="F250" s="389"/>
      <c r="G250" s="389"/>
      <c r="H250" s="389"/>
      <c r="I250" s="389"/>
      <c r="J250" s="386"/>
      <c r="K250" s="386"/>
      <c r="L250" s="386"/>
      <c r="M250" s="386"/>
      <c r="N250" s="386"/>
    </row>
    <row r="251" spans="1:14" s="325" customFormat="1" ht="15" hidden="1" x14ac:dyDescent="0.25">
      <c r="A251" s="387"/>
      <c r="B251" s="388"/>
      <c r="C251" s="389"/>
      <c r="D251" s="389"/>
      <c r="E251" s="389"/>
      <c r="F251" s="389"/>
      <c r="G251" s="389"/>
      <c r="H251" s="389"/>
      <c r="I251" s="389"/>
      <c r="J251" s="386"/>
      <c r="K251" s="386"/>
      <c r="L251" s="386"/>
      <c r="M251" s="386"/>
      <c r="N251" s="386"/>
    </row>
    <row r="252" spans="1:14" s="325" customFormat="1" ht="15" hidden="1" x14ac:dyDescent="0.25">
      <c r="A252" s="387"/>
      <c r="B252" s="388"/>
      <c r="C252" s="389"/>
      <c r="D252" s="389"/>
      <c r="E252" s="389"/>
      <c r="F252" s="389"/>
      <c r="G252" s="389"/>
      <c r="H252" s="389"/>
      <c r="I252" s="389"/>
      <c r="J252" s="386"/>
      <c r="K252" s="386"/>
      <c r="L252" s="386"/>
      <c r="M252" s="386"/>
      <c r="N252" s="386"/>
    </row>
    <row r="253" spans="1:14" s="325" customFormat="1" ht="15" hidden="1" x14ac:dyDescent="0.25">
      <c r="A253" s="387"/>
      <c r="B253" s="388"/>
      <c r="C253" s="389"/>
      <c r="D253" s="389"/>
      <c r="E253" s="389"/>
      <c r="F253" s="389"/>
      <c r="G253" s="389"/>
      <c r="H253" s="389"/>
      <c r="I253" s="389"/>
      <c r="J253" s="386"/>
      <c r="K253" s="386"/>
      <c r="L253" s="386"/>
      <c r="M253" s="386"/>
      <c r="N253" s="386"/>
    </row>
    <row r="254" spans="1:14" s="325" customFormat="1" ht="15" hidden="1" x14ac:dyDescent="0.25">
      <c r="A254" s="387"/>
      <c r="B254" s="388"/>
      <c r="C254" s="389"/>
      <c r="D254" s="389"/>
      <c r="E254" s="389"/>
      <c r="F254" s="389"/>
      <c r="G254" s="389"/>
      <c r="H254" s="389"/>
      <c r="I254" s="389"/>
      <c r="J254" s="386"/>
      <c r="K254" s="386"/>
      <c r="L254" s="386"/>
      <c r="M254" s="386"/>
      <c r="N254" s="386"/>
    </row>
    <row r="255" spans="1:14" s="325" customFormat="1" ht="15" hidden="1" x14ac:dyDescent="0.25">
      <c r="A255" s="387"/>
      <c r="B255" s="388"/>
      <c r="C255" s="389"/>
      <c r="D255" s="389"/>
      <c r="E255" s="389"/>
      <c r="F255" s="389"/>
      <c r="G255" s="389"/>
      <c r="H255" s="389"/>
      <c r="I255" s="389"/>
      <c r="J255" s="386"/>
      <c r="K255" s="386"/>
      <c r="L255" s="386"/>
      <c r="M255" s="386"/>
      <c r="N255" s="386"/>
    </row>
    <row r="256" spans="1:14" s="325" customFormat="1" ht="15" hidden="1" x14ac:dyDescent="0.25">
      <c r="A256" s="387"/>
      <c r="B256" s="388"/>
      <c r="C256" s="389"/>
      <c r="D256" s="389"/>
      <c r="E256" s="389"/>
      <c r="F256" s="389"/>
      <c r="G256" s="389"/>
      <c r="H256" s="389"/>
      <c r="I256" s="389"/>
      <c r="J256" s="386"/>
      <c r="K256" s="386"/>
      <c r="L256" s="386"/>
      <c r="M256" s="386"/>
      <c r="N256" s="386"/>
    </row>
    <row r="257" spans="1:14" s="325" customFormat="1" ht="15" hidden="1" x14ac:dyDescent="0.25">
      <c r="A257" s="387"/>
      <c r="B257" s="388"/>
      <c r="C257" s="389"/>
      <c r="D257" s="389"/>
      <c r="E257" s="389"/>
      <c r="F257" s="389"/>
      <c r="G257" s="389"/>
      <c r="H257" s="389"/>
      <c r="I257" s="389"/>
      <c r="J257" s="386"/>
      <c r="K257" s="386"/>
      <c r="L257" s="386"/>
      <c r="M257" s="386"/>
      <c r="N257" s="386"/>
    </row>
    <row r="258" spans="1:14" s="325" customFormat="1" ht="15" hidden="1" x14ac:dyDescent="0.25">
      <c r="A258" s="387"/>
      <c r="B258" s="388"/>
      <c r="C258" s="389"/>
      <c r="D258" s="389"/>
      <c r="E258" s="389"/>
      <c r="F258" s="389"/>
      <c r="G258" s="389"/>
      <c r="H258" s="389"/>
      <c r="I258" s="389"/>
      <c r="J258" s="386"/>
      <c r="K258" s="386"/>
      <c r="L258" s="386"/>
      <c r="M258" s="386"/>
      <c r="N258" s="386"/>
    </row>
    <row r="259" spans="1:14" s="325" customFormat="1" ht="15" hidden="1" x14ac:dyDescent="0.25">
      <c r="A259" s="387"/>
      <c r="B259" s="388"/>
      <c r="C259" s="389"/>
      <c r="D259" s="389"/>
      <c r="E259" s="389"/>
      <c r="F259" s="389"/>
      <c r="G259" s="389"/>
      <c r="H259" s="389"/>
      <c r="I259" s="389"/>
      <c r="J259" s="386"/>
      <c r="K259" s="386"/>
      <c r="L259" s="386"/>
      <c r="M259" s="386"/>
      <c r="N259" s="386"/>
    </row>
    <row r="260" spans="1:14" s="325" customFormat="1" ht="15" hidden="1" x14ac:dyDescent="0.25">
      <c r="A260" s="387"/>
      <c r="B260" s="388"/>
      <c r="C260" s="389"/>
      <c r="D260" s="389"/>
      <c r="E260" s="389"/>
      <c r="F260" s="389"/>
      <c r="G260" s="389"/>
      <c r="H260" s="389"/>
      <c r="I260" s="389"/>
      <c r="J260" s="386"/>
      <c r="K260" s="386"/>
      <c r="L260" s="386"/>
      <c r="M260" s="386"/>
      <c r="N260" s="386"/>
    </row>
    <row r="261" spans="1:14" s="325" customFormat="1" ht="15" hidden="1" x14ac:dyDescent="0.25">
      <c r="A261" s="387"/>
      <c r="B261" s="388"/>
      <c r="C261" s="389"/>
      <c r="D261" s="389"/>
      <c r="E261" s="389"/>
      <c r="F261" s="389"/>
      <c r="G261" s="389"/>
      <c r="H261" s="389"/>
      <c r="I261" s="389"/>
      <c r="J261" s="386"/>
      <c r="K261" s="386"/>
      <c r="L261" s="386"/>
      <c r="M261" s="386"/>
      <c r="N261" s="386"/>
    </row>
    <row r="262" spans="1:14" s="325" customFormat="1" ht="15" hidden="1" x14ac:dyDescent="0.25">
      <c r="A262" s="387"/>
      <c r="B262" s="388"/>
      <c r="C262" s="389"/>
      <c r="D262" s="389"/>
      <c r="E262" s="389"/>
      <c r="F262" s="389"/>
      <c r="G262" s="389"/>
      <c r="H262" s="389"/>
      <c r="I262" s="389"/>
      <c r="J262" s="386"/>
      <c r="K262" s="386"/>
      <c r="L262" s="386"/>
      <c r="M262" s="386"/>
      <c r="N262" s="386"/>
    </row>
    <row r="263" spans="1:14" s="325" customFormat="1" ht="15" hidden="1" x14ac:dyDescent="0.25">
      <c r="A263" s="387"/>
      <c r="B263" s="388"/>
      <c r="C263" s="389"/>
      <c r="D263" s="389"/>
      <c r="E263" s="389"/>
      <c r="F263" s="389"/>
      <c r="G263" s="389"/>
      <c r="H263" s="389"/>
      <c r="I263" s="389"/>
      <c r="J263" s="386"/>
      <c r="K263" s="386"/>
      <c r="L263" s="386"/>
      <c r="M263" s="386"/>
      <c r="N263" s="386"/>
    </row>
    <row r="264" spans="1:14" s="325" customFormat="1" ht="15" hidden="1" x14ac:dyDescent="0.25">
      <c r="A264" s="387"/>
      <c r="B264" s="388"/>
      <c r="C264" s="389"/>
      <c r="D264" s="389"/>
      <c r="E264" s="389"/>
      <c r="F264" s="389"/>
      <c r="G264" s="389"/>
      <c r="H264" s="389"/>
      <c r="I264" s="389"/>
      <c r="J264" s="386"/>
      <c r="K264" s="386"/>
      <c r="L264" s="386"/>
      <c r="M264" s="386"/>
      <c r="N264" s="386"/>
    </row>
    <row r="265" spans="1:14" s="325" customFormat="1" ht="15" hidden="1" x14ac:dyDescent="0.25">
      <c r="A265" s="387"/>
      <c r="B265" s="388"/>
      <c r="C265" s="389"/>
      <c r="D265" s="389"/>
      <c r="E265" s="389"/>
      <c r="F265" s="389"/>
      <c r="G265" s="389"/>
      <c r="H265" s="389"/>
      <c r="I265" s="389"/>
      <c r="J265" s="386"/>
      <c r="K265" s="386"/>
      <c r="L265" s="386"/>
      <c r="M265" s="386"/>
      <c r="N265" s="386"/>
    </row>
    <row r="266" spans="1:14" s="325" customFormat="1" ht="15" hidden="1" x14ac:dyDescent="0.25">
      <c r="A266" s="387"/>
      <c r="B266" s="388"/>
      <c r="C266" s="389"/>
      <c r="D266" s="389"/>
      <c r="E266" s="389"/>
      <c r="F266" s="389"/>
      <c r="G266" s="389"/>
      <c r="H266" s="389"/>
      <c r="I266" s="389"/>
      <c r="J266" s="386"/>
      <c r="K266" s="386"/>
      <c r="L266" s="386"/>
      <c r="M266" s="386"/>
      <c r="N266" s="386"/>
    </row>
    <row r="267" spans="1:14" s="325" customFormat="1" ht="15" hidden="1" x14ac:dyDescent="0.25">
      <c r="A267" s="387"/>
      <c r="B267" s="388"/>
      <c r="C267" s="389"/>
      <c r="D267" s="389"/>
      <c r="E267" s="389"/>
      <c r="F267" s="389"/>
      <c r="G267" s="389"/>
      <c r="H267" s="389"/>
      <c r="I267" s="389"/>
      <c r="J267" s="386"/>
      <c r="K267" s="386"/>
      <c r="L267" s="386"/>
      <c r="M267" s="386"/>
      <c r="N267" s="386"/>
    </row>
    <row r="268" spans="1:14" s="325" customFormat="1" ht="15" hidden="1" x14ac:dyDescent="0.25">
      <c r="A268" s="387"/>
      <c r="B268" s="388"/>
      <c r="C268" s="389"/>
      <c r="D268" s="389"/>
      <c r="E268" s="389"/>
      <c r="F268" s="389"/>
      <c r="G268" s="389"/>
      <c r="H268" s="389"/>
      <c r="I268" s="389"/>
      <c r="J268" s="386"/>
      <c r="K268" s="386"/>
      <c r="L268" s="386"/>
      <c r="M268" s="386"/>
      <c r="N268" s="386"/>
    </row>
    <row r="269" spans="1:14" s="325" customFormat="1" ht="15" hidden="1" x14ac:dyDescent="0.25">
      <c r="A269" s="387"/>
      <c r="B269" s="388"/>
      <c r="C269" s="389"/>
      <c r="D269" s="389"/>
      <c r="E269" s="389"/>
      <c r="F269" s="389"/>
      <c r="G269" s="389"/>
      <c r="H269" s="389"/>
      <c r="I269" s="389"/>
      <c r="J269" s="386"/>
      <c r="K269" s="386"/>
      <c r="L269" s="386"/>
      <c r="M269" s="386"/>
      <c r="N269" s="386"/>
    </row>
    <row r="270" spans="1:14" s="325" customFormat="1" ht="15" hidden="1" x14ac:dyDescent="0.25">
      <c r="A270" s="387"/>
      <c r="B270" s="388"/>
      <c r="C270" s="389"/>
      <c r="D270" s="389"/>
      <c r="E270" s="389"/>
      <c r="F270" s="389"/>
      <c r="G270" s="389"/>
      <c r="H270" s="389"/>
      <c r="I270" s="389"/>
      <c r="J270" s="386"/>
      <c r="K270" s="386"/>
      <c r="L270" s="386"/>
      <c r="M270" s="386"/>
      <c r="N270" s="386"/>
    </row>
    <row r="271" spans="1:14" s="325" customFormat="1" ht="15" hidden="1" x14ac:dyDescent="0.25">
      <c r="A271" s="387"/>
      <c r="B271" s="388"/>
      <c r="C271" s="389"/>
      <c r="D271" s="389"/>
      <c r="E271" s="389"/>
      <c r="F271" s="389"/>
      <c r="G271" s="389"/>
      <c r="H271" s="389"/>
      <c r="I271" s="389"/>
      <c r="J271" s="386"/>
      <c r="K271" s="386"/>
      <c r="L271" s="386"/>
      <c r="M271" s="386"/>
      <c r="N271" s="386"/>
    </row>
    <row r="272" spans="1:14" s="325" customFormat="1" ht="15" hidden="1" x14ac:dyDescent="0.25">
      <c r="A272" s="387"/>
      <c r="B272" s="388"/>
      <c r="C272" s="389"/>
      <c r="D272" s="389"/>
      <c r="E272" s="389"/>
      <c r="F272" s="389"/>
      <c r="G272" s="389"/>
      <c r="H272" s="389"/>
      <c r="I272" s="389"/>
      <c r="J272" s="386"/>
      <c r="K272" s="386"/>
      <c r="L272" s="386"/>
      <c r="M272" s="386"/>
      <c r="N272" s="386"/>
    </row>
    <row r="273" spans="1:14" s="325" customFormat="1" ht="15" hidden="1" x14ac:dyDescent="0.25">
      <c r="A273" s="387"/>
      <c r="B273" s="388"/>
      <c r="C273" s="389"/>
      <c r="D273" s="389"/>
      <c r="E273" s="389"/>
      <c r="F273" s="389"/>
      <c r="G273" s="389"/>
      <c r="H273" s="389"/>
      <c r="I273" s="389"/>
      <c r="J273" s="386"/>
      <c r="K273" s="386"/>
      <c r="L273" s="386"/>
      <c r="M273" s="386"/>
      <c r="N273" s="386"/>
    </row>
    <row r="274" spans="1:14" s="325" customFormat="1" ht="15" hidden="1" x14ac:dyDescent="0.25">
      <c r="A274" s="387"/>
      <c r="B274" s="388"/>
      <c r="C274" s="389"/>
      <c r="D274" s="389"/>
      <c r="E274" s="389"/>
      <c r="F274" s="389"/>
      <c r="G274" s="389"/>
      <c r="H274" s="389"/>
      <c r="I274" s="389"/>
      <c r="J274" s="386"/>
      <c r="K274" s="386"/>
      <c r="L274" s="386"/>
      <c r="M274" s="386"/>
      <c r="N274" s="386"/>
    </row>
    <row r="275" spans="1:14" s="325" customFormat="1" ht="15" hidden="1" x14ac:dyDescent="0.25">
      <c r="A275" s="387"/>
      <c r="B275" s="388"/>
      <c r="C275" s="389"/>
      <c r="D275" s="389"/>
      <c r="E275" s="389"/>
      <c r="F275" s="389"/>
      <c r="G275" s="389"/>
      <c r="H275" s="389"/>
      <c r="I275" s="389"/>
      <c r="J275" s="386"/>
      <c r="K275" s="386"/>
      <c r="L275" s="386"/>
      <c r="M275" s="386"/>
      <c r="N275" s="386"/>
    </row>
    <row r="276" spans="1:14" s="325" customFormat="1" ht="15" hidden="1" x14ac:dyDescent="0.25">
      <c r="A276" s="387"/>
      <c r="B276" s="388"/>
      <c r="C276" s="389"/>
      <c r="D276" s="389"/>
      <c r="E276" s="389"/>
      <c r="F276" s="389"/>
      <c r="G276" s="389"/>
      <c r="H276" s="389"/>
      <c r="I276" s="389"/>
      <c r="J276" s="386"/>
      <c r="K276" s="386"/>
      <c r="L276" s="386"/>
      <c r="M276" s="386"/>
      <c r="N276" s="386"/>
    </row>
    <row r="277" spans="1:14" s="325" customFormat="1" ht="15" hidden="1" x14ac:dyDescent="0.25">
      <c r="A277" s="387"/>
      <c r="B277" s="388"/>
      <c r="C277" s="389"/>
      <c r="D277" s="389"/>
      <c r="E277" s="389"/>
      <c r="F277" s="389"/>
      <c r="G277" s="389"/>
      <c r="H277" s="389"/>
      <c r="I277" s="389"/>
      <c r="J277" s="386"/>
      <c r="K277" s="386"/>
      <c r="L277" s="386"/>
      <c r="M277" s="386"/>
      <c r="N277" s="386"/>
    </row>
    <row r="278" spans="1:14" s="325" customFormat="1" ht="15" hidden="1" x14ac:dyDescent="0.25">
      <c r="A278" s="387"/>
      <c r="B278" s="388"/>
      <c r="C278" s="389"/>
      <c r="D278" s="389"/>
      <c r="E278" s="389"/>
      <c r="F278" s="389"/>
      <c r="G278" s="389"/>
      <c r="H278" s="389"/>
      <c r="I278" s="389"/>
      <c r="J278" s="386"/>
      <c r="K278" s="386"/>
      <c r="L278" s="386"/>
      <c r="M278" s="386"/>
      <c r="N278" s="386"/>
    </row>
    <row r="279" spans="1:14" s="325" customFormat="1" ht="15" hidden="1" x14ac:dyDescent="0.25">
      <c r="A279" s="387"/>
      <c r="B279" s="388"/>
      <c r="C279" s="389"/>
      <c r="D279" s="389"/>
      <c r="E279" s="389"/>
      <c r="F279" s="389"/>
      <c r="G279" s="389"/>
      <c r="H279" s="389"/>
      <c r="I279" s="389"/>
      <c r="J279" s="386"/>
      <c r="K279" s="386"/>
      <c r="L279" s="386"/>
      <c r="M279" s="386"/>
      <c r="N279" s="386"/>
    </row>
    <row r="280" spans="1:14" s="325" customFormat="1" ht="15" hidden="1" x14ac:dyDescent="0.25">
      <c r="A280" s="387"/>
      <c r="B280" s="388"/>
      <c r="C280" s="389"/>
      <c r="D280" s="389"/>
      <c r="E280" s="389"/>
      <c r="F280" s="389"/>
      <c r="G280" s="389"/>
      <c r="H280" s="389"/>
      <c r="I280" s="389"/>
      <c r="J280" s="386"/>
      <c r="K280" s="386"/>
      <c r="L280" s="386"/>
      <c r="M280" s="386"/>
      <c r="N280" s="386"/>
    </row>
    <row r="281" spans="1:14" s="325" customFormat="1" ht="15" hidden="1" x14ac:dyDescent="0.25">
      <c r="A281" s="387"/>
      <c r="B281" s="388"/>
      <c r="C281" s="389"/>
      <c r="D281" s="389"/>
      <c r="E281" s="389"/>
      <c r="F281" s="389"/>
      <c r="G281" s="389"/>
      <c r="H281" s="389"/>
      <c r="I281" s="389"/>
      <c r="J281" s="386"/>
      <c r="K281" s="386"/>
      <c r="L281" s="386"/>
      <c r="M281" s="386"/>
      <c r="N281" s="386"/>
    </row>
    <row r="282" spans="1:14" s="325" customFormat="1" ht="15" hidden="1" x14ac:dyDescent="0.25">
      <c r="A282" s="387"/>
      <c r="B282" s="388"/>
      <c r="C282" s="389"/>
      <c r="D282" s="389"/>
      <c r="E282" s="389"/>
      <c r="F282" s="389"/>
      <c r="G282" s="389"/>
      <c r="H282" s="389"/>
      <c r="I282" s="389"/>
      <c r="J282" s="386"/>
      <c r="K282" s="386"/>
      <c r="L282" s="386"/>
      <c r="M282" s="386"/>
      <c r="N282" s="386"/>
    </row>
    <row r="283" spans="1:14" s="325" customFormat="1" ht="15" hidden="1" x14ac:dyDescent="0.25">
      <c r="A283" s="387"/>
      <c r="B283" s="388"/>
      <c r="C283" s="389"/>
      <c r="D283" s="389"/>
      <c r="E283" s="389"/>
      <c r="F283" s="389"/>
      <c r="G283" s="389"/>
      <c r="H283" s="389"/>
      <c r="I283" s="389"/>
      <c r="J283" s="386"/>
      <c r="K283" s="386"/>
      <c r="L283" s="386"/>
      <c r="M283" s="386"/>
      <c r="N283" s="386"/>
    </row>
    <row r="284" spans="1:14" s="325" customFormat="1" ht="15" hidden="1" x14ac:dyDescent="0.25">
      <c r="A284" s="387"/>
      <c r="B284" s="388"/>
      <c r="C284" s="389"/>
      <c r="D284" s="389"/>
      <c r="E284" s="389"/>
      <c r="F284" s="389"/>
      <c r="G284" s="389"/>
      <c r="H284" s="389"/>
      <c r="I284" s="389"/>
      <c r="J284" s="386"/>
      <c r="K284" s="386"/>
      <c r="L284" s="386"/>
      <c r="M284" s="386"/>
      <c r="N284" s="386"/>
    </row>
    <row r="285" spans="1:14" s="325" customFormat="1" ht="15" hidden="1" x14ac:dyDescent="0.25">
      <c r="A285" s="387"/>
      <c r="B285" s="388"/>
      <c r="C285" s="389"/>
      <c r="D285" s="389"/>
      <c r="E285" s="389"/>
      <c r="F285" s="389"/>
      <c r="G285" s="389"/>
      <c r="H285" s="389"/>
      <c r="I285" s="389"/>
      <c r="J285" s="386"/>
      <c r="K285" s="386"/>
      <c r="L285" s="386"/>
      <c r="M285" s="386"/>
      <c r="N285" s="386"/>
    </row>
    <row r="286" spans="1:14" s="325" customFormat="1" ht="15" hidden="1" x14ac:dyDescent="0.25">
      <c r="A286" s="387"/>
      <c r="B286" s="388"/>
      <c r="C286" s="389"/>
      <c r="D286" s="389"/>
      <c r="E286" s="389"/>
      <c r="F286" s="389"/>
      <c r="G286" s="389"/>
      <c r="H286" s="389"/>
      <c r="I286" s="389"/>
      <c r="J286" s="386"/>
      <c r="K286" s="386"/>
      <c r="L286" s="386"/>
      <c r="M286" s="386"/>
      <c r="N286" s="386"/>
    </row>
    <row r="287" spans="1:14" s="325" customFormat="1" ht="15" hidden="1" x14ac:dyDescent="0.25">
      <c r="A287" s="387"/>
      <c r="B287" s="388"/>
      <c r="C287" s="389"/>
      <c r="D287" s="389"/>
      <c r="E287" s="389"/>
      <c r="F287" s="389"/>
      <c r="G287" s="389"/>
      <c r="H287" s="389"/>
      <c r="I287" s="389"/>
      <c r="J287" s="386"/>
      <c r="K287" s="386"/>
      <c r="L287" s="386"/>
      <c r="M287" s="386"/>
      <c r="N287" s="386"/>
    </row>
    <row r="288" spans="1:14" s="325" customFormat="1" ht="15" hidden="1" x14ac:dyDescent="0.25">
      <c r="A288" s="387"/>
      <c r="B288" s="388"/>
      <c r="C288" s="389"/>
      <c r="D288" s="389"/>
      <c r="E288" s="389"/>
      <c r="F288" s="389"/>
      <c r="G288" s="389"/>
      <c r="H288" s="389"/>
      <c r="I288" s="389"/>
      <c r="J288" s="386"/>
      <c r="K288" s="386"/>
      <c r="L288" s="386"/>
      <c r="M288" s="386"/>
      <c r="N288" s="386"/>
    </row>
    <row r="289" spans="1:14" s="325" customFormat="1" ht="15" hidden="1" x14ac:dyDescent="0.25">
      <c r="A289" s="387"/>
      <c r="B289" s="388"/>
      <c r="C289" s="389"/>
      <c r="D289" s="389"/>
      <c r="E289" s="389"/>
      <c r="F289" s="389"/>
      <c r="G289" s="389"/>
      <c r="H289" s="389"/>
      <c r="I289" s="389"/>
      <c r="J289" s="386"/>
      <c r="K289" s="386"/>
      <c r="L289" s="386"/>
      <c r="M289" s="386"/>
      <c r="N289" s="386"/>
    </row>
    <row r="290" spans="1:14" s="325" customFormat="1" ht="15" hidden="1" x14ac:dyDescent="0.25">
      <c r="A290" s="387"/>
      <c r="B290" s="388"/>
      <c r="C290" s="389"/>
      <c r="D290" s="389"/>
      <c r="E290" s="389"/>
      <c r="F290" s="389"/>
      <c r="G290" s="389"/>
      <c r="H290" s="389"/>
      <c r="I290" s="389"/>
      <c r="J290" s="386"/>
      <c r="K290" s="386"/>
      <c r="L290" s="386"/>
      <c r="M290" s="386"/>
      <c r="N290" s="386"/>
    </row>
    <row r="291" spans="1:14" s="325" customFormat="1" ht="15" hidden="1" x14ac:dyDescent="0.25">
      <c r="A291" s="387"/>
      <c r="B291" s="388"/>
      <c r="C291" s="389"/>
      <c r="D291" s="389"/>
      <c r="E291" s="389"/>
      <c r="F291" s="389"/>
      <c r="G291" s="389"/>
      <c r="H291" s="389"/>
      <c r="I291" s="389"/>
      <c r="J291" s="386"/>
      <c r="K291" s="386"/>
      <c r="L291" s="386"/>
      <c r="M291" s="386"/>
      <c r="N291" s="386"/>
    </row>
    <row r="292" spans="1:14" s="325" customFormat="1" ht="15" hidden="1" x14ac:dyDescent="0.25">
      <c r="A292" s="387"/>
      <c r="B292" s="388"/>
      <c r="C292" s="389"/>
      <c r="D292" s="389"/>
      <c r="E292" s="389"/>
      <c r="F292" s="389"/>
      <c r="G292" s="389"/>
      <c r="H292" s="389"/>
      <c r="I292" s="389"/>
      <c r="J292" s="386"/>
      <c r="K292" s="386"/>
      <c r="L292" s="386"/>
      <c r="M292" s="386"/>
      <c r="N292" s="386"/>
    </row>
    <row r="293" spans="1:14" s="325" customFormat="1" ht="15" hidden="1" x14ac:dyDescent="0.25">
      <c r="A293" s="387"/>
      <c r="B293" s="388"/>
      <c r="C293" s="389"/>
      <c r="D293" s="389"/>
      <c r="E293" s="389"/>
      <c r="F293" s="389"/>
      <c r="G293" s="389"/>
      <c r="H293" s="389"/>
      <c r="I293" s="389"/>
      <c r="J293" s="386"/>
      <c r="K293" s="386"/>
      <c r="L293" s="386"/>
      <c r="M293" s="386"/>
      <c r="N293" s="386"/>
    </row>
    <row r="294" spans="1:14" s="325" customFormat="1" ht="15" hidden="1" x14ac:dyDescent="0.25">
      <c r="A294" s="387"/>
      <c r="B294" s="388"/>
      <c r="C294" s="389"/>
      <c r="D294" s="389"/>
      <c r="E294" s="389"/>
      <c r="F294" s="389"/>
      <c r="G294" s="389"/>
      <c r="H294" s="389"/>
      <c r="I294" s="389"/>
      <c r="J294" s="386"/>
      <c r="K294" s="386"/>
      <c r="L294" s="386"/>
      <c r="M294" s="386"/>
      <c r="N294" s="386"/>
    </row>
    <row r="295" spans="1:14" s="325" customFormat="1" ht="15" hidden="1" x14ac:dyDescent="0.25">
      <c r="A295" s="387"/>
      <c r="B295" s="388"/>
      <c r="C295" s="389"/>
      <c r="D295" s="389"/>
      <c r="E295" s="389"/>
      <c r="F295" s="389"/>
      <c r="G295" s="389"/>
      <c r="H295" s="389"/>
      <c r="I295" s="389"/>
      <c r="J295" s="386"/>
      <c r="K295" s="386"/>
      <c r="L295" s="386"/>
      <c r="M295" s="386"/>
      <c r="N295" s="386"/>
    </row>
    <row r="296" spans="1:14" s="325" customFormat="1" ht="15" hidden="1" x14ac:dyDescent="0.25">
      <c r="A296" s="387"/>
      <c r="B296" s="388"/>
      <c r="C296" s="389"/>
      <c r="D296" s="389"/>
      <c r="E296" s="389"/>
      <c r="F296" s="389"/>
      <c r="G296" s="389"/>
      <c r="H296" s="389"/>
      <c r="I296" s="389"/>
      <c r="J296" s="386"/>
      <c r="K296" s="386"/>
      <c r="L296" s="386"/>
      <c r="M296" s="386"/>
      <c r="N296" s="386"/>
    </row>
    <row r="297" spans="1:14" s="325" customFormat="1" ht="15" hidden="1" x14ac:dyDescent="0.25">
      <c r="A297" s="387"/>
      <c r="B297" s="388"/>
      <c r="C297" s="389"/>
      <c r="D297" s="389"/>
      <c r="E297" s="389"/>
      <c r="F297" s="389"/>
      <c r="G297" s="389"/>
      <c r="H297" s="389"/>
      <c r="I297" s="389"/>
      <c r="J297" s="386"/>
      <c r="K297" s="386"/>
      <c r="L297" s="386"/>
      <c r="M297" s="386"/>
      <c r="N297" s="386"/>
    </row>
    <row r="298" spans="1:14" s="325" customFormat="1" ht="15" hidden="1" x14ac:dyDescent="0.25">
      <c r="A298" s="387"/>
      <c r="B298" s="388"/>
      <c r="C298" s="389"/>
      <c r="D298" s="389"/>
      <c r="E298" s="389"/>
      <c r="F298" s="389"/>
      <c r="G298" s="389"/>
      <c r="H298" s="389"/>
      <c r="I298" s="389"/>
      <c r="J298" s="386"/>
      <c r="K298" s="386"/>
      <c r="L298" s="386"/>
      <c r="M298" s="386"/>
      <c r="N298" s="386"/>
    </row>
    <row r="299" spans="1:14" s="325" customFormat="1" ht="15" hidden="1" x14ac:dyDescent="0.25">
      <c r="A299" s="387"/>
      <c r="B299" s="388"/>
      <c r="C299" s="389"/>
      <c r="D299" s="389"/>
      <c r="E299" s="389"/>
      <c r="F299" s="389"/>
      <c r="G299" s="389"/>
      <c r="H299" s="389"/>
      <c r="I299" s="389"/>
      <c r="J299" s="386"/>
      <c r="K299" s="386"/>
      <c r="L299" s="386"/>
      <c r="M299" s="386"/>
      <c r="N299" s="386"/>
    </row>
    <row r="300" spans="1:14" s="325" customFormat="1" ht="15" hidden="1" x14ac:dyDescent="0.25">
      <c r="A300" s="387"/>
      <c r="B300" s="388"/>
      <c r="C300" s="389"/>
      <c r="D300" s="389"/>
      <c r="E300" s="389"/>
      <c r="F300" s="389"/>
      <c r="G300" s="389"/>
      <c r="H300" s="389"/>
      <c r="I300" s="389"/>
      <c r="J300" s="386"/>
      <c r="K300" s="386"/>
      <c r="L300" s="386"/>
      <c r="M300" s="386"/>
      <c r="N300" s="386"/>
    </row>
    <row r="301" spans="1:14" s="325" customFormat="1" ht="15" hidden="1" x14ac:dyDescent="0.25">
      <c r="A301" s="387"/>
      <c r="B301" s="388"/>
      <c r="C301" s="389"/>
      <c r="D301" s="389"/>
      <c r="E301" s="389"/>
      <c r="F301" s="389"/>
      <c r="G301" s="389"/>
      <c r="H301" s="389"/>
      <c r="I301" s="389"/>
      <c r="J301" s="386"/>
      <c r="K301" s="386"/>
      <c r="L301" s="386"/>
      <c r="M301" s="386"/>
      <c r="N301" s="386"/>
    </row>
    <row r="302" spans="1:14" s="325" customFormat="1" ht="15" hidden="1" x14ac:dyDescent="0.25">
      <c r="A302" s="387"/>
      <c r="B302" s="388"/>
      <c r="C302" s="389"/>
      <c r="D302" s="389"/>
      <c r="E302" s="389"/>
      <c r="F302" s="389"/>
      <c r="G302" s="389"/>
      <c r="H302" s="389"/>
      <c r="I302" s="389"/>
      <c r="J302" s="386"/>
      <c r="K302" s="386"/>
      <c r="L302" s="386"/>
      <c r="M302" s="386"/>
      <c r="N302" s="386"/>
    </row>
    <row r="303" spans="1:14" s="325" customFormat="1" ht="15" hidden="1" x14ac:dyDescent="0.25">
      <c r="A303" s="387"/>
      <c r="B303" s="388"/>
      <c r="C303" s="389"/>
      <c r="D303" s="389"/>
      <c r="E303" s="389"/>
      <c r="F303" s="389"/>
      <c r="G303" s="389"/>
      <c r="H303" s="389"/>
      <c r="I303" s="389"/>
      <c r="J303" s="386"/>
      <c r="K303" s="386"/>
      <c r="L303" s="386"/>
      <c r="M303" s="386"/>
      <c r="N303" s="386"/>
    </row>
    <row r="304" spans="1:14" s="325" customFormat="1" ht="15" hidden="1" x14ac:dyDescent="0.25">
      <c r="A304" s="387"/>
      <c r="B304" s="388"/>
      <c r="C304" s="389"/>
      <c r="D304" s="389"/>
      <c r="E304" s="389"/>
      <c r="F304" s="389"/>
      <c r="G304" s="389"/>
      <c r="H304" s="389"/>
      <c r="I304" s="389"/>
      <c r="J304" s="386"/>
      <c r="K304" s="386"/>
      <c r="L304" s="386"/>
      <c r="M304" s="386"/>
      <c r="N304" s="386"/>
    </row>
    <row r="305" spans="1:14" s="325" customFormat="1" ht="15" hidden="1" x14ac:dyDescent="0.25">
      <c r="A305" s="387"/>
      <c r="B305" s="388"/>
      <c r="C305" s="389"/>
      <c r="D305" s="389"/>
      <c r="E305" s="389"/>
      <c r="F305" s="389"/>
      <c r="G305" s="389"/>
      <c r="H305" s="389"/>
      <c r="I305" s="389"/>
      <c r="J305" s="386"/>
      <c r="K305" s="386"/>
      <c r="L305" s="386"/>
      <c r="M305" s="386"/>
      <c r="N305" s="386"/>
    </row>
    <row r="306" spans="1:14" s="325" customFormat="1" ht="15" hidden="1" x14ac:dyDescent="0.25">
      <c r="A306" s="387"/>
      <c r="B306" s="388"/>
      <c r="C306" s="389"/>
      <c r="D306" s="389"/>
      <c r="E306" s="389"/>
      <c r="F306" s="389"/>
      <c r="G306" s="389"/>
      <c r="H306" s="389"/>
      <c r="I306" s="389"/>
      <c r="J306" s="386"/>
      <c r="K306" s="386"/>
      <c r="L306" s="386"/>
      <c r="M306" s="386"/>
      <c r="N306" s="386"/>
    </row>
    <row r="307" spans="1:14" s="325" customFormat="1" ht="15" hidden="1" x14ac:dyDescent="0.25">
      <c r="A307" s="387"/>
      <c r="B307" s="388"/>
      <c r="C307" s="389"/>
      <c r="D307" s="389"/>
      <c r="E307" s="389"/>
      <c r="F307" s="389"/>
      <c r="G307" s="389"/>
      <c r="H307" s="389"/>
      <c r="I307" s="389"/>
      <c r="J307" s="386"/>
      <c r="K307" s="386"/>
      <c r="L307" s="386"/>
      <c r="M307" s="386"/>
      <c r="N307" s="386"/>
    </row>
    <row r="308" spans="1:14" s="325" customFormat="1" ht="15" hidden="1" x14ac:dyDescent="0.25">
      <c r="A308" s="387"/>
      <c r="B308" s="388"/>
      <c r="C308" s="389"/>
      <c r="D308" s="389"/>
      <c r="E308" s="389"/>
      <c r="F308" s="389"/>
      <c r="G308" s="389"/>
      <c r="H308" s="389"/>
      <c r="I308" s="389"/>
      <c r="J308" s="386"/>
      <c r="K308" s="386"/>
      <c r="L308" s="386"/>
      <c r="M308" s="386"/>
      <c r="N308" s="386"/>
    </row>
    <row r="309" spans="1:14" s="325" customFormat="1" ht="15" hidden="1" x14ac:dyDescent="0.25">
      <c r="A309" s="387"/>
      <c r="B309" s="388"/>
      <c r="C309" s="389"/>
      <c r="D309" s="389"/>
      <c r="E309" s="389"/>
      <c r="F309" s="389"/>
      <c r="G309" s="389"/>
      <c r="H309" s="389"/>
      <c r="I309" s="389"/>
      <c r="J309" s="386"/>
      <c r="K309" s="386"/>
      <c r="L309" s="386"/>
      <c r="M309" s="386"/>
      <c r="N309" s="386"/>
    </row>
    <row r="310" spans="1:14" s="325" customFormat="1" ht="15" hidden="1" x14ac:dyDescent="0.25">
      <c r="A310" s="387"/>
      <c r="B310" s="388"/>
      <c r="C310" s="389"/>
      <c r="D310" s="389"/>
      <c r="E310" s="389"/>
      <c r="F310" s="389"/>
      <c r="G310" s="389"/>
      <c r="H310" s="389"/>
      <c r="I310" s="389"/>
      <c r="J310" s="386"/>
      <c r="K310" s="386"/>
      <c r="L310" s="386"/>
      <c r="M310" s="386"/>
      <c r="N310" s="386"/>
    </row>
    <row r="311" spans="1:14" s="325" customFormat="1" ht="15" hidden="1" x14ac:dyDescent="0.25">
      <c r="A311" s="387"/>
      <c r="B311" s="388"/>
      <c r="C311" s="389"/>
      <c r="D311" s="389"/>
      <c r="E311" s="389"/>
      <c r="F311" s="389"/>
      <c r="G311" s="389"/>
      <c r="H311" s="389"/>
      <c r="I311" s="389"/>
      <c r="J311" s="386"/>
      <c r="K311" s="386"/>
      <c r="L311" s="386"/>
      <c r="M311" s="386"/>
      <c r="N311" s="386"/>
    </row>
    <row r="312" spans="1:14" s="325" customFormat="1" ht="15" hidden="1" x14ac:dyDescent="0.25">
      <c r="A312" s="387"/>
      <c r="B312" s="388"/>
      <c r="C312" s="389"/>
      <c r="D312" s="389"/>
      <c r="E312" s="389"/>
      <c r="F312" s="389"/>
      <c r="G312" s="389"/>
      <c r="H312" s="389"/>
      <c r="I312" s="389"/>
      <c r="J312" s="386"/>
      <c r="K312" s="386"/>
      <c r="L312" s="386"/>
      <c r="M312" s="386"/>
      <c r="N312" s="386"/>
    </row>
    <row r="313" spans="1:14" s="325" customFormat="1" ht="15" hidden="1" x14ac:dyDescent="0.25">
      <c r="A313" s="387"/>
      <c r="B313" s="388"/>
      <c r="C313" s="389"/>
      <c r="D313" s="389"/>
      <c r="E313" s="389"/>
      <c r="F313" s="389"/>
      <c r="G313" s="389"/>
      <c r="H313" s="389"/>
      <c r="I313" s="389"/>
      <c r="J313" s="386"/>
      <c r="K313" s="386"/>
      <c r="L313" s="386"/>
      <c r="M313" s="386"/>
      <c r="N313" s="386"/>
    </row>
    <row r="314" spans="1:14" s="325" customFormat="1" ht="15" hidden="1" x14ac:dyDescent="0.25">
      <c r="A314" s="387"/>
      <c r="B314" s="388"/>
      <c r="C314" s="389"/>
      <c r="D314" s="389"/>
      <c r="E314" s="389"/>
      <c r="F314" s="389"/>
      <c r="G314" s="389"/>
      <c r="H314" s="389"/>
      <c r="I314" s="389"/>
      <c r="J314" s="386"/>
      <c r="K314" s="386"/>
      <c r="L314" s="386"/>
      <c r="M314" s="386"/>
      <c r="N314" s="386"/>
    </row>
    <row r="315" spans="1:14" s="325" customFormat="1" ht="15" hidden="1" x14ac:dyDescent="0.25">
      <c r="A315" s="387"/>
      <c r="B315" s="388"/>
      <c r="C315" s="389"/>
      <c r="D315" s="389"/>
      <c r="E315" s="389"/>
      <c r="F315" s="389"/>
      <c r="G315" s="389"/>
      <c r="H315" s="389"/>
      <c r="I315" s="389"/>
      <c r="J315" s="386"/>
      <c r="K315" s="386"/>
      <c r="L315" s="386"/>
      <c r="M315" s="386"/>
      <c r="N315" s="386"/>
    </row>
    <row r="316" spans="1:14" s="325" customFormat="1" ht="15" hidden="1" x14ac:dyDescent="0.25">
      <c r="A316" s="387"/>
      <c r="B316" s="388"/>
      <c r="C316" s="389"/>
      <c r="D316" s="389"/>
      <c r="E316" s="389"/>
      <c r="F316" s="389"/>
      <c r="G316" s="389"/>
      <c r="H316" s="389"/>
      <c r="I316" s="389"/>
      <c r="J316" s="386"/>
      <c r="K316" s="386"/>
      <c r="L316" s="386"/>
      <c r="M316" s="386"/>
      <c r="N316" s="386"/>
    </row>
    <row r="317" spans="1:14" s="325" customFormat="1" ht="15" hidden="1" x14ac:dyDescent="0.25">
      <c r="A317" s="387"/>
      <c r="B317" s="388"/>
      <c r="C317" s="389"/>
      <c r="D317" s="389"/>
      <c r="E317" s="389"/>
      <c r="F317" s="389"/>
      <c r="G317" s="389"/>
      <c r="H317" s="389"/>
      <c r="I317" s="389"/>
      <c r="J317" s="386"/>
      <c r="K317" s="386"/>
      <c r="L317" s="386"/>
      <c r="M317" s="386"/>
      <c r="N317" s="386"/>
    </row>
    <row r="318" spans="1:14" s="325" customFormat="1" ht="15" hidden="1" x14ac:dyDescent="0.25">
      <c r="A318" s="387"/>
      <c r="B318" s="388"/>
      <c r="C318" s="389"/>
      <c r="D318" s="389"/>
      <c r="E318" s="389"/>
      <c r="F318" s="389"/>
      <c r="G318" s="389"/>
      <c r="H318" s="389"/>
      <c r="I318" s="389"/>
      <c r="J318" s="386"/>
      <c r="K318" s="386"/>
      <c r="L318" s="386"/>
      <c r="M318" s="386"/>
      <c r="N318" s="386"/>
    </row>
    <row r="319" spans="1:14" s="325" customFormat="1" ht="15" hidden="1" x14ac:dyDescent="0.25">
      <c r="A319" s="387"/>
      <c r="B319" s="388"/>
      <c r="C319" s="389"/>
      <c r="D319" s="389"/>
      <c r="E319" s="389"/>
      <c r="F319" s="389"/>
      <c r="G319" s="389"/>
      <c r="H319" s="389"/>
      <c r="I319" s="389"/>
      <c r="J319" s="386"/>
      <c r="K319" s="386"/>
      <c r="L319" s="386"/>
      <c r="M319" s="386"/>
      <c r="N319" s="386"/>
    </row>
    <row r="320" spans="1:14" s="325" customFormat="1" ht="15" hidden="1" x14ac:dyDescent="0.25">
      <c r="A320" s="387"/>
      <c r="B320" s="388"/>
      <c r="C320" s="389"/>
      <c r="D320" s="389"/>
      <c r="E320" s="389"/>
      <c r="F320" s="389"/>
      <c r="G320" s="389"/>
      <c r="H320" s="389"/>
      <c r="I320" s="389"/>
      <c r="J320" s="386"/>
      <c r="K320" s="386"/>
      <c r="L320" s="386"/>
      <c r="M320" s="386"/>
      <c r="N320" s="386"/>
    </row>
    <row r="321" spans="1:14" s="325" customFormat="1" ht="15" hidden="1" x14ac:dyDescent="0.25">
      <c r="A321" s="387"/>
      <c r="B321" s="388"/>
      <c r="C321" s="389"/>
      <c r="D321" s="389"/>
      <c r="E321" s="389"/>
      <c r="F321" s="389"/>
      <c r="G321" s="389"/>
      <c r="H321" s="389"/>
      <c r="I321" s="389"/>
      <c r="J321" s="386"/>
      <c r="K321" s="386"/>
      <c r="L321" s="386"/>
      <c r="M321" s="386"/>
      <c r="N321" s="386"/>
    </row>
    <row r="322" spans="1:14" s="325" customFormat="1" ht="15" hidden="1" x14ac:dyDescent="0.25">
      <c r="A322" s="387"/>
      <c r="B322" s="388"/>
      <c r="C322" s="389"/>
      <c r="D322" s="389"/>
      <c r="E322" s="389"/>
      <c r="F322" s="389"/>
      <c r="G322" s="389"/>
      <c r="H322" s="389"/>
      <c r="I322" s="389"/>
      <c r="J322" s="386"/>
      <c r="K322" s="386"/>
      <c r="L322" s="386"/>
      <c r="M322" s="386"/>
      <c r="N322" s="386"/>
    </row>
    <row r="323" spans="1:14" s="325" customFormat="1" ht="15" hidden="1" x14ac:dyDescent="0.25">
      <c r="A323" s="387"/>
      <c r="B323" s="388"/>
      <c r="C323" s="389"/>
      <c r="D323" s="389"/>
      <c r="E323" s="389"/>
      <c r="F323" s="389"/>
      <c r="G323" s="389"/>
      <c r="H323" s="389"/>
      <c r="I323" s="389"/>
      <c r="J323" s="386"/>
      <c r="K323" s="386"/>
      <c r="L323" s="386"/>
      <c r="M323" s="386"/>
      <c r="N323" s="386"/>
    </row>
    <row r="324" spans="1:14" s="325" customFormat="1" ht="15" hidden="1" x14ac:dyDescent="0.25">
      <c r="A324" s="387"/>
      <c r="B324" s="388"/>
      <c r="C324" s="389"/>
      <c r="D324" s="389"/>
      <c r="E324" s="389"/>
      <c r="F324" s="389"/>
      <c r="G324" s="389"/>
      <c r="H324" s="389"/>
      <c r="I324" s="389"/>
      <c r="J324" s="386"/>
      <c r="K324" s="386"/>
      <c r="L324" s="386"/>
      <c r="M324" s="386"/>
      <c r="N324" s="386"/>
    </row>
    <row r="325" spans="1:14" s="325" customFormat="1" ht="15" hidden="1" x14ac:dyDescent="0.25">
      <c r="A325" s="387"/>
      <c r="B325" s="388"/>
      <c r="C325" s="389"/>
      <c r="D325" s="389"/>
      <c r="E325" s="389"/>
      <c r="F325" s="389"/>
      <c r="G325" s="389"/>
      <c r="H325" s="389"/>
      <c r="I325" s="389"/>
      <c r="J325" s="386"/>
      <c r="K325" s="386"/>
      <c r="L325" s="386"/>
      <c r="M325" s="386"/>
      <c r="N325" s="386"/>
    </row>
    <row r="326" spans="1:14" s="325" customFormat="1" ht="15" hidden="1" x14ac:dyDescent="0.25">
      <c r="A326" s="387"/>
      <c r="B326" s="388"/>
      <c r="C326" s="389"/>
      <c r="D326" s="389"/>
      <c r="E326" s="389"/>
      <c r="F326" s="389"/>
      <c r="G326" s="389"/>
      <c r="H326" s="389"/>
      <c r="I326" s="389"/>
      <c r="J326" s="386"/>
      <c r="K326" s="386"/>
      <c r="L326" s="386"/>
      <c r="M326" s="386"/>
      <c r="N326" s="386"/>
    </row>
    <row r="327" spans="1:14" s="325" customFormat="1" ht="15" hidden="1" x14ac:dyDescent="0.25">
      <c r="A327" s="387"/>
      <c r="B327" s="388"/>
      <c r="C327" s="389"/>
      <c r="D327" s="389"/>
      <c r="E327" s="389"/>
      <c r="F327" s="389"/>
      <c r="G327" s="389"/>
      <c r="H327" s="389"/>
      <c r="I327" s="389"/>
      <c r="J327" s="386"/>
      <c r="K327" s="386"/>
      <c r="L327" s="386"/>
      <c r="M327" s="386"/>
      <c r="N327" s="386"/>
    </row>
    <row r="328" spans="1:14" s="325" customFormat="1" ht="15" hidden="1" x14ac:dyDescent="0.25">
      <c r="A328" s="387"/>
      <c r="B328" s="388"/>
      <c r="C328" s="389"/>
      <c r="D328" s="389"/>
      <c r="E328" s="389"/>
      <c r="F328" s="389"/>
      <c r="G328" s="389"/>
      <c r="H328" s="389"/>
      <c r="I328" s="389"/>
      <c r="J328" s="386"/>
      <c r="K328" s="386"/>
      <c r="L328" s="386"/>
      <c r="M328" s="386"/>
      <c r="N328" s="386"/>
    </row>
    <row r="329" spans="1:14" s="325" customFormat="1" ht="15" hidden="1" x14ac:dyDescent="0.25">
      <c r="A329" s="387"/>
      <c r="B329" s="388"/>
      <c r="C329" s="389"/>
      <c r="D329" s="389"/>
      <c r="E329" s="389"/>
      <c r="F329" s="389"/>
      <c r="G329" s="389"/>
      <c r="H329" s="389"/>
      <c r="I329" s="389"/>
      <c r="J329" s="386"/>
      <c r="K329" s="386"/>
      <c r="L329" s="386"/>
      <c r="M329" s="386"/>
      <c r="N329" s="386"/>
    </row>
    <row r="330" spans="1:14" s="325" customFormat="1" ht="15" hidden="1" x14ac:dyDescent="0.25">
      <c r="A330" s="387"/>
      <c r="B330" s="388"/>
      <c r="C330" s="389"/>
      <c r="D330" s="389"/>
      <c r="E330" s="389"/>
      <c r="F330" s="389"/>
      <c r="G330" s="389"/>
      <c r="H330" s="389"/>
      <c r="I330" s="389"/>
      <c r="J330" s="386"/>
      <c r="K330" s="386"/>
      <c r="L330" s="386"/>
      <c r="M330" s="386"/>
      <c r="N330" s="386"/>
    </row>
    <row r="331" spans="1:14" s="325" customFormat="1" ht="15" hidden="1" x14ac:dyDescent="0.25">
      <c r="A331" s="387"/>
      <c r="B331" s="388"/>
      <c r="C331" s="389"/>
      <c r="D331" s="389"/>
      <c r="E331" s="389"/>
      <c r="F331" s="389"/>
      <c r="G331" s="389"/>
      <c r="H331" s="389"/>
      <c r="I331" s="389"/>
      <c r="J331" s="386"/>
      <c r="K331" s="386"/>
      <c r="L331" s="386"/>
      <c r="M331" s="386"/>
      <c r="N331" s="386"/>
    </row>
    <row r="332" spans="1:14" s="325" customFormat="1" ht="15" hidden="1" x14ac:dyDescent="0.25">
      <c r="A332" s="387"/>
      <c r="B332" s="388"/>
      <c r="C332" s="389"/>
      <c r="D332" s="389"/>
      <c r="E332" s="389"/>
      <c r="F332" s="389"/>
      <c r="G332" s="389"/>
      <c r="H332" s="389"/>
      <c r="I332" s="389"/>
      <c r="J332" s="386"/>
      <c r="K332" s="386"/>
      <c r="L332" s="386"/>
      <c r="M332" s="386"/>
      <c r="N332" s="386"/>
    </row>
    <row r="333" spans="1:14" s="325" customFormat="1" ht="15" hidden="1" x14ac:dyDescent="0.25">
      <c r="A333" s="387"/>
      <c r="B333" s="388"/>
      <c r="C333" s="389"/>
      <c r="D333" s="389"/>
      <c r="E333" s="389"/>
      <c r="F333" s="389"/>
      <c r="G333" s="389"/>
      <c r="H333" s="389"/>
      <c r="I333" s="389"/>
      <c r="J333" s="386"/>
      <c r="K333" s="386"/>
      <c r="L333" s="386"/>
      <c r="M333" s="386"/>
      <c r="N333" s="386"/>
    </row>
    <row r="334" spans="1:14" s="325" customFormat="1" ht="15" hidden="1" x14ac:dyDescent="0.25">
      <c r="A334" s="387"/>
      <c r="B334" s="388"/>
      <c r="C334" s="389"/>
      <c r="D334" s="389"/>
      <c r="E334" s="389"/>
      <c r="F334" s="389"/>
      <c r="G334" s="389"/>
      <c r="H334" s="389"/>
      <c r="I334" s="389"/>
      <c r="J334" s="386"/>
      <c r="K334" s="386"/>
      <c r="L334" s="386"/>
      <c r="M334" s="386"/>
      <c r="N334" s="386"/>
    </row>
    <row r="335" spans="1:14" s="325" customFormat="1" ht="15" hidden="1" x14ac:dyDescent="0.25">
      <c r="A335" s="387"/>
      <c r="B335" s="388"/>
      <c r="C335" s="389"/>
      <c r="D335" s="389"/>
      <c r="E335" s="389"/>
      <c r="F335" s="389"/>
      <c r="G335" s="389"/>
      <c r="H335" s="389"/>
      <c r="I335" s="389"/>
      <c r="J335" s="386"/>
      <c r="K335" s="386"/>
      <c r="L335" s="386"/>
      <c r="M335" s="386"/>
      <c r="N335" s="386"/>
    </row>
    <row r="336" spans="1:14" s="325" customFormat="1" ht="15" hidden="1" x14ac:dyDescent="0.25">
      <c r="A336" s="387"/>
      <c r="B336" s="388"/>
      <c r="C336" s="389"/>
      <c r="D336" s="389"/>
      <c r="E336" s="389"/>
      <c r="F336" s="389"/>
      <c r="G336" s="389"/>
      <c r="H336" s="389"/>
      <c r="I336" s="389"/>
      <c r="J336" s="386"/>
      <c r="K336" s="386"/>
      <c r="L336" s="386"/>
      <c r="M336" s="386"/>
      <c r="N336" s="386"/>
    </row>
    <row r="337" spans="1:14" s="325" customFormat="1" ht="15" hidden="1" x14ac:dyDescent="0.25">
      <c r="A337" s="387"/>
      <c r="B337" s="388"/>
      <c r="C337" s="389"/>
      <c r="D337" s="389"/>
      <c r="E337" s="389"/>
      <c r="F337" s="389"/>
      <c r="G337" s="389"/>
      <c r="H337" s="389"/>
      <c r="I337" s="389"/>
      <c r="J337" s="386"/>
      <c r="K337" s="386"/>
      <c r="L337" s="386"/>
      <c r="M337" s="386"/>
      <c r="N337" s="386"/>
    </row>
    <row r="338" spans="1:14" s="325" customFormat="1" ht="15" hidden="1" x14ac:dyDescent="0.25">
      <c r="A338" s="387"/>
      <c r="B338" s="388"/>
      <c r="C338" s="389"/>
      <c r="D338" s="389"/>
      <c r="E338" s="389"/>
      <c r="F338" s="389"/>
      <c r="G338" s="389"/>
      <c r="H338" s="389"/>
      <c r="I338" s="389"/>
      <c r="J338" s="386"/>
      <c r="K338" s="386"/>
      <c r="L338" s="386"/>
      <c r="M338" s="386"/>
      <c r="N338" s="386"/>
    </row>
    <row r="339" spans="1:14" s="325" customFormat="1" ht="15" hidden="1" x14ac:dyDescent="0.25">
      <c r="A339" s="387"/>
      <c r="B339" s="388"/>
      <c r="C339" s="389"/>
      <c r="D339" s="389"/>
      <c r="E339" s="389"/>
      <c r="F339" s="389"/>
      <c r="G339" s="389"/>
      <c r="H339" s="389"/>
      <c r="I339" s="389"/>
      <c r="J339" s="386"/>
      <c r="K339" s="386"/>
      <c r="L339" s="386"/>
      <c r="M339" s="386"/>
      <c r="N339" s="386"/>
    </row>
    <row r="340" spans="1:14" s="325" customFormat="1" ht="15" hidden="1" x14ac:dyDescent="0.25">
      <c r="A340" s="387"/>
      <c r="B340" s="388"/>
      <c r="C340" s="389"/>
      <c r="D340" s="389"/>
      <c r="E340" s="389"/>
      <c r="F340" s="389"/>
      <c r="G340" s="389"/>
      <c r="H340" s="389"/>
      <c r="I340" s="389"/>
      <c r="J340" s="386"/>
      <c r="K340" s="386"/>
      <c r="L340" s="386"/>
      <c r="M340" s="386"/>
      <c r="N340" s="386"/>
    </row>
    <row r="341" spans="1:14" s="325" customFormat="1" ht="15" hidden="1" x14ac:dyDescent="0.25">
      <c r="A341" s="387"/>
      <c r="B341" s="388"/>
      <c r="C341" s="389"/>
      <c r="D341" s="389"/>
      <c r="E341" s="389"/>
      <c r="F341" s="389"/>
      <c r="G341" s="389"/>
      <c r="H341" s="389"/>
      <c r="I341" s="389"/>
      <c r="J341" s="386"/>
      <c r="K341" s="386"/>
      <c r="L341" s="386"/>
      <c r="M341" s="386"/>
      <c r="N341" s="386"/>
    </row>
    <row r="342" spans="1:14" s="325" customFormat="1" ht="15" hidden="1" x14ac:dyDescent="0.25">
      <c r="A342" s="387"/>
      <c r="B342" s="388"/>
      <c r="C342" s="389"/>
      <c r="D342" s="389"/>
      <c r="E342" s="389"/>
      <c r="F342" s="389"/>
      <c r="G342" s="389"/>
      <c r="H342" s="389"/>
      <c r="I342" s="389"/>
      <c r="J342" s="386"/>
      <c r="K342" s="386"/>
      <c r="L342" s="386"/>
      <c r="M342" s="386"/>
      <c r="N342" s="386"/>
    </row>
    <row r="343" spans="1:14" s="325" customFormat="1" ht="15" hidden="1" x14ac:dyDescent="0.25">
      <c r="A343" s="387"/>
      <c r="B343" s="388"/>
      <c r="C343" s="389"/>
      <c r="D343" s="389"/>
      <c r="E343" s="389"/>
      <c r="F343" s="389"/>
      <c r="G343" s="389"/>
      <c r="H343" s="389"/>
      <c r="I343" s="389"/>
      <c r="J343" s="386"/>
      <c r="K343" s="386"/>
      <c r="L343" s="386"/>
      <c r="M343" s="386"/>
      <c r="N343" s="386"/>
    </row>
    <row r="344" spans="1:14" s="325" customFormat="1" ht="15" hidden="1" x14ac:dyDescent="0.25">
      <c r="A344" s="387"/>
      <c r="B344" s="388"/>
      <c r="C344" s="389"/>
      <c r="D344" s="389"/>
      <c r="E344" s="389"/>
      <c r="F344" s="389"/>
      <c r="G344" s="389"/>
      <c r="H344" s="389"/>
      <c r="I344" s="389"/>
      <c r="J344" s="386"/>
      <c r="K344" s="386"/>
      <c r="L344" s="386"/>
      <c r="M344" s="386"/>
      <c r="N344" s="386"/>
    </row>
    <row r="345" spans="1:14" s="325" customFormat="1" ht="15" hidden="1" x14ac:dyDescent="0.25">
      <c r="A345" s="387"/>
      <c r="B345" s="388"/>
      <c r="C345" s="389"/>
      <c r="D345" s="389"/>
      <c r="E345" s="389"/>
      <c r="F345" s="389"/>
      <c r="G345" s="389"/>
      <c r="H345" s="389"/>
      <c r="I345" s="389"/>
      <c r="J345" s="386"/>
      <c r="K345" s="386"/>
      <c r="L345" s="386"/>
      <c r="M345" s="386"/>
      <c r="N345" s="386"/>
    </row>
    <row r="346" spans="1:14" s="325" customFormat="1" ht="15" hidden="1" x14ac:dyDescent="0.25">
      <c r="A346" s="387"/>
      <c r="B346" s="388"/>
      <c r="C346" s="389"/>
      <c r="D346" s="389"/>
      <c r="E346" s="389"/>
      <c r="F346" s="389"/>
      <c r="G346" s="389"/>
      <c r="H346" s="389"/>
      <c r="I346" s="389"/>
      <c r="J346" s="386"/>
      <c r="K346" s="386"/>
      <c r="L346" s="386"/>
      <c r="M346" s="386"/>
      <c r="N346" s="386"/>
    </row>
    <row r="347" spans="1:14" s="325" customFormat="1" ht="15" hidden="1" x14ac:dyDescent="0.25">
      <c r="A347" s="387"/>
      <c r="B347" s="388"/>
      <c r="C347" s="389"/>
      <c r="D347" s="389"/>
      <c r="E347" s="389"/>
      <c r="F347" s="389"/>
      <c r="G347" s="389"/>
      <c r="H347" s="389"/>
      <c r="I347" s="389"/>
      <c r="J347" s="386"/>
      <c r="K347" s="386"/>
      <c r="L347" s="386"/>
      <c r="M347" s="386"/>
      <c r="N347" s="386"/>
    </row>
    <row r="348" spans="1:14" s="325" customFormat="1" ht="15" hidden="1" x14ac:dyDescent="0.25">
      <c r="A348" s="387"/>
      <c r="B348" s="388"/>
      <c r="C348" s="389"/>
      <c r="D348" s="389"/>
      <c r="E348" s="389"/>
      <c r="F348" s="389"/>
      <c r="G348" s="389"/>
      <c r="H348" s="389"/>
      <c r="I348" s="389"/>
      <c r="J348" s="386"/>
      <c r="K348" s="386"/>
      <c r="L348" s="386"/>
      <c r="M348" s="386"/>
      <c r="N348" s="386"/>
    </row>
    <row r="349" spans="1:14" s="325" customFormat="1" ht="15" hidden="1" x14ac:dyDescent="0.25">
      <c r="A349" s="387"/>
      <c r="B349" s="388"/>
      <c r="C349" s="389"/>
      <c r="D349" s="389"/>
      <c r="E349" s="389"/>
      <c r="F349" s="389"/>
      <c r="G349" s="389"/>
      <c r="H349" s="389"/>
      <c r="I349" s="389"/>
      <c r="J349" s="386"/>
      <c r="K349" s="386"/>
      <c r="L349" s="386"/>
      <c r="M349" s="386"/>
      <c r="N349" s="386"/>
    </row>
    <row r="350" spans="1:14" s="325" customFormat="1" ht="15" hidden="1" x14ac:dyDescent="0.25">
      <c r="A350" s="387"/>
      <c r="B350" s="388"/>
      <c r="C350" s="389"/>
      <c r="D350" s="389"/>
      <c r="E350" s="389"/>
      <c r="F350" s="389"/>
      <c r="G350" s="389"/>
      <c r="H350" s="389"/>
      <c r="I350" s="389"/>
      <c r="J350" s="386"/>
      <c r="K350" s="386"/>
      <c r="L350" s="386"/>
      <c r="M350" s="386"/>
      <c r="N350" s="386"/>
    </row>
    <row r="351" spans="1:14" s="325" customFormat="1" ht="15" hidden="1" x14ac:dyDescent="0.25">
      <c r="A351" s="387"/>
      <c r="B351" s="388"/>
      <c r="C351" s="389"/>
      <c r="D351" s="389"/>
      <c r="E351" s="389"/>
      <c r="F351" s="389"/>
      <c r="G351" s="389"/>
      <c r="H351" s="389"/>
      <c r="I351" s="389"/>
      <c r="J351" s="386"/>
      <c r="K351" s="386"/>
      <c r="L351" s="386"/>
      <c r="M351" s="386"/>
      <c r="N351" s="386"/>
    </row>
    <row r="352" spans="1:14" s="325" customFormat="1" ht="15" hidden="1" x14ac:dyDescent="0.25">
      <c r="A352" s="387"/>
      <c r="B352" s="388"/>
      <c r="C352" s="389"/>
      <c r="D352" s="389"/>
      <c r="E352" s="389"/>
      <c r="F352" s="389"/>
      <c r="G352" s="389"/>
      <c r="H352" s="389"/>
      <c r="I352" s="389"/>
      <c r="J352" s="386"/>
      <c r="K352" s="386"/>
      <c r="L352" s="386"/>
      <c r="M352" s="386"/>
      <c r="N352" s="386"/>
    </row>
    <row r="353" spans="1:14" s="325" customFormat="1" ht="15" hidden="1" x14ac:dyDescent="0.25">
      <c r="A353" s="387"/>
      <c r="B353" s="388"/>
      <c r="C353" s="389"/>
      <c r="D353" s="389"/>
      <c r="E353" s="389"/>
      <c r="F353" s="389"/>
      <c r="G353" s="389"/>
      <c r="H353" s="389"/>
      <c r="I353" s="389"/>
      <c r="J353" s="386"/>
      <c r="K353" s="386"/>
      <c r="L353" s="386"/>
      <c r="M353" s="386"/>
      <c r="N353" s="386"/>
    </row>
    <row r="354" spans="1:14" s="325" customFormat="1" ht="15" hidden="1" x14ac:dyDescent="0.25">
      <c r="A354" s="387"/>
      <c r="B354" s="388"/>
      <c r="C354" s="389"/>
      <c r="D354" s="389"/>
      <c r="E354" s="389"/>
      <c r="F354" s="389"/>
      <c r="G354" s="389"/>
      <c r="H354" s="389"/>
      <c r="I354" s="389"/>
      <c r="J354" s="386"/>
      <c r="K354" s="386"/>
      <c r="L354" s="386"/>
      <c r="M354" s="386"/>
      <c r="N354" s="386"/>
    </row>
    <row r="355" spans="1:14" s="325" customFormat="1" ht="15" hidden="1" x14ac:dyDescent="0.25">
      <c r="A355" s="387"/>
      <c r="B355" s="388"/>
      <c r="C355" s="389"/>
      <c r="D355" s="389"/>
      <c r="E355" s="389"/>
      <c r="F355" s="389"/>
      <c r="G355" s="389"/>
      <c r="H355" s="389"/>
      <c r="I355" s="389"/>
      <c r="J355" s="386"/>
      <c r="K355" s="386"/>
      <c r="L355" s="386"/>
      <c r="M355" s="386"/>
      <c r="N355" s="386"/>
    </row>
    <row r="356" spans="1:14" s="325" customFormat="1" ht="15" hidden="1" x14ac:dyDescent="0.25">
      <c r="A356" s="387"/>
      <c r="B356" s="388"/>
      <c r="C356" s="389"/>
      <c r="D356" s="389"/>
      <c r="E356" s="389"/>
      <c r="F356" s="389"/>
      <c r="G356" s="389"/>
      <c r="H356" s="389"/>
      <c r="I356" s="389"/>
      <c r="J356" s="386"/>
      <c r="K356" s="386"/>
      <c r="L356" s="386"/>
      <c r="M356" s="386"/>
      <c r="N356" s="386"/>
    </row>
    <row r="357" spans="1:14" s="325" customFormat="1" ht="15" hidden="1" x14ac:dyDescent="0.25">
      <c r="A357" s="387"/>
      <c r="B357" s="388"/>
      <c r="C357" s="389"/>
      <c r="D357" s="389"/>
      <c r="E357" s="389"/>
      <c r="F357" s="389"/>
      <c r="G357" s="389"/>
      <c r="H357" s="389"/>
      <c r="I357" s="389"/>
      <c r="J357" s="386"/>
      <c r="K357" s="386"/>
      <c r="L357" s="386"/>
      <c r="M357" s="386"/>
      <c r="N357" s="386"/>
    </row>
    <row r="358" spans="1:14" s="325" customFormat="1" ht="15" hidden="1" x14ac:dyDescent="0.25">
      <c r="A358" s="387"/>
      <c r="B358" s="388"/>
      <c r="C358" s="389"/>
      <c r="D358" s="389"/>
      <c r="E358" s="389"/>
      <c r="F358" s="389"/>
      <c r="G358" s="389"/>
      <c r="H358" s="389"/>
      <c r="I358" s="389"/>
      <c r="J358" s="386"/>
      <c r="K358" s="386"/>
      <c r="L358" s="386"/>
      <c r="M358" s="386"/>
      <c r="N358" s="386"/>
    </row>
    <row r="359" spans="1:14" s="325" customFormat="1" ht="15" hidden="1" x14ac:dyDescent="0.25">
      <c r="A359" s="387"/>
      <c r="B359" s="388"/>
      <c r="C359" s="389"/>
      <c r="D359" s="389"/>
      <c r="E359" s="389"/>
      <c r="F359" s="389"/>
      <c r="G359" s="389"/>
      <c r="H359" s="389"/>
      <c r="I359" s="389"/>
      <c r="J359" s="386"/>
      <c r="K359" s="386"/>
      <c r="L359" s="386"/>
      <c r="M359" s="386"/>
      <c r="N359" s="386"/>
    </row>
    <row r="360" spans="1:14" s="325" customFormat="1" ht="15" hidden="1" x14ac:dyDescent="0.25">
      <c r="A360" s="387"/>
      <c r="B360" s="388"/>
      <c r="C360" s="389"/>
      <c r="D360" s="389"/>
      <c r="E360" s="389"/>
      <c r="F360" s="389"/>
      <c r="G360" s="389"/>
      <c r="H360" s="389"/>
      <c r="I360" s="389"/>
      <c r="J360" s="386"/>
      <c r="K360" s="386"/>
      <c r="L360" s="386"/>
      <c r="M360" s="386"/>
      <c r="N360" s="386"/>
    </row>
    <row r="361" spans="1:14" s="325" customFormat="1" ht="15" hidden="1" x14ac:dyDescent="0.25">
      <c r="A361" s="387"/>
      <c r="B361" s="388"/>
      <c r="C361" s="389"/>
      <c r="D361" s="389"/>
      <c r="E361" s="389"/>
      <c r="F361" s="389"/>
      <c r="G361" s="389"/>
      <c r="H361" s="389"/>
      <c r="I361" s="389"/>
      <c r="J361" s="386"/>
      <c r="K361" s="386"/>
      <c r="L361" s="386"/>
      <c r="M361" s="386"/>
      <c r="N361" s="386"/>
    </row>
    <row r="362" spans="1:14" s="325" customFormat="1" ht="15" hidden="1" x14ac:dyDescent="0.25">
      <c r="A362" s="387"/>
      <c r="B362" s="388"/>
      <c r="C362" s="389"/>
      <c r="D362" s="389"/>
      <c r="E362" s="389"/>
      <c r="F362" s="389"/>
      <c r="G362" s="389"/>
      <c r="H362" s="389"/>
      <c r="I362" s="389"/>
      <c r="J362" s="386"/>
      <c r="K362" s="386"/>
      <c r="L362" s="386"/>
      <c r="M362" s="386"/>
      <c r="N362" s="386"/>
    </row>
    <row r="363" spans="1:14" s="325" customFormat="1" ht="15" hidden="1" x14ac:dyDescent="0.25">
      <c r="A363" s="387"/>
      <c r="B363" s="388"/>
      <c r="C363" s="389"/>
      <c r="D363" s="389"/>
      <c r="E363" s="389"/>
      <c r="F363" s="389"/>
      <c r="G363" s="389"/>
      <c r="H363" s="389"/>
      <c r="I363" s="389"/>
      <c r="J363" s="386"/>
      <c r="K363" s="386"/>
      <c r="L363" s="386"/>
      <c r="M363" s="386"/>
      <c r="N363" s="386"/>
    </row>
    <row r="364" spans="1:14" s="325" customFormat="1" ht="15" hidden="1" x14ac:dyDescent="0.25">
      <c r="A364" s="387"/>
      <c r="B364" s="388"/>
      <c r="C364" s="389"/>
      <c r="D364" s="389"/>
      <c r="E364" s="389"/>
      <c r="F364" s="389"/>
      <c r="G364" s="389"/>
      <c r="H364" s="389"/>
      <c r="I364" s="389"/>
      <c r="J364" s="386"/>
      <c r="K364" s="386"/>
      <c r="L364" s="386"/>
      <c r="M364" s="386"/>
      <c r="N364" s="386"/>
    </row>
    <row r="365" spans="1:14" s="325" customFormat="1" ht="15" hidden="1" x14ac:dyDescent="0.25">
      <c r="A365" s="387"/>
      <c r="B365" s="388"/>
      <c r="C365" s="389"/>
      <c r="D365" s="389"/>
      <c r="E365" s="389"/>
      <c r="F365" s="389"/>
      <c r="G365" s="389"/>
      <c r="H365" s="389"/>
      <c r="I365" s="389"/>
      <c r="J365" s="386"/>
      <c r="K365" s="386"/>
      <c r="L365" s="386"/>
      <c r="M365" s="386"/>
      <c r="N365" s="386"/>
    </row>
    <row r="366" spans="1:14" s="325" customFormat="1" ht="15" hidden="1" x14ac:dyDescent="0.25">
      <c r="A366" s="387"/>
      <c r="B366" s="388"/>
      <c r="C366" s="389"/>
      <c r="D366" s="389"/>
      <c r="E366" s="389"/>
      <c r="F366" s="389"/>
      <c r="G366" s="389"/>
      <c r="H366" s="389"/>
      <c r="I366" s="389"/>
      <c r="J366" s="386"/>
      <c r="K366" s="386"/>
      <c r="L366" s="386"/>
      <c r="M366" s="386"/>
      <c r="N366" s="386"/>
    </row>
    <row r="367" spans="1:14" s="325" customFormat="1" ht="15" hidden="1" x14ac:dyDescent="0.25">
      <c r="A367" s="387"/>
      <c r="B367" s="388"/>
      <c r="C367" s="389"/>
      <c r="D367" s="389"/>
      <c r="E367" s="389"/>
      <c r="F367" s="389"/>
      <c r="G367" s="389"/>
      <c r="H367" s="389"/>
      <c r="I367" s="389"/>
      <c r="J367" s="386"/>
      <c r="K367" s="386"/>
      <c r="L367" s="386"/>
      <c r="M367" s="386"/>
      <c r="N367" s="386"/>
    </row>
    <row r="368" spans="1:14" s="325" customFormat="1" ht="15" hidden="1" x14ac:dyDescent="0.25">
      <c r="A368" s="387"/>
      <c r="B368" s="388"/>
      <c r="C368" s="389"/>
      <c r="D368" s="389"/>
      <c r="E368" s="389"/>
      <c r="F368" s="389"/>
      <c r="G368" s="389"/>
      <c r="H368" s="389"/>
      <c r="I368" s="389"/>
      <c r="J368" s="386"/>
      <c r="K368" s="386"/>
      <c r="L368" s="386"/>
      <c r="M368" s="386"/>
      <c r="N368" s="386"/>
    </row>
    <row r="369" spans="1:14" s="325" customFormat="1" ht="15" hidden="1" x14ac:dyDescent="0.25">
      <c r="A369" s="387"/>
      <c r="B369" s="388"/>
      <c r="C369" s="389"/>
      <c r="D369" s="389"/>
      <c r="E369" s="389"/>
      <c r="F369" s="389"/>
      <c r="G369" s="389"/>
      <c r="H369" s="389"/>
      <c r="I369" s="389"/>
      <c r="J369" s="386"/>
      <c r="K369" s="386"/>
      <c r="L369" s="386"/>
      <c r="M369" s="386"/>
      <c r="N369" s="386"/>
    </row>
    <row r="370" spans="1:14" s="325" customFormat="1" ht="15" hidden="1" x14ac:dyDescent="0.25">
      <c r="A370" s="387"/>
      <c r="B370" s="388"/>
      <c r="C370" s="389"/>
      <c r="D370" s="389"/>
      <c r="E370" s="389"/>
      <c r="F370" s="389"/>
      <c r="G370" s="389"/>
      <c r="H370" s="389"/>
      <c r="I370" s="389"/>
      <c r="J370" s="386"/>
      <c r="K370" s="386"/>
      <c r="L370" s="386"/>
      <c r="M370" s="386"/>
      <c r="N370" s="386"/>
    </row>
    <row r="371" spans="1:14" s="325" customFormat="1" ht="15" hidden="1" x14ac:dyDescent="0.25">
      <c r="A371" s="387"/>
      <c r="B371" s="388"/>
      <c r="C371" s="389"/>
      <c r="D371" s="389"/>
      <c r="E371" s="389"/>
      <c r="F371" s="389"/>
      <c r="G371" s="389"/>
      <c r="H371" s="389"/>
      <c r="I371" s="389"/>
      <c r="J371" s="386"/>
      <c r="K371" s="386"/>
      <c r="L371" s="386"/>
      <c r="M371" s="386"/>
      <c r="N371" s="386"/>
    </row>
    <row r="372" spans="1:14" s="325" customFormat="1" ht="15" hidden="1" x14ac:dyDescent="0.25">
      <c r="A372" s="387"/>
      <c r="B372" s="388"/>
      <c r="C372" s="389"/>
      <c r="D372" s="389"/>
      <c r="E372" s="389"/>
      <c r="F372" s="389"/>
      <c r="G372" s="389"/>
      <c r="H372" s="389"/>
      <c r="I372" s="389"/>
      <c r="J372" s="386"/>
      <c r="K372" s="386"/>
      <c r="L372" s="386"/>
      <c r="M372" s="386"/>
      <c r="N372" s="386"/>
    </row>
    <row r="373" spans="1:14" s="325" customFormat="1" ht="15" hidden="1" x14ac:dyDescent="0.25">
      <c r="A373" s="387"/>
      <c r="B373" s="388"/>
      <c r="C373" s="389"/>
      <c r="D373" s="389"/>
      <c r="E373" s="389"/>
      <c r="F373" s="389"/>
      <c r="G373" s="389"/>
      <c r="H373" s="389"/>
      <c r="I373" s="389"/>
      <c r="J373" s="386"/>
      <c r="K373" s="386"/>
      <c r="L373" s="386"/>
      <c r="M373" s="386"/>
      <c r="N373" s="386"/>
    </row>
    <row r="374" spans="1:14" s="325" customFormat="1" ht="15" hidden="1" x14ac:dyDescent="0.25">
      <c r="A374" s="387"/>
      <c r="B374" s="388"/>
      <c r="C374" s="389"/>
      <c r="D374" s="389"/>
      <c r="E374" s="389"/>
      <c r="F374" s="389"/>
      <c r="G374" s="389"/>
      <c r="H374" s="389"/>
      <c r="I374" s="389"/>
      <c r="J374" s="386"/>
      <c r="K374" s="386"/>
      <c r="L374" s="386"/>
      <c r="M374" s="386"/>
      <c r="N374" s="386"/>
    </row>
    <row r="375" spans="1:14" s="325" customFormat="1" ht="15" hidden="1" x14ac:dyDescent="0.25">
      <c r="A375" s="387"/>
      <c r="B375" s="388"/>
      <c r="C375" s="389"/>
      <c r="D375" s="389"/>
      <c r="E375" s="389"/>
      <c r="F375" s="389"/>
      <c r="G375" s="389"/>
      <c r="H375" s="389"/>
      <c r="I375" s="389"/>
      <c r="J375" s="386"/>
      <c r="K375" s="386"/>
      <c r="L375" s="386"/>
      <c r="M375" s="386"/>
      <c r="N375" s="386"/>
    </row>
    <row r="376" spans="1:14" s="325" customFormat="1" ht="15" hidden="1" x14ac:dyDescent="0.25">
      <c r="A376" s="387"/>
      <c r="B376" s="388"/>
      <c r="C376" s="389"/>
      <c r="D376" s="389"/>
      <c r="E376" s="389"/>
      <c r="F376" s="389"/>
      <c r="G376" s="389"/>
      <c r="H376" s="389"/>
      <c r="I376" s="389"/>
      <c r="J376" s="386"/>
      <c r="K376" s="386"/>
      <c r="L376" s="386"/>
      <c r="M376" s="386"/>
      <c r="N376" s="386"/>
    </row>
    <row r="377" spans="1:14" s="325" customFormat="1" ht="15" hidden="1" x14ac:dyDescent="0.25">
      <c r="A377" s="387"/>
      <c r="B377" s="388"/>
      <c r="C377" s="389"/>
      <c r="D377" s="389"/>
      <c r="E377" s="389"/>
      <c r="F377" s="389"/>
      <c r="G377" s="389"/>
      <c r="H377" s="389"/>
      <c r="I377" s="389"/>
      <c r="J377" s="386"/>
      <c r="K377" s="386"/>
      <c r="L377" s="386"/>
      <c r="M377" s="386"/>
      <c r="N377" s="386"/>
    </row>
    <row r="378" spans="1:14" s="325" customFormat="1" ht="15" hidden="1" x14ac:dyDescent="0.25">
      <c r="A378" s="387"/>
      <c r="B378" s="388"/>
      <c r="C378" s="389"/>
      <c r="D378" s="389"/>
      <c r="E378" s="389"/>
      <c r="F378" s="389"/>
      <c r="G378" s="389"/>
      <c r="H378" s="389"/>
      <c r="I378" s="389"/>
      <c r="J378" s="386"/>
      <c r="K378" s="386"/>
      <c r="L378" s="386"/>
      <c r="M378" s="386"/>
      <c r="N378" s="386"/>
    </row>
    <row r="379" spans="1:14" s="325" customFormat="1" ht="15" hidden="1" x14ac:dyDescent="0.25">
      <c r="A379" s="387"/>
      <c r="B379" s="388"/>
      <c r="C379" s="389"/>
      <c r="D379" s="389"/>
      <c r="E379" s="389"/>
      <c r="F379" s="389"/>
      <c r="G379" s="389"/>
      <c r="H379" s="389"/>
      <c r="I379" s="389"/>
      <c r="J379" s="386"/>
      <c r="K379" s="386"/>
      <c r="L379" s="386"/>
      <c r="M379" s="386"/>
      <c r="N379" s="386"/>
    </row>
    <row r="380" spans="1:14" s="325" customFormat="1" ht="15" hidden="1" x14ac:dyDescent="0.25">
      <c r="A380" s="387"/>
      <c r="B380" s="388"/>
      <c r="C380" s="389"/>
      <c r="D380" s="389"/>
      <c r="E380" s="389"/>
      <c r="F380" s="389"/>
      <c r="G380" s="389"/>
      <c r="H380" s="389"/>
      <c r="I380" s="389"/>
      <c r="J380" s="386"/>
      <c r="K380" s="386"/>
      <c r="L380" s="386"/>
      <c r="M380" s="386"/>
      <c r="N380" s="386"/>
    </row>
    <row r="381" spans="1:14" s="325" customFormat="1" ht="15" hidden="1" x14ac:dyDescent="0.25">
      <c r="A381" s="387"/>
      <c r="B381" s="388"/>
      <c r="C381" s="389"/>
      <c r="D381" s="389"/>
      <c r="E381" s="389"/>
      <c r="F381" s="389"/>
      <c r="G381" s="389"/>
      <c r="H381" s="389"/>
      <c r="I381" s="389"/>
      <c r="J381" s="386"/>
      <c r="K381" s="386"/>
      <c r="L381" s="386"/>
      <c r="M381" s="386"/>
      <c r="N381" s="386"/>
    </row>
    <row r="382" spans="1:14" s="325" customFormat="1" ht="15" hidden="1" x14ac:dyDescent="0.25">
      <c r="A382" s="387"/>
      <c r="B382" s="388"/>
      <c r="C382" s="389"/>
      <c r="D382" s="389"/>
      <c r="E382" s="389"/>
      <c r="F382" s="389"/>
      <c r="G382" s="389"/>
      <c r="H382" s="389"/>
      <c r="I382" s="389"/>
      <c r="J382" s="386"/>
      <c r="K382" s="386"/>
      <c r="L382" s="386"/>
      <c r="M382" s="386"/>
      <c r="N382" s="386"/>
    </row>
    <row r="383" spans="1:14" s="325" customFormat="1" ht="15" hidden="1" x14ac:dyDescent="0.25">
      <c r="A383" s="387"/>
      <c r="B383" s="388"/>
      <c r="C383" s="389"/>
      <c r="D383" s="389"/>
      <c r="E383" s="389"/>
      <c r="F383" s="389"/>
      <c r="G383" s="389"/>
      <c r="H383" s="389"/>
      <c r="I383" s="389"/>
      <c r="J383" s="386"/>
      <c r="K383" s="386"/>
      <c r="L383" s="386"/>
      <c r="M383" s="386"/>
      <c r="N383" s="386"/>
    </row>
    <row r="384" spans="1:14" s="325" customFormat="1" ht="15" hidden="1" x14ac:dyDescent="0.25">
      <c r="A384" s="387"/>
      <c r="B384" s="388"/>
      <c r="C384" s="389"/>
      <c r="D384" s="389"/>
      <c r="E384" s="389"/>
      <c r="F384" s="389"/>
      <c r="G384" s="389"/>
      <c r="H384" s="389"/>
      <c r="I384" s="389"/>
      <c r="J384" s="386"/>
      <c r="K384" s="386"/>
      <c r="L384" s="386"/>
      <c r="M384" s="386"/>
      <c r="N384" s="386"/>
    </row>
    <row r="385" spans="1:14" s="325" customFormat="1" ht="15" hidden="1" x14ac:dyDescent="0.25">
      <c r="A385" s="387"/>
      <c r="B385" s="388"/>
      <c r="C385" s="389"/>
      <c r="D385" s="389"/>
      <c r="E385" s="389"/>
      <c r="F385" s="389"/>
      <c r="G385" s="389"/>
      <c r="H385" s="389"/>
      <c r="I385" s="389"/>
      <c r="J385" s="386"/>
      <c r="K385" s="386"/>
      <c r="L385" s="386"/>
      <c r="M385" s="386"/>
      <c r="N385" s="386"/>
    </row>
    <row r="386" spans="1:14" s="325" customFormat="1" ht="15" hidden="1" x14ac:dyDescent="0.25">
      <c r="A386" s="387"/>
      <c r="B386" s="388"/>
      <c r="C386" s="389"/>
      <c r="D386" s="389"/>
      <c r="E386" s="389"/>
      <c r="F386" s="389"/>
      <c r="G386" s="389"/>
      <c r="H386" s="389"/>
      <c r="I386" s="389"/>
      <c r="J386" s="386"/>
      <c r="K386" s="386"/>
      <c r="L386" s="386"/>
      <c r="M386" s="386"/>
      <c r="N386" s="386"/>
    </row>
    <row r="387" spans="1:14" s="325" customFormat="1" ht="15" hidden="1" x14ac:dyDescent="0.25">
      <c r="A387" s="387"/>
      <c r="B387" s="388"/>
      <c r="C387" s="389"/>
      <c r="D387" s="389"/>
      <c r="E387" s="389"/>
      <c r="F387" s="389"/>
      <c r="G387" s="389"/>
      <c r="H387" s="389"/>
      <c r="I387" s="389"/>
      <c r="J387" s="386"/>
      <c r="K387" s="386"/>
      <c r="L387" s="386"/>
      <c r="M387" s="386"/>
      <c r="N387" s="386"/>
    </row>
    <row r="388" spans="1:14" s="325" customFormat="1" ht="15" hidden="1" x14ac:dyDescent="0.25">
      <c r="A388" s="387"/>
      <c r="B388" s="388"/>
      <c r="C388" s="389"/>
      <c r="D388" s="389"/>
      <c r="E388" s="389"/>
      <c r="F388" s="389"/>
      <c r="G388" s="389"/>
      <c r="H388" s="389"/>
      <c r="I388" s="389"/>
      <c r="J388" s="386"/>
      <c r="K388" s="386"/>
      <c r="L388" s="386"/>
      <c r="M388" s="386"/>
      <c r="N388" s="386"/>
    </row>
    <row r="389" spans="1:14" s="325" customFormat="1" ht="15" hidden="1" x14ac:dyDescent="0.25">
      <c r="A389" s="387"/>
      <c r="B389" s="388"/>
      <c r="C389" s="389"/>
      <c r="D389" s="389"/>
      <c r="E389" s="389"/>
      <c r="F389" s="389"/>
      <c r="G389" s="389"/>
      <c r="H389" s="389"/>
      <c r="I389" s="389"/>
      <c r="J389" s="386"/>
      <c r="K389" s="386"/>
      <c r="L389" s="386"/>
      <c r="M389" s="386"/>
      <c r="N389" s="386"/>
    </row>
    <row r="390" spans="1:14" s="325" customFormat="1" ht="15" hidden="1" x14ac:dyDescent="0.25">
      <c r="A390" s="387"/>
      <c r="B390" s="388"/>
      <c r="C390" s="389"/>
      <c r="D390" s="389"/>
      <c r="E390" s="389"/>
      <c r="F390" s="389"/>
      <c r="G390" s="389"/>
      <c r="H390" s="389"/>
      <c r="I390" s="389"/>
      <c r="J390" s="386"/>
      <c r="K390" s="386"/>
      <c r="L390" s="386"/>
      <c r="M390" s="386"/>
      <c r="N390" s="386"/>
    </row>
    <row r="391" spans="1:14" s="325" customFormat="1" ht="15" hidden="1" x14ac:dyDescent="0.25">
      <c r="A391" s="387"/>
      <c r="B391" s="388"/>
      <c r="C391" s="389"/>
      <c r="D391" s="389"/>
      <c r="E391" s="389"/>
      <c r="F391" s="389"/>
      <c r="G391" s="389"/>
      <c r="H391" s="389"/>
      <c r="I391" s="389"/>
      <c r="J391" s="386"/>
      <c r="K391" s="386"/>
      <c r="L391" s="386"/>
      <c r="M391" s="386"/>
      <c r="N391" s="386"/>
    </row>
    <row r="392" spans="1:14" s="325" customFormat="1" ht="15" hidden="1" x14ac:dyDescent="0.25">
      <c r="A392" s="387"/>
      <c r="B392" s="388"/>
      <c r="C392" s="389"/>
      <c r="D392" s="389"/>
      <c r="E392" s="389"/>
      <c r="F392" s="389"/>
      <c r="G392" s="389"/>
      <c r="H392" s="389"/>
      <c r="I392" s="389"/>
      <c r="J392" s="386"/>
      <c r="K392" s="386"/>
      <c r="L392" s="386"/>
      <c r="M392" s="386"/>
      <c r="N392" s="386"/>
    </row>
    <row r="393" spans="1:14" s="325" customFormat="1" ht="15" hidden="1" x14ac:dyDescent="0.25">
      <c r="A393" s="387"/>
      <c r="B393" s="388"/>
      <c r="C393" s="389"/>
      <c r="D393" s="389"/>
      <c r="E393" s="389"/>
      <c r="F393" s="389"/>
      <c r="G393" s="389"/>
      <c r="H393" s="389"/>
      <c r="I393" s="389"/>
      <c r="J393" s="386"/>
      <c r="K393" s="386"/>
      <c r="L393" s="386"/>
      <c r="M393" s="386"/>
      <c r="N393" s="386"/>
    </row>
    <row r="394" spans="1:14" s="325" customFormat="1" ht="15" hidden="1" x14ac:dyDescent="0.25">
      <c r="A394" s="387"/>
      <c r="B394" s="388"/>
      <c r="C394" s="389"/>
      <c r="D394" s="389"/>
      <c r="E394" s="389"/>
      <c r="F394" s="389"/>
      <c r="G394" s="389"/>
      <c r="H394" s="389"/>
      <c r="I394" s="389"/>
      <c r="J394" s="386"/>
      <c r="K394" s="386"/>
      <c r="L394" s="386"/>
      <c r="M394" s="386"/>
      <c r="N394" s="386"/>
    </row>
    <row r="395" spans="1:14" s="325" customFormat="1" ht="15" hidden="1" x14ac:dyDescent="0.25">
      <c r="A395" s="387"/>
      <c r="B395" s="388"/>
      <c r="C395" s="389"/>
      <c r="D395" s="389"/>
      <c r="E395" s="389"/>
      <c r="F395" s="389"/>
      <c r="G395" s="389"/>
      <c r="H395" s="389"/>
      <c r="I395" s="389"/>
      <c r="J395" s="386"/>
      <c r="K395" s="386"/>
      <c r="L395" s="386"/>
      <c r="M395" s="386"/>
      <c r="N395" s="386"/>
    </row>
    <row r="396" spans="1:14" s="325" customFormat="1" ht="15" hidden="1" x14ac:dyDescent="0.25">
      <c r="A396" s="387"/>
      <c r="B396" s="388"/>
      <c r="C396" s="389"/>
      <c r="D396" s="389"/>
      <c r="E396" s="389"/>
      <c r="F396" s="389"/>
      <c r="G396" s="389"/>
      <c r="H396" s="389"/>
      <c r="I396" s="389"/>
      <c r="J396" s="386"/>
      <c r="K396" s="386"/>
      <c r="L396" s="386"/>
      <c r="M396" s="386"/>
      <c r="N396" s="386"/>
    </row>
    <row r="397" spans="1:14" s="325" customFormat="1" ht="15" hidden="1" x14ac:dyDescent="0.25">
      <c r="A397" s="387"/>
      <c r="B397" s="388"/>
      <c r="C397" s="389"/>
      <c r="D397" s="389"/>
      <c r="E397" s="389"/>
      <c r="F397" s="389"/>
      <c r="G397" s="389"/>
      <c r="H397" s="389"/>
      <c r="I397" s="389"/>
      <c r="J397" s="386"/>
      <c r="K397" s="386"/>
      <c r="L397" s="386"/>
      <c r="M397" s="386"/>
      <c r="N397" s="386"/>
    </row>
    <row r="398" spans="1:14" s="325" customFormat="1" ht="15" hidden="1" x14ac:dyDescent="0.25">
      <c r="A398" s="387"/>
      <c r="B398" s="388"/>
      <c r="C398" s="389"/>
      <c r="D398" s="389"/>
      <c r="E398" s="389"/>
      <c r="F398" s="389"/>
      <c r="G398" s="389"/>
      <c r="H398" s="389"/>
      <c r="I398" s="389"/>
      <c r="J398" s="386"/>
      <c r="K398" s="386"/>
      <c r="L398" s="386"/>
      <c r="M398" s="386"/>
      <c r="N398" s="386"/>
    </row>
    <row r="399" spans="1:14" s="325" customFormat="1" ht="15" hidden="1" x14ac:dyDescent="0.25">
      <c r="A399" s="387"/>
      <c r="B399" s="388"/>
      <c r="C399" s="389"/>
      <c r="D399" s="389"/>
      <c r="E399" s="389"/>
      <c r="F399" s="389"/>
      <c r="G399" s="389"/>
      <c r="H399" s="389"/>
      <c r="I399" s="389"/>
      <c r="J399" s="386"/>
      <c r="K399" s="386"/>
      <c r="L399" s="386"/>
      <c r="M399" s="386"/>
      <c r="N399" s="386"/>
    </row>
    <row r="400" spans="1:14" s="325" customFormat="1" ht="15" hidden="1" x14ac:dyDescent="0.25">
      <c r="A400" s="387"/>
      <c r="B400" s="388"/>
      <c r="C400" s="389"/>
      <c r="D400" s="389"/>
      <c r="E400" s="389"/>
      <c r="F400" s="389"/>
      <c r="G400" s="389"/>
      <c r="H400" s="389"/>
      <c r="I400" s="389"/>
      <c r="J400" s="386"/>
      <c r="K400" s="386"/>
      <c r="L400" s="386"/>
      <c r="M400" s="386"/>
      <c r="N400" s="386"/>
    </row>
    <row r="401" spans="1:14" s="325" customFormat="1" ht="15" hidden="1" x14ac:dyDescent="0.25">
      <c r="A401" s="387"/>
      <c r="B401" s="388"/>
      <c r="C401" s="389"/>
      <c r="D401" s="389"/>
      <c r="E401" s="389"/>
      <c r="F401" s="389"/>
      <c r="G401" s="389"/>
      <c r="H401" s="389"/>
      <c r="I401" s="389"/>
      <c r="J401" s="386"/>
      <c r="K401" s="386"/>
      <c r="L401" s="386"/>
      <c r="M401" s="386"/>
      <c r="N401" s="386"/>
    </row>
    <row r="402" spans="1:14" s="325" customFormat="1" ht="15" hidden="1" x14ac:dyDescent="0.25">
      <c r="A402" s="387"/>
      <c r="B402" s="388"/>
      <c r="C402" s="389"/>
      <c r="D402" s="389"/>
      <c r="E402" s="389"/>
      <c r="F402" s="389"/>
      <c r="G402" s="389"/>
      <c r="H402" s="389"/>
      <c r="I402" s="389"/>
      <c r="J402" s="386"/>
      <c r="K402" s="386"/>
      <c r="L402" s="386"/>
      <c r="M402" s="386"/>
      <c r="N402" s="386"/>
    </row>
    <row r="403" spans="1:14" s="325" customFormat="1" ht="15" hidden="1" x14ac:dyDescent="0.25">
      <c r="A403" s="387"/>
      <c r="B403" s="388"/>
      <c r="C403" s="389"/>
      <c r="D403" s="389"/>
      <c r="E403" s="389"/>
      <c r="F403" s="389"/>
      <c r="G403" s="389"/>
      <c r="H403" s="389"/>
      <c r="I403" s="389"/>
      <c r="J403" s="386"/>
      <c r="K403" s="386"/>
      <c r="L403" s="386"/>
      <c r="M403" s="386"/>
      <c r="N403" s="386"/>
    </row>
    <row r="404" spans="1:14" s="325" customFormat="1" ht="15" hidden="1" x14ac:dyDescent="0.25">
      <c r="A404" s="387"/>
      <c r="B404" s="388"/>
      <c r="C404" s="389"/>
      <c r="D404" s="389"/>
      <c r="E404" s="389"/>
      <c r="F404" s="389"/>
      <c r="G404" s="389"/>
      <c r="H404" s="389"/>
      <c r="I404" s="389"/>
      <c r="J404" s="386"/>
      <c r="K404" s="386"/>
      <c r="L404" s="386"/>
      <c r="M404" s="386"/>
      <c r="N404" s="386"/>
    </row>
    <row r="405" spans="1:14" s="325" customFormat="1" ht="15" hidden="1" x14ac:dyDescent="0.25">
      <c r="A405" s="387"/>
      <c r="B405" s="388"/>
      <c r="C405" s="389"/>
      <c r="D405" s="389"/>
      <c r="E405" s="389"/>
      <c r="F405" s="389"/>
      <c r="G405" s="389"/>
      <c r="H405" s="389"/>
      <c r="I405" s="389"/>
      <c r="J405" s="386"/>
      <c r="K405" s="386"/>
      <c r="L405" s="386"/>
      <c r="M405" s="386"/>
      <c r="N405" s="386"/>
    </row>
    <row r="406" spans="1:14" s="325" customFormat="1" ht="15" hidden="1" x14ac:dyDescent="0.25">
      <c r="A406" s="387"/>
      <c r="B406" s="388"/>
      <c r="C406" s="389"/>
      <c r="D406" s="389"/>
      <c r="E406" s="389"/>
      <c r="F406" s="389"/>
      <c r="G406" s="389"/>
      <c r="H406" s="389"/>
      <c r="I406" s="389"/>
      <c r="J406" s="386"/>
      <c r="K406" s="386"/>
      <c r="L406" s="386"/>
      <c r="M406" s="386"/>
      <c r="N406" s="386"/>
    </row>
    <row r="407" spans="1:14" s="325" customFormat="1" ht="15" hidden="1" x14ac:dyDescent="0.25">
      <c r="A407" s="387"/>
      <c r="B407" s="388"/>
      <c r="C407" s="389"/>
      <c r="D407" s="389"/>
      <c r="E407" s="389"/>
      <c r="F407" s="389"/>
      <c r="G407" s="389"/>
      <c r="H407" s="389"/>
      <c r="I407" s="389"/>
      <c r="J407" s="386"/>
      <c r="K407" s="386"/>
      <c r="L407" s="386"/>
      <c r="M407" s="386"/>
      <c r="N407" s="386"/>
    </row>
    <row r="408" spans="1:14" s="325" customFormat="1" ht="15" hidden="1" x14ac:dyDescent="0.25">
      <c r="A408" s="387"/>
      <c r="B408" s="388"/>
      <c r="C408" s="389"/>
      <c r="D408" s="389"/>
      <c r="E408" s="389"/>
      <c r="F408" s="389"/>
      <c r="G408" s="389"/>
      <c r="H408" s="389"/>
      <c r="I408" s="389"/>
      <c r="J408" s="386"/>
      <c r="K408" s="386"/>
      <c r="L408" s="386"/>
      <c r="M408" s="386"/>
      <c r="N408" s="386"/>
    </row>
    <row r="409" spans="1:14" s="325" customFormat="1" ht="15" hidden="1" x14ac:dyDescent="0.25">
      <c r="A409" s="387"/>
      <c r="B409" s="388"/>
      <c r="C409" s="389"/>
      <c r="D409" s="389"/>
      <c r="E409" s="389"/>
      <c r="F409" s="389"/>
      <c r="G409" s="389"/>
      <c r="H409" s="389"/>
      <c r="I409" s="389"/>
      <c r="J409" s="386"/>
      <c r="K409" s="386"/>
      <c r="L409" s="386"/>
      <c r="M409" s="386"/>
      <c r="N409" s="386"/>
    </row>
    <row r="410" spans="1:14" s="325" customFormat="1" ht="15" hidden="1" x14ac:dyDescent="0.25">
      <c r="A410" s="387"/>
      <c r="B410" s="388"/>
      <c r="C410" s="389"/>
      <c r="D410" s="389"/>
      <c r="E410" s="389"/>
      <c r="F410" s="389"/>
      <c r="G410" s="389"/>
      <c r="H410" s="389"/>
      <c r="I410" s="389"/>
      <c r="J410" s="386"/>
      <c r="K410" s="386"/>
      <c r="L410" s="386"/>
      <c r="M410" s="386"/>
      <c r="N410" s="386"/>
    </row>
    <row r="411" spans="1:14" s="325" customFormat="1" ht="15" hidden="1" x14ac:dyDescent="0.25">
      <c r="A411" s="387"/>
      <c r="B411" s="388"/>
      <c r="C411" s="389"/>
      <c r="D411" s="389"/>
      <c r="E411" s="389"/>
      <c r="F411" s="389"/>
      <c r="G411" s="389"/>
      <c r="H411" s="389"/>
      <c r="I411" s="389"/>
      <c r="J411" s="386"/>
      <c r="K411" s="386"/>
      <c r="L411" s="386"/>
      <c r="M411" s="386"/>
      <c r="N411" s="386"/>
    </row>
    <row r="412" spans="1:14" s="325" customFormat="1" ht="15" hidden="1" x14ac:dyDescent="0.25">
      <c r="A412" s="387"/>
      <c r="B412" s="388"/>
      <c r="C412" s="389"/>
      <c r="D412" s="389"/>
      <c r="E412" s="389"/>
      <c r="F412" s="389"/>
      <c r="G412" s="389"/>
      <c r="H412" s="389"/>
      <c r="I412" s="389"/>
      <c r="J412" s="386"/>
      <c r="K412" s="386"/>
      <c r="L412" s="386"/>
      <c r="M412" s="386"/>
      <c r="N412" s="386"/>
    </row>
    <row r="413" spans="1:14" s="325" customFormat="1" ht="15" hidden="1" x14ac:dyDescent="0.25">
      <c r="A413" s="387"/>
      <c r="B413" s="388"/>
      <c r="C413" s="389"/>
      <c r="D413" s="389"/>
      <c r="E413" s="389"/>
      <c r="F413" s="389"/>
      <c r="G413" s="389"/>
      <c r="H413" s="389"/>
      <c r="I413" s="389"/>
      <c r="J413" s="386"/>
      <c r="K413" s="386"/>
      <c r="L413" s="386"/>
      <c r="M413" s="386"/>
      <c r="N413" s="386"/>
    </row>
    <row r="414" spans="1:14" s="325" customFormat="1" ht="15" hidden="1" x14ac:dyDescent="0.25">
      <c r="A414" s="387"/>
      <c r="B414" s="388"/>
      <c r="C414" s="389"/>
      <c r="D414" s="389"/>
      <c r="E414" s="389"/>
      <c r="F414" s="389"/>
      <c r="G414" s="389"/>
      <c r="H414" s="389"/>
      <c r="I414" s="389"/>
      <c r="J414" s="386"/>
      <c r="K414" s="386"/>
      <c r="L414" s="386"/>
      <c r="M414" s="386"/>
      <c r="N414" s="386"/>
    </row>
    <row r="415" spans="1:14" s="325" customFormat="1" ht="15" hidden="1" x14ac:dyDescent="0.25">
      <c r="A415" s="387"/>
      <c r="B415" s="388"/>
      <c r="C415" s="389"/>
      <c r="D415" s="389"/>
      <c r="E415" s="389"/>
      <c r="F415" s="389"/>
      <c r="G415" s="389"/>
      <c r="H415" s="389"/>
      <c r="I415" s="389"/>
      <c r="J415" s="386"/>
      <c r="K415" s="386"/>
      <c r="L415" s="386"/>
      <c r="M415" s="386"/>
      <c r="N415" s="386"/>
    </row>
    <row r="416" spans="1:14" s="325" customFormat="1" ht="15" hidden="1" x14ac:dyDescent="0.25">
      <c r="A416" s="387"/>
      <c r="B416" s="388"/>
      <c r="C416" s="389"/>
      <c r="D416" s="389"/>
      <c r="E416" s="389"/>
      <c r="F416" s="389"/>
      <c r="G416" s="389"/>
      <c r="H416" s="389"/>
      <c r="I416" s="389"/>
      <c r="J416" s="386"/>
      <c r="K416" s="386"/>
      <c r="L416" s="386"/>
      <c r="M416" s="386"/>
      <c r="N416" s="386"/>
    </row>
    <row r="417" spans="1:14" s="325" customFormat="1" ht="15" hidden="1" x14ac:dyDescent="0.25">
      <c r="A417" s="387"/>
      <c r="B417" s="388"/>
      <c r="C417" s="389"/>
      <c r="D417" s="389"/>
      <c r="E417" s="389"/>
      <c r="F417" s="389"/>
      <c r="G417" s="389"/>
      <c r="H417" s="389"/>
      <c r="I417" s="389"/>
      <c r="J417" s="386"/>
      <c r="K417" s="386"/>
      <c r="L417" s="386"/>
      <c r="M417" s="386"/>
      <c r="N417" s="386"/>
    </row>
    <row r="418" spans="1:14" s="325" customFormat="1" ht="15" hidden="1" x14ac:dyDescent="0.25">
      <c r="A418" s="387"/>
      <c r="B418" s="388"/>
      <c r="C418" s="389"/>
      <c r="D418" s="389"/>
      <c r="E418" s="389"/>
      <c r="F418" s="389"/>
      <c r="G418" s="389"/>
      <c r="H418" s="389"/>
      <c r="I418" s="389"/>
      <c r="J418" s="386"/>
      <c r="K418" s="386"/>
      <c r="L418" s="386"/>
      <c r="M418" s="386"/>
      <c r="N418" s="386"/>
    </row>
    <row r="419" spans="1:14" s="325" customFormat="1" ht="15" hidden="1" x14ac:dyDescent="0.25">
      <c r="A419" s="387"/>
      <c r="B419" s="388"/>
      <c r="C419" s="389"/>
      <c r="D419" s="389"/>
      <c r="E419" s="389"/>
      <c r="F419" s="389"/>
      <c r="G419" s="389"/>
      <c r="H419" s="389"/>
      <c r="I419" s="389"/>
      <c r="J419" s="386"/>
      <c r="K419" s="386"/>
      <c r="L419" s="386"/>
      <c r="M419" s="386"/>
      <c r="N419" s="386"/>
    </row>
    <row r="420" spans="1:14" s="325" customFormat="1" ht="15" hidden="1" x14ac:dyDescent="0.25">
      <c r="A420" s="387"/>
      <c r="B420" s="388"/>
      <c r="C420" s="389"/>
      <c r="D420" s="389"/>
      <c r="E420" s="389"/>
      <c r="F420" s="389"/>
      <c r="G420" s="389"/>
      <c r="H420" s="389"/>
      <c r="I420" s="389"/>
      <c r="J420" s="386"/>
      <c r="K420" s="386"/>
      <c r="L420" s="386"/>
      <c r="M420" s="386"/>
      <c r="N420" s="386"/>
    </row>
    <row r="421" spans="1:14" s="325" customFormat="1" ht="15" hidden="1" x14ac:dyDescent="0.25">
      <c r="A421" s="387"/>
      <c r="B421" s="388"/>
      <c r="C421" s="389"/>
      <c r="D421" s="389"/>
      <c r="E421" s="389"/>
      <c r="F421" s="389"/>
      <c r="G421" s="389"/>
      <c r="H421" s="389"/>
      <c r="I421" s="389"/>
      <c r="J421" s="386"/>
      <c r="K421" s="386"/>
      <c r="L421" s="386"/>
      <c r="M421" s="386"/>
      <c r="N421" s="386"/>
    </row>
    <row r="422" spans="1:14" s="325" customFormat="1" ht="15" hidden="1" x14ac:dyDescent="0.25">
      <c r="A422" s="387"/>
      <c r="B422" s="388"/>
      <c r="C422" s="389"/>
      <c r="D422" s="389"/>
      <c r="E422" s="389"/>
      <c r="F422" s="389"/>
      <c r="G422" s="389"/>
      <c r="H422" s="389"/>
      <c r="I422" s="389"/>
      <c r="J422" s="386"/>
      <c r="K422" s="386"/>
      <c r="L422" s="386"/>
      <c r="M422" s="386"/>
      <c r="N422" s="386"/>
    </row>
    <row r="423" spans="1:14" s="325" customFormat="1" ht="15" hidden="1" x14ac:dyDescent="0.25">
      <c r="A423" s="387"/>
      <c r="B423" s="388"/>
      <c r="C423" s="389"/>
      <c r="D423" s="389"/>
      <c r="E423" s="389"/>
      <c r="F423" s="389"/>
      <c r="G423" s="389"/>
      <c r="H423" s="389"/>
      <c r="I423" s="389"/>
      <c r="J423" s="386"/>
      <c r="K423" s="386"/>
      <c r="L423" s="386"/>
      <c r="M423" s="386"/>
      <c r="N423" s="386"/>
    </row>
    <row r="424" spans="1:14" s="325" customFormat="1" ht="15" hidden="1" x14ac:dyDescent="0.25">
      <c r="A424" s="387"/>
      <c r="B424" s="388"/>
      <c r="C424" s="389"/>
      <c r="D424" s="389"/>
      <c r="E424" s="389"/>
      <c r="F424" s="389"/>
      <c r="G424" s="389"/>
      <c r="H424" s="389"/>
      <c r="I424" s="389"/>
      <c r="J424" s="386"/>
      <c r="K424" s="386"/>
      <c r="L424" s="386"/>
      <c r="M424" s="386"/>
      <c r="N424" s="386"/>
    </row>
    <row r="425" spans="1:14" s="325" customFormat="1" ht="15" hidden="1" x14ac:dyDescent="0.25">
      <c r="A425" s="387"/>
      <c r="B425" s="388"/>
      <c r="C425" s="389"/>
      <c r="D425" s="389"/>
      <c r="E425" s="389"/>
      <c r="F425" s="389"/>
      <c r="G425" s="389"/>
      <c r="H425" s="389"/>
      <c r="I425" s="389"/>
      <c r="J425" s="386"/>
      <c r="K425" s="386"/>
      <c r="L425" s="386"/>
      <c r="M425" s="386"/>
      <c r="N425" s="386"/>
    </row>
    <row r="426" spans="1:14" s="325" customFormat="1" ht="15" hidden="1" x14ac:dyDescent="0.25">
      <c r="A426" s="387"/>
      <c r="B426" s="388"/>
      <c r="C426" s="389"/>
      <c r="D426" s="389"/>
      <c r="E426" s="389"/>
      <c r="F426" s="389"/>
      <c r="G426" s="389"/>
      <c r="H426" s="389"/>
      <c r="I426" s="389"/>
      <c r="J426" s="386"/>
      <c r="K426" s="386"/>
      <c r="L426" s="386"/>
      <c r="M426" s="386"/>
      <c r="N426" s="386"/>
    </row>
    <row r="427" spans="1:14" s="325" customFormat="1" ht="15" hidden="1" x14ac:dyDescent="0.25">
      <c r="A427" s="387"/>
      <c r="B427" s="388"/>
      <c r="C427" s="389"/>
      <c r="D427" s="389"/>
      <c r="E427" s="389"/>
      <c r="F427" s="389"/>
      <c r="G427" s="389"/>
      <c r="H427" s="389"/>
      <c r="I427" s="389"/>
      <c r="J427" s="386"/>
      <c r="K427" s="386"/>
      <c r="L427" s="386"/>
      <c r="M427" s="386"/>
      <c r="N427" s="386"/>
    </row>
    <row r="428" spans="1:14" s="325" customFormat="1" ht="15" hidden="1" x14ac:dyDescent="0.25">
      <c r="A428" s="387"/>
      <c r="B428" s="388"/>
      <c r="C428" s="389"/>
      <c r="D428" s="389"/>
      <c r="E428" s="389"/>
      <c r="F428" s="389"/>
      <c r="G428" s="389"/>
      <c r="H428" s="389"/>
      <c r="I428" s="389"/>
      <c r="J428" s="386"/>
      <c r="K428" s="386"/>
      <c r="L428" s="386"/>
      <c r="M428" s="386"/>
      <c r="N428" s="386"/>
    </row>
    <row r="429" spans="1:14" s="325" customFormat="1" ht="15" hidden="1" x14ac:dyDescent="0.25">
      <c r="A429" s="387"/>
      <c r="B429" s="388"/>
      <c r="C429" s="389"/>
      <c r="D429" s="389"/>
      <c r="E429" s="389"/>
      <c r="F429" s="389"/>
      <c r="G429" s="389"/>
      <c r="H429" s="389"/>
      <c r="I429" s="389"/>
      <c r="J429" s="386"/>
      <c r="K429" s="386"/>
      <c r="L429" s="386"/>
      <c r="M429" s="386"/>
      <c r="N429" s="386"/>
    </row>
    <row r="430" spans="1:14" s="325" customFormat="1" ht="15" hidden="1" x14ac:dyDescent="0.25">
      <c r="A430" s="387"/>
      <c r="B430" s="388"/>
      <c r="C430" s="389"/>
      <c r="D430" s="389"/>
      <c r="E430" s="389"/>
      <c r="F430" s="389"/>
      <c r="G430" s="389"/>
      <c r="H430" s="389"/>
      <c r="I430" s="389"/>
      <c r="J430" s="386"/>
      <c r="K430" s="386"/>
      <c r="L430" s="386"/>
      <c r="M430" s="386"/>
      <c r="N430" s="386"/>
    </row>
    <row r="431" spans="1:14" s="325" customFormat="1" ht="15" hidden="1" x14ac:dyDescent="0.25">
      <c r="A431" s="387"/>
      <c r="B431" s="388"/>
      <c r="C431" s="389"/>
      <c r="D431" s="389"/>
      <c r="E431" s="389"/>
      <c r="F431" s="389"/>
      <c r="G431" s="389"/>
      <c r="H431" s="389"/>
      <c r="I431" s="389"/>
      <c r="J431" s="386"/>
      <c r="K431" s="386"/>
      <c r="L431" s="386"/>
      <c r="M431" s="386"/>
      <c r="N431" s="386"/>
    </row>
    <row r="432" spans="1:14" s="325" customFormat="1" ht="15" hidden="1" x14ac:dyDescent="0.25">
      <c r="A432" s="387"/>
      <c r="B432" s="388"/>
      <c r="C432" s="389"/>
      <c r="D432" s="389"/>
      <c r="E432" s="389"/>
      <c r="F432" s="389"/>
      <c r="G432" s="389"/>
      <c r="H432" s="389"/>
      <c r="I432" s="389"/>
      <c r="J432" s="386"/>
      <c r="K432" s="386"/>
      <c r="L432" s="386"/>
      <c r="M432" s="386"/>
      <c r="N432" s="386"/>
    </row>
    <row r="433" spans="1:14" s="325" customFormat="1" ht="15" hidden="1" x14ac:dyDescent="0.25">
      <c r="A433" s="387"/>
      <c r="B433" s="388"/>
      <c r="C433" s="389"/>
      <c r="D433" s="389"/>
      <c r="E433" s="389"/>
      <c r="F433" s="389"/>
      <c r="G433" s="389"/>
      <c r="H433" s="389"/>
      <c r="I433" s="389"/>
      <c r="J433" s="386"/>
      <c r="K433" s="386"/>
      <c r="L433" s="386"/>
      <c r="M433" s="386"/>
      <c r="N433" s="386"/>
    </row>
    <row r="434" spans="1:14" s="325" customFormat="1" ht="15" hidden="1" x14ac:dyDescent="0.25">
      <c r="A434" s="387"/>
      <c r="B434" s="388"/>
      <c r="C434" s="389"/>
      <c r="D434" s="389"/>
      <c r="E434" s="389"/>
      <c r="F434" s="389"/>
      <c r="G434" s="389"/>
      <c r="H434" s="389"/>
      <c r="I434" s="389"/>
      <c r="J434" s="386"/>
      <c r="K434" s="386"/>
      <c r="L434" s="386"/>
      <c r="M434" s="386"/>
      <c r="N434" s="386"/>
    </row>
    <row r="435" spans="1:14" s="325" customFormat="1" ht="15" hidden="1" x14ac:dyDescent="0.25">
      <c r="A435" s="387"/>
      <c r="B435" s="388"/>
      <c r="C435" s="389"/>
      <c r="D435" s="389"/>
      <c r="E435" s="389"/>
      <c r="F435" s="389"/>
      <c r="G435" s="389"/>
      <c r="H435" s="389"/>
      <c r="I435" s="389"/>
      <c r="J435" s="386"/>
      <c r="K435" s="386"/>
      <c r="L435" s="386"/>
      <c r="M435" s="386"/>
      <c r="N435" s="386"/>
    </row>
    <row r="436" spans="1:14" s="325" customFormat="1" ht="15" hidden="1" x14ac:dyDescent="0.25">
      <c r="A436" s="387"/>
      <c r="B436" s="388"/>
      <c r="C436" s="389"/>
      <c r="D436" s="389"/>
      <c r="E436" s="389"/>
      <c r="F436" s="389"/>
      <c r="G436" s="389"/>
      <c r="H436" s="389"/>
      <c r="I436" s="389"/>
      <c r="J436" s="386"/>
      <c r="K436" s="386"/>
      <c r="L436" s="386"/>
      <c r="M436" s="386"/>
      <c r="N436" s="386"/>
    </row>
    <row r="437" spans="1:14" s="325" customFormat="1" ht="15" hidden="1" x14ac:dyDescent="0.25">
      <c r="A437" s="387"/>
      <c r="B437" s="388"/>
      <c r="C437" s="389"/>
      <c r="D437" s="389"/>
      <c r="E437" s="389"/>
      <c r="F437" s="389"/>
      <c r="G437" s="389"/>
      <c r="H437" s="389"/>
      <c r="I437" s="389"/>
      <c r="J437" s="386"/>
      <c r="K437" s="386"/>
      <c r="L437" s="386"/>
      <c r="M437" s="386"/>
      <c r="N437" s="386"/>
    </row>
    <row r="438" spans="1:14" s="325" customFormat="1" ht="15" hidden="1" x14ac:dyDescent="0.25">
      <c r="A438" s="387"/>
      <c r="B438" s="388"/>
      <c r="C438" s="389"/>
      <c r="D438" s="389"/>
      <c r="E438" s="389"/>
      <c r="F438" s="389"/>
      <c r="G438" s="389"/>
      <c r="H438" s="389"/>
      <c r="I438" s="389"/>
      <c r="J438" s="386"/>
      <c r="K438" s="386"/>
      <c r="L438" s="386"/>
      <c r="M438" s="386"/>
      <c r="N438" s="386"/>
    </row>
    <row r="439" spans="1:14" s="325" customFormat="1" ht="15" hidden="1" x14ac:dyDescent="0.25">
      <c r="A439" s="387"/>
      <c r="B439" s="388"/>
      <c r="C439" s="389"/>
      <c r="D439" s="389"/>
      <c r="E439" s="389"/>
      <c r="F439" s="389"/>
      <c r="G439" s="389"/>
      <c r="H439" s="389"/>
      <c r="I439" s="389"/>
      <c r="J439" s="386"/>
      <c r="K439" s="386"/>
      <c r="L439" s="386"/>
      <c r="M439" s="386"/>
      <c r="N439" s="386"/>
    </row>
    <row r="440" spans="1:14" s="325" customFormat="1" ht="15" hidden="1" x14ac:dyDescent="0.25">
      <c r="A440" s="387"/>
      <c r="B440" s="388"/>
      <c r="C440" s="389"/>
      <c r="D440" s="389"/>
      <c r="E440" s="389"/>
      <c r="F440" s="389"/>
      <c r="G440" s="389"/>
      <c r="H440" s="389"/>
      <c r="I440" s="389"/>
      <c r="J440" s="386"/>
      <c r="K440" s="386"/>
      <c r="L440" s="386"/>
      <c r="M440" s="386"/>
      <c r="N440" s="386"/>
    </row>
    <row r="441" spans="1:14" s="325" customFormat="1" ht="15" hidden="1" x14ac:dyDescent="0.25">
      <c r="A441" s="387"/>
      <c r="B441" s="388"/>
      <c r="C441" s="389"/>
      <c r="D441" s="389"/>
      <c r="E441" s="389"/>
      <c r="F441" s="389"/>
      <c r="G441" s="389"/>
      <c r="H441" s="389"/>
      <c r="I441" s="389"/>
      <c r="J441" s="386"/>
      <c r="K441" s="386"/>
      <c r="L441" s="386"/>
      <c r="M441" s="386"/>
      <c r="N441" s="386"/>
    </row>
    <row r="442" spans="1:14" s="325" customFormat="1" ht="15" hidden="1" x14ac:dyDescent="0.25">
      <c r="A442" s="387"/>
      <c r="B442" s="388"/>
      <c r="C442" s="389"/>
      <c r="D442" s="389"/>
      <c r="E442" s="389"/>
      <c r="F442" s="389"/>
      <c r="G442" s="389"/>
      <c r="H442" s="389"/>
      <c r="I442" s="389"/>
      <c r="J442" s="386"/>
      <c r="K442" s="386"/>
      <c r="L442" s="386"/>
      <c r="M442" s="386"/>
      <c r="N442" s="386"/>
    </row>
    <row r="443" spans="1:14" s="325" customFormat="1" ht="15" hidden="1" x14ac:dyDescent="0.25">
      <c r="A443" s="387"/>
      <c r="B443" s="388"/>
      <c r="C443" s="389"/>
      <c r="D443" s="389"/>
      <c r="E443" s="389"/>
      <c r="F443" s="389"/>
      <c r="G443" s="389"/>
      <c r="H443" s="389"/>
      <c r="I443" s="389"/>
      <c r="J443" s="386"/>
      <c r="K443" s="386"/>
      <c r="L443" s="386"/>
      <c r="M443" s="386"/>
      <c r="N443" s="386"/>
    </row>
    <row r="444" spans="1:14" s="325" customFormat="1" ht="15" hidden="1" x14ac:dyDescent="0.25">
      <c r="A444" s="387"/>
      <c r="B444" s="388"/>
      <c r="C444" s="389"/>
      <c r="D444" s="389"/>
      <c r="E444" s="389"/>
      <c r="F444" s="389"/>
      <c r="G444" s="389"/>
      <c r="H444" s="389"/>
      <c r="I444" s="389"/>
      <c r="J444" s="386"/>
      <c r="K444" s="386"/>
      <c r="L444" s="386"/>
      <c r="M444" s="386"/>
      <c r="N444" s="386"/>
    </row>
    <row r="445" spans="1:14" s="325" customFormat="1" ht="15" hidden="1" x14ac:dyDescent="0.25">
      <c r="A445" s="387"/>
      <c r="B445" s="388"/>
      <c r="C445" s="389"/>
      <c r="D445" s="389"/>
      <c r="E445" s="389"/>
      <c r="F445" s="389"/>
      <c r="G445" s="389"/>
      <c r="H445" s="389"/>
      <c r="I445" s="389"/>
      <c r="J445" s="386"/>
      <c r="K445" s="386"/>
      <c r="L445" s="386"/>
      <c r="M445" s="386"/>
      <c r="N445" s="386"/>
    </row>
    <row r="446" spans="1:14" s="325" customFormat="1" ht="15" hidden="1" x14ac:dyDescent="0.25">
      <c r="A446" s="387"/>
      <c r="B446" s="388"/>
      <c r="C446" s="389"/>
      <c r="D446" s="389"/>
      <c r="E446" s="389"/>
      <c r="F446" s="389"/>
      <c r="G446" s="389"/>
      <c r="H446" s="389"/>
      <c r="I446" s="389"/>
      <c r="J446" s="386"/>
      <c r="K446" s="386"/>
      <c r="L446" s="386"/>
      <c r="M446" s="386"/>
      <c r="N446" s="386"/>
    </row>
    <row r="447" spans="1:14" s="325" customFormat="1" ht="15" hidden="1" x14ac:dyDescent="0.25">
      <c r="A447" s="387"/>
      <c r="B447" s="388"/>
      <c r="C447" s="389"/>
      <c r="D447" s="389"/>
      <c r="E447" s="389"/>
      <c r="F447" s="389"/>
      <c r="G447" s="389"/>
      <c r="H447" s="389"/>
      <c r="I447" s="389"/>
      <c r="J447" s="386"/>
      <c r="K447" s="386"/>
      <c r="L447" s="386"/>
      <c r="M447" s="386"/>
      <c r="N447" s="386"/>
    </row>
    <row r="448" spans="1:14" s="325" customFormat="1" ht="15" hidden="1" x14ac:dyDescent="0.25">
      <c r="A448" s="387"/>
      <c r="B448" s="388"/>
      <c r="C448" s="389"/>
      <c r="D448" s="389"/>
      <c r="E448" s="389"/>
      <c r="F448" s="389"/>
      <c r="G448" s="389"/>
      <c r="H448" s="389"/>
      <c r="I448" s="389"/>
      <c r="J448" s="386"/>
      <c r="K448" s="386"/>
      <c r="L448" s="386"/>
      <c r="M448" s="386"/>
      <c r="N448" s="386"/>
    </row>
    <row r="449" spans="1:14" s="325" customFormat="1" ht="15" hidden="1" x14ac:dyDescent="0.25">
      <c r="A449" s="387"/>
      <c r="B449" s="388"/>
      <c r="C449" s="389"/>
      <c r="D449" s="389"/>
      <c r="E449" s="389"/>
      <c r="F449" s="389"/>
      <c r="G449" s="389"/>
      <c r="H449" s="389"/>
      <c r="I449" s="389"/>
      <c r="J449" s="386"/>
      <c r="K449" s="386"/>
      <c r="L449" s="386"/>
      <c r="M449" s="386"/>
      <c r="N449" s="386"/>
    </row>
    <row r="450" spans="1:14" s="325" customFormat="1" ht="15" hidden="1" x14ac:dyDescent="0.25">
      <c r="A450" s="387"/>
      <c r="B450" s="388"/>
      <c r="C450" s="389"/>
      <c r="D450" s="389"/>
      <c r="E450" s="389"/>
      <c r="F450" s="389"/>
      <c r="G450" s="389"/>
      <c r="H450" s="389"/>
      <c r="I450" s="389"/>
      <c r="J450" s="386"/>
      <c r="K450" s="386"/>
      <c r="L450" s="386"/>
      <c r="M450" s="386"/>
      <c r="N450" s="386"/>
    </row>
    <row r="451" spans="1:14" s="325" customFormat="1" ht="15" hidden="1" x14ac:dyDescent="0.25">
      <c r="A451" s="387"/>
      <c r="B451" s="388"/>
      <c r="C451" s="389"/>
      <c r="D451" s="389"/>
      <c r="E451" s="389"/>
      <c r="F451" s="389"/>
      <c r="G451" s="389"/>
      <c r="H451" s="389"/>
      <c r="I451" s="389"/>
      <c r="J451" s="386"/>
      <c r="K451" s="386"/>
      <c r="L451" s="386"/>
      <c r="M451" s="386"/>
      <c r="N451" s="386"/>
    </row>
    <row r="452" spans="1:14" s="325" customFormat="1" ht="15" hidden="1" x14ac:dyDescent="0.25">
      <c r="A452" s="387"/>
      <c r="B452" s="388"/>
      <c r="C452" s="389"/>
      <c r="D452" s="389"/>
      <c r="E452" s="389"/>
      <c r="F452" s="389"/>
      <c r="G452" s="389"/>
      <c r="H452" s="389"/>
      <c r="I452" s="389"/>
      <c r="J452" s="386"/>
      <c r="K452" s="386"/>
      <c r="L452" s="386"/>
      <c r="M452" s="386"/>
      <c r="N452" s="386"/>
    </row>
    <row r="453" spans="1:14" s="325" customFormat="1" ht="15" hidden="1" x14ac:dyDescent="0.25">
      <c r="A453" s="387"/>
      <c r="B453" s="388"/>
      <c r="C453" s="389"/>
      <c r="D453" s="389"/>
      <c r="E453" s="389"/>
      <c r="F453" s="389"/>
      <c r="G453" s="389"/>
      <c r="H453" s="389"/>
      <c r="I453" s="389"/>
      <c r="J453" s="386"/>
      <c r="K453" s="386"/>
      <c r="L453" s="386"/>
      <c r="M453" s="386"/>
      <c r="N453" s="386"/>
    </row>
    <row r="454" spans="1:14" s="325" customFormat="1" ht="15" hidden="1" x14ac:dyDescent="0.25">
      <c r="A454" s="387"/>
      <c r="B454" s="388"/>
      <c r="C454" s="389"/>
      <c r="D454" s="389"/>
      <c r="E454" s="389"/>
      <c r="F454" s="389"/>
      <c r="G454" s="389"/>
      <c r="H454" s="389"/>
      <c r="I454" s="389"/>
      <c r="J454" s="386"/>
      <c r="K454" s="386"/>
      <c r="L454" s="386"/>
      <c r="M454" s="386"/>
      <c r="N454" s="386"/>
    </row>
    <row r="455" spans="1:14" s="325" customFormat="1" ht="15" hidden="1" x14ac:dyDescent="0.25">
      <c r="A455" s="387"/>
      <c r="B455" s="388"/>
      <c r="C455" s="389"/>
      <c r="D455" s="389"/>
      <c r="E455" s="389"/>
      <c r="F455" s="389"/>
      <c r="G455" s="389"/>
      <c r="H455" s="389"/>
      <c r="I455" s="389"/>
      <c r="J455" s="386"/>
      <c r="K455" s="386"/>
      <c r="L455" s="386"/>
      <c r="M455" s="386"/>
      <c r="N455" s="386"/>
    </row>
    <row r="456" spans="1:14" s="325" customFormat="1" ht="15" hidden="1" x14ac:dyDescent="0.25">
      <c r="A456" s="387"/>
      <c r="B456" s="388"/>
      <c r="C456" s="389"/>
      <c r="D456" s="389"/>
      <c r="E456" s="389"/>
      <c r="F456" s="389"/>
      <c r="G456" s="389"/>
      <c r="H456" s="389"/>
      <c r="I456" s="389"/>
      <c r="J456" s="386"/>
      <c r="K456" s="386"/>
      <c r="L456" s="386"/>
      <c r="M456" s="386"/>
      <c r="N456" s="386"/>
    </row>
    <row r="457" spans="1:14" s="325" customFormat="1" ht="15" hidden="1" x14ac:dyDescent="0.25">
      <c r="A457" s="387"/>
      <c r="B457" s="388"/>
      <c r="C457" s="389"/>
      <c r="D457" s="389"/>
      <c r="E457" s="389"/>
      <c r="F457" s="389"/>
      <c r="G457" s="389"/>
      <c r="H457" s="389"/>
      <c r="I457" s="389"/>
      <c r="J457" s="386"/>
      <c r="K457" s="386"/>
      <c r="L457" s="386"/>
      <c r="M457" s="386"/>
      <c r="N457" s="386"/>
    </row>
    <row r="458" spans="1:14" s="325" customFormat="1" ht="15" hidden="1" x14ac:dyDescent="0.25">
      <c r="A458" s="387"/>
      <c r="B458" s="388"/>
      <c r="C458" s="389"/>
      <c r="D458" s="389"/>
      <c r="E458" s="389"/>
      <c r="F458" s="389"/>
      <c r="G458" s="389"/>
      <c r="H458" s="389"/>
      <c r="I458" s="389"/>
      <c r="J458" s="386"/>
      <c r="K458" s="386"/>
      <c r="L458" s="386"/>
      <c r="M458" s="386"/>
      <c r="N458" s="386"/>
    </row>
    <row r="459" spans="1:14" s="325" customFormat="1" ht="15" hidden="1" x14ac:dyDescent="0.25">
      <c r="A459" s="387"/>
      <c r="B459" s="388"/>
      <c r="C459" s="389"/>
      <c r="D459" s="389"/>
      <c r="E459" s="389"/>
      <c r="F459" s="389"/>
      <c r="G459" s="389"/>
      <c r="H459" s="389"/>
      <c r="I459" s="389"/>
      <c r="J459" s="386"/>
      <c r="K459" s="386"/>
      <c r="L459" s="386"/>
      <c r="M459" s="386"/>
      <c r="N459" s="386"/>
    </row>
    <row r="460" spans="1:14" s="325" customFormat="1" ht="15" hidden="1" x14ac:dyDescent="0.25">
      <c r="A460" s="387"/>
      <c r="B460" s="388"/>
      <c r="C460" s="389"/>
      <c r="D460" s="389"/>
      <c r="E460" s="389"/>
      <c r="F460" s="389"/>
      <c r="G460" s="389"/>
      <c r="H460" s="389"/>
      <c r="I460" s="389"/>
      <c r="J460" s="386"/>
      <c r="K460" s="386"/>
      <c r="L460" s="386"/>
      <c r="M460" s="386"/>
      <c r="N460" s="386"/>
    </row>
    <row r="461" spans="1:14" s="325" customFormat="1" ht="15" hidden="1" x14ac:dyDescent="0.25">
      <c r="A461" s="387"/>
      <c r="B461" s="388"/>
      <c r="C461" s="389"/>
      <c r="D461" s="389"/>
      <c r="E461" s="389"/>
      <c r="F461" s="389"/>
      <c r="G461" s="389"/>
      <c r="H461" s="389"/>
      <c r="I461" s="389"/>
      <c r="J461" s="386"/>
      <c r="K461" s="386"/>
      <c r="L461" s="386"/>
      <c r="M461" s="386"/>
      <c r="N461" s="386"/>
    </row>
    <row r="462" spans="1:14" s="325" customFormat="1" ht="15" hidden="1" x14ac:dyDescent="0.25">
      <c r="A462" s="387"/>
      <c r="B462" s="388"/>
      <c r="C462" s="389"/>
      <c r="D462" s="389"/>
      <c r="E462" s="389"/>
      <c r="F462" s="389"/>
      <c r="G462" s="389"/>
      <c r="H462" s="389"/>
      <c r="I462" s="389"/>
      <c r="J462" s="386"/>
      <c r="K462" s="386"/>
      <c r="L462" s="386"/>
      <c r="M462" s="386"/>
      <c r="N462" s="386"/>
    </row>
    <row r="463" spans="1:14" s="325" customFormat="1" ht="15" hidden="1" x14ac:dyDescent="0.25">
      <c r="A463" s="387"/>
      <c r="B463" s="388"/>
      <c r="C463" s="389"/>
      <c r="D463" s="389"/>
      <c r="E463" s="389"/>
      <c r="F463" s="389"/>
      <c r="G463" s="389"/>
      <c r="H463" s="389"/>
      <c r="I463" s="389"/>
      <c r="J463" s="386"/>
      <c r="K463" s="386"/>
      <c r="L463" s="386"/>
      <c r="M463" s="386"/>
      <c r="N463" s="386"/>
    </row>
    <row r="464" spans="1:14" s="325" customFormat="1" ht="15" hidden="1" x14ac:dyDescent="0.25">
      <c r="A464" s="387"/>
      <c r="B464" s="388"/>
      <c r="C464" s="389"/>
      <c r="D464" s="389"/>
      <c r="E464" s="389"/>
      <c r="F464" s="389"/>
      <c r="G464" s="389"/>
      <c r="H464" s="389"/>
      <c r="I464" s="389"/>
      <c r="J464" s="386"/>
      <c r="K464" s="386"/>
      <c r="L464" s="386"/>
      <c r="M464" s="386"/>
      <c r="N464" s="386"/>
    </row>
    <row r="465" spans="1:14" s="325" customFormat="1" ht="15" hidden="1" x14ac:dyDescent="0.25">
      <c r="A465" s="387"/>
      <c r="B465" s="388"/>
      <c r="C465" s="389"/>
      <c r="D465" s="389"/>
      <c r="E465" s="389"/>
      <c r="F465" s="389"/>
      <c r="G465" s="389"/>
      <c r="H465" s="389"/>
      <c r="I465" s="389"/>
      <c r="J465" s="386"/>
      <c r="K465" s="386"/>
      <c r="L465" s="386"/>
      <c r="M465" s="386"/>
      <c r="N465" s="386"/>
    </row>
    <row r="466" spans="1:14" s="325" customFormat="1" ht="15" hidden="1" x14ac:dyDescent="0.25">
      <c r="A466" s="387"/>
      <c r="B466" s="388"/>
      <c r="C466" s="389"/>
      <c r="D466" s="389"/>
      <c r="E466" s="389"/>
      <c r="F466" s="389"/>
      <c r="G466" s="389"/>
      <c r="H466" s="389"/>
      <c r="I466" s="389"/>
      <c r="J466" s="386"/>
      <c r="K466" s="386"/>
      <c r="L466" s="386"/>
      <c r="M466" s="386"/>
      <c r="N466" s="386"/>
    </row>
    <row r="467" spans="1:14" s="325" customFormat="1" ht="15" hidden="1" x14ac:dyDescent="0.25">
      <c r="A467" s="387"/>
      <c r="B467" s="388"/>
      <c r="C467" s="389"/>
      <c r="D467" s="389"/>
      <c r="E467" s="389"/>
      <c r="F467" s="389"/>
      <c r="G467" s="389"/>
      <c r="H467" s="389"/>
      <c r="I467" s="389"/>
      <c r="J467" s="386"/>
      <c r="K467" s="386"/>
      <c r="L467" s="386"/>
      <c r="M467" s="386"/>
      <c r="N467" s="386"/>
    </row>
    <row r="468" spans="1:14" s="325" customFormat="1" ht="15" hidden="1" x14ac:dyDescent="0.25">
      <c r="A468" s="387"/>
      <c r="B468" s="388"/>
      <c r="C468" s="389"/>
      <c r="D468" s="389"/>
      <c r="E468" s="389"/>
      <c r="F468" s="389"/>
      <c r="G468" s="389"/>
      <c r="H468" s="389"/>
      <c r="I468" s="389"/>
      <c r="J468" s="386"/>
      <c r="K468" s="386"/>
      <c r="L468" s="386"/>
      <c r="M468" s="386"/>
      <c r="N468" s="386"/>
    </row>
    <row r="469" spans="1:14" s="325" customFormat="1" ht="15" hidden="1" x14ac:dyDescent="0.25">
      <c r="A469" s="387"/>
      <c r="B469" s="388"/>
      <c r="C469" s="389"/>
      <c r="D469" s="389"/>
      <c r="E469" s="389"/>
      <c r="F469" s="389"/>
      <c r="G469" s="389"/>
      <c r="H469" s="389"/>
      <c r="I469" s="389"/>
      <c r="J469" s="386"/>
      <c r="K469" s="386"/>
      <c r="L469" s="386"/>
      <c r="M469" s="386"/>
      <c r="N469" s="386"/>
    </row>
    <row r="470" spans="1:14" s="325" customFormat="1" ht="15" hidden="1" x14ac:dyDescent="0.25">
      <c r="A470" s="387"/>
      <c r="B470" s="388"/>
      <c r="C470" s="389"/>
      <c r="D470" s="389"/>
      <c r="E470" s="389"/>
      <c r="F470" s="389"/>
      <c r="G470" s="389"/>
      <c r="H470" s="389"/>
      <c r="I470" s="389"/>
      <c r="J470" s="386"/>
      <c r="K470" s="386"/>
      <c r="L470" s="386"/>
      <c r="M470" s="386"/>
      <c r="N470" s="386"/>
    </row>
    <row r="471" spans="1:14" s="325" customFormat="1" ht="15" hidden="1" x14ac:dyDescent="0.25">
      <c r="A471" s="387"/>
      <c r="B471" s="388"/>
      <c r="C471" s="389"/>
      <c r="D471" s="389"/>
      <c r="E471" s="389"/>
      <c r="F471" s="389"/>
      <c r="G471" s="389"/>
      <c r="H471" s="389"/>
      <c r="I471" s="389"/>
      <c r="J471" s="386"/>
      <c r="K471" s="386"/>
      <c r="L471" s="386"/>
      <c r="M471" s="386"/>
      <c r="N471" s="386"/>
    </row>
    <row r="472" spans="1:14" s="325" customFormat="1" ht="15" hidden="1" x14ac:dyDescent="0.25">
      <c r="A472" s="387"/>
      <c r="B472" s="388"/>
      <c r="C472" s="389"/>
      <c r="D472" s="389"/>
      <c r="E472" s="389"/>
      <c r="F472" s="389"/>
      <c r="G472" s="389"/>
      <c r="H472" s="389"/>
      <c r="I472" s="389"/>
      <c r="J472" s="386"/>
      <c r="K472" s="386"/>
      <c r="L472" s="386"/>
      <c r="M472" s="386"/>
      <c r="N472" s="386"/>
    </row>
    <row r="473" spans="1:14" s="325" customFormat="1" ht="15" hidden="1" x14ac:dyDescent="0.25">
      <c r="A473" s="387"/>
      <c r="B473" s="388"/>
      <c r="C473" s="389"/>
      <c r="D473" s="389"/>
      <c r="E473" s="389"/>
      <c r="F473" s="389"/>
      <c r="G473" s="389"/>
      <c r="H473" s="389"/>
      <c r="I473" s="389"/>
      <c r="J473" s="386"/>
      <c r="K473" s="386"/>
      <c r="L473" s="386"/>
      <c r="M473" s="386"/>
      <c r="N473" s="386"/>
    </row>
    <row r="474" spans="1:14" s="325" customFormat="1" ht="15" hidden="1" x14ac:dyDescent="0.25">
      <c r="A474" s="387"/>
      <c r="B474" s="388"/>
      <c r="C474" s="389"/>
      <c r="D474" s="389"/>
      <c r="E474" s="389"/>
      <c r="F474" s="389"/>
      <c r="G474" s="389"/>
      <c r="H474" s="389"/>
      <c r="I474" s="389"/>
      <c r="J474" s="386"/>
      <c r="K474" s="386"/>
      <c r="L474" s="386"/>
      <c r="M474" s="386"/>
      <c r="N474" s="386"/>
    </row>
    <row r="475" spans="1:14" s="325" customFormat="1" ht="15" hidden="1" x14ac:dyDescent="0.25">
      <c r="A475" s="387"/>
      <c r="B475" s="388"/>
      <c r="C475" s="389"/>
      <c r="D475" s="389"/>
      <c r="E475" s="389"/>
      <c r="F475" s="389"/>
      <c r="G475" s="389"/>
      <c r="H475" s="389"/>
      <c r="I475" s="389"/>
      <c r="J475" s="386"/>
      <c r="K475" s="386"/>
      <c r="L475" s="386"/>
      <c r="M475" s="386"/>
      <c r="N475" s="386"/>
    </row>
    <row r="476" spans="1:14" s="325" customFormat="1" ht="15" hidden="1" x14ac:dyDescent="0.25">
      <c r="A476" s="387"/>
      <c r="B476" s="388"/>
      <c r="C476" s="389"/>
      <c r="D476" s="389"/>
      <c r="E476" s="389"/>
      <c r="F476" s="389"/>
      <c r="G476" s="389"/>
      <c r="H476" s="389"/>
      <c r="I476" s="389"/>
      <c r="J476" s="386"/>
      <c r="K476" s="386"/>
      <c r="L476" s="386"/>
      <c r="M476" s="386"/>
      <c r="N476" s="386"/>
    </row>
    <row r="477" spans="1:14" s="325" customFormat="1" ht="15" hidden="1" x14ac:dyDescent="0.25">
      <c r="A477" s="387"/>
      <c r="B477" s="388"/>
      <c r="C477" s="389"/>
      <c r="D477" s="389"/>
      <c r="E477" s="389"/>
      <c r="F477" s="389"/>
      <c r="G477" s="389"/>
      <c r="H477" s="389"/>
      <c r="I477" s="389"/>
      <c r="J477" s="386"/>
      <c r="K477" s="386"/>
      <c r="L477" s="386"/>
      <c r="M477" s="386"/>
      <c r="N477" s="386"/>
    </row>
    <row r="478" spans="1:14" s="325" customFormat="1" ht="15" hidden="1" x14ac:dyDescent="0.25">
      <c r="A478" s="387"/>
      <c r="B478" s="388"/>
      <c r="C478" s="389"/>
      <c r="D478" s="389"/>
      <c r="E478" s="389"/>
      <c r="F478" s="389"/>
      <c r="G478" s="389"/>
      <c r="H478" s="389"/>
      <c r="I478" s="389"/>
      <c r="J478" s="386"/>
      <c r="K478" s="386"/>
      <c r="L478" s="386"/>
      <c r="M478" s="386"/>
      <c r="N478" s="386"/>
    </row>
    <row r="479" spans="1:14" s="325" customFormat="1" ht="15" hidden="1" x14ac:dyDescent="0.25">
      <c r="A479" s="387"/>
      <c r="B479" s="388"/>
      <c r="C479" s="389"/>
      <c r="D479" s="389"/>
      <c r="E479" s="389"/>
      <c r="F479" s="389"/>
      <c r="G479" s="389"/>
      <c r="H479" s="389"/>
      <c r="I479" s="389"/>
      <c r="J479" s="386"/>
      <c r="K479" s="386"/>
      <c r="L479" s="386"/>
      <c r="M479" s="386"/>
      <c r="N479" s="386"/>
    </row>
    <row r="480" spans="1:14" s="325" customFormat="1" ht="15" hidden="1" x14ac:dyDescent="0.25">
      <c r="A480" s="387"/>
      <c r="B480" s="388"/>
      <c r="C480" s="389"/>
      <c r="D480" s="389"/>
      <c r="E480" s="389"/>
      <c r="F480" s="389"/>
      <c r="G480" s="389"/>
      <c r="H480" s="389"/>
      <c r="I480" s="389"/>
      <c r="J480" s="386"/>
      <c r="K480" s="386"/>
      <c r="L480" s="386"/>
      <c r="M480" s="386"/>
      <c r="N480" s="386"/>
    </row>
    <row r="481" spans="1:14" s="325" customFormat="1" ht="15" hidden="1" x14ac:dyDescent="0.25">
      <c r="A481" s="387"/>
      <c r="B481" s="388"/>
      <c r="C481" s="389"/>
      <c r="D481" s="389"/>
      <c r="E481" s="389"/>
      <c r="F481" s="389"/>
      <c r="G481" s="389"/>
      <c r="H481" s="389"/>
      <c r="I481" s="389"/>
      <c r="J481" s="386"/>
      <c r="K481" s="386"/>
      <c r="L481" s="386"/>
      <c r="M481" s="386"/>
      <c r="N481" s="386"/>
    </row>
    <row r="482" spans="1:14" s="325" customFormat="1" ht="15" hidden="1" x14ac:dyDescent="0.25">
      <c r="A482" s="387"/>
      <c r="B482" s="388"/>
      <c r="C482" s="389"/>
      <c r="D482" s="389"/>
      <c r="E482" s="389"/>
      <c r="F482" s="389"/>
      <c r="G482" s="389"/>
      <c r="H482" s="389"/>
      <c r="I482" s="389"/>
      <c r="J482" s="386"/>
      <c r="K482" s="386"/>
      <c r="L482" s="386"/>
      <c r="M482" s="386"/>
      <c r="N482" s="386"/>
    </row>
    <row r="483" spans="1:14" s="325" customFormat="1" ht="15" hidden="1" x14ac:dyDescent="0.25">
      <c r="A483" s="387"/>
      <c r="B483" s="388"/>
      <c r="C483" s="389"/>
      <c r="D483" s="389"/>
      <c r="E483" s="389"/>
      <c r="F483" s="389"/>
      <c r="G483" s="389"/>
      <c r="H483" s="389"/>
      <c r="I483" s="389"/>
      <c r="J483" s="386"/>
      <c r="K483" s="386"/>
      <c r="L483" s="386"/>
      <c r="M483" s="386"/>
      <c r="N483" s="386"/>
    </row>
    <row r="484" spans="1:14" s="325" customFormat="1" ht="15" hidden="1" x14ac:dyDescent="0.25">
      <c r="A484" s="387"/>
      <c r="B484" s="388"/>
      <c r="C484" s="389"/>
      <c r="D484" s="389"/>
      <c r="E484" s="389"/>
      <c r="F484" s="389"/>
      <c r="G484" s="389"/>
      <c r="H484" s="389"/>
      <c r="I484" s="389"/>
      <c r="J484" s="386"/>
      <c r="K484" s="386"/>
      <c r="L484" s="386"/>
      <c r="M484" s="386"/>
      <c r="N484" s="386"/>
    </row>
    <row r="485" spans="1:14" s="325" customFormat="1" ht="15" hidden="1" x14ac:dyDescent="0.25">
      <c r="A485" s="387"/>
      <c r="B485" s="388"/>
      <c r="C485" s="389"/>
      <c r="D485" s="389"/>
      <c r="E485" s="389"/>
      <c r="F485" s="389"/>
      <c r="G485" s="389"/>
      <c r="H485" s="389"/>
      <c r="I485" s="389"/>
      <c r="J485" s="386"/>
      <c r="K485" s="386"/>
      <c r="L485" s="386"/>
      <c r="M485" s="386"/>
      <c r="N485" s="386"/>
    </row>
    <row r="486" spans="1:14" s="325" customFormat="1" ht="15" hidden="1" x14ac:dyDescent="0.25">
      <c r="A486" s="387"/>
      <c r="B486" s="388"/>
      <c r="C486" s="389"/>
      <c r="D486" s="389"/>
      <c r="E486" s="389"/>
      <c r="F486" s="389"/>
      <c r="G486" s="389"/>
      <c r="H486" s="389"/>
      <c r="I486" s="389"/>
      <c r="J486" s="386"/>
      <c r="K486" s="386"/>
      <c r="L486" s="386"/>
      <c r="M486" s="386"/>
      <c r="N486" s="386"/>
    </row>
    <row r="487" spans="1:14" s="325" customFormat="1" ht="15" hidden="1" x14ac:dyDescent="0.25">
      <c r="A487" s="387"/>
      <c r="B487" s="388"/>
      <c r="C487" s="389"/>
      <c r="D487" s="389"/>
      <c r="E487" s="389"/>
      <c r="F487" s="389"/>
      <c r="G487" s="389"/>
      <c r="H487" s="389"/>
      <c r="I487" s="389"/>
      <c r="J487" s="386"/>
      <c r="K487" s="386"/>
      <c r="L487" s="386"/>
      <c r="M487" s="386"/>
      <c r="N487" s="386"/>
    </row>
    <row r="488" spans="1:14" s="325" customFormat="1" ht="15" hidden="1" x14ac:dyDescent="0.25">
      <c r="A488" s="387"/>
      <c r="B488" s="388"/>
      <c r="C488" s="389"/>
      <c r="D488" s="389"/>
      <c r="E488" s="389"/>
      <c r="F488" s="389"/>
      <c r="G488" s="389"/>
      <c r="H488" s="389"/>
      <c r="I488" s="389"/>
      <c r="J488" s="386"/>
      <c r="K488" s="386"/>
      <c r="L488" s="386"/>
      <c r="M488" s="386"/>
      <c r="N488" s="386"/>
    </row>
    <row r="489" spans="1:14" s="325" customFormat="1" ht="15" hidden="1" x14ac:dyDescent="0.25">
      <c r="A489" s="387"/>
      <c r="B489" s="388"/>
      <c r="C489" s="389"/>
      <c r="D489" s="389"/>
      <c r="E489" s="389"/>
      <c r="F489" s="389"/>
      <c r="G489" s="389"/>
      <c r="H489" s="389"/>
      <c r="I489" s="389"/>
      <c r="J489" s="386"/>
      <c r="K489" s="386"/>
      <c r="L489" s="386"/>
      <c r="M489" s="386"/>
      <c r="N489" s="386"/>
    </row>
    <row r="490" spans="1:14" s="325" customFormat="1" ht="15" hidden="1" x14ac:dyDescent="0.25">
      <c r="A490" s="387"/>
      <c r="B490" s="388"/>
      <c r="C490" s="389"/>
      <c r="D490" s="389"/>
      <c r="E490" s="389"/>
      <c r="F490" s="389"/>
      <c r="G490" s="389"/>
      <c r="H490" s="389"/>
      <c r="I490" s="389"/>
      <c r="J490" s="386"/>
      <c r="K490" s="386"/>
      <c r="L490" s="386"/>
      <c r="M490" s="386"/>
      <c r="N490" s="386"/>
    </row>
    <row r="491" spans="1:14" s="325" customFormat="1" ht="15" hidden="1" x14ac:dyDescent="0.25">
      <c r="A491" s="387"/>
      <c r="B491" s="388"/>
      <c r="C491" s="389"/>
      <c r="D491" s="389"/>
      <c r="E491" s="389"/>
      <c r="F491" s="389"/>
      <c r="G491" s="389"/>
      <c r="H491" s="389"/>
      <c r="I491" s="389"/>
      <c r="J491" s="386"/>
      <c r="K491" s="386"/>
      <c r="L491" s="386"/>
      <c r="M491" s="386"/>
      <c r="N491" s="386"/>
    </row>
    <row r="492" spans="1:14" s="325" customFormat="1" ht="15" hidden="1" x14ac:dyDescent="0.25">
      <c r="A492" s="387"/>
      <c r="B492" s="388"/>
      <c r="C492" s="389"/>
      <c r="D492" s="389"/>
      <c r="E492" s="389"/>
      <c r="F492" s="389"/>
      <c r="G492" s="389"/>
      <c r="H492" s="389"/>
      <c r="I492" s="389"/>
      <c r="J492" s="386"/>
      <c r="K492" s="386"/>
      <c r="L492" s="386"/>
      <c r="M492" s="386"/>
      <c r="N492" s="386"/>
    </row>
    <row r="493" spans="1:14" s="325" customFormat="1" ht="15" hidden="1" x14ac:dyDescent="0.25">
      <c r="A493" s="387"/>
      <c r="B493" s="388"/>
      <c r="C493" s="389"/>
      <c r="D493" s="389"/>
      <c r="E493" s="389"/>
      <c r="F493" s="389"/>
      <c r="G493" s="389"/>
      <c r="H493" s="389"/>
      <c r="I493" s="389"/>
      <c r="J493" s="386"/>
      <c r="K493" s="386"/>
      <c r="L493" s="386"/>
      <c r="M493" s="386"/>
      <c r="N493" s="386"/>
    </row>
    <row r="494" spans="1:14" s="325" customFormat="1" ht="15" hidden="1" x14ac:dyDescent="0.25">
      <c r="A494" s="387"/>
      <c r="B494" s="388"/>
      <c r="C494" s="389"/>
      <c r="D494" s="389"/>
      <c r="E494" s="389"/>
      <c r="F494" s="389"/>
      <c r="G494" s="389"/>
      <c r="H494" s="389"/>
      <c r="I494" s="389"/>
      <c r="J494" s="386"/>
      <c r="K494" s="386"/>
      <c r="L494" s="386"/>
      <c r="M494" s="386"/>
      <c r="N494" s="386"/>
    </row>
    <row r="495" spans="1:14" s="325" customFormat="1" ht="15" hidden="1" x14ac:dyDescent="0.25">
      <c r="A495" s="387"/>
      <c r="B495" s="388"/>
      <c r="C495" s="389"/>
      <c r="D495" s="389"/>
      <c r="E495" s="389"/>
      <c r="F495" s="389"/>
      <c r="G495" s="389"/>
      <c r="H495" s="389"/>
      <c r="I495" s="389"/>
      <c r="J495" s="386"/>
      <c r="K495" s="386"/>
      <c r="L495" s="386"/>
      <c r="M495" s="386"/>
      <c r="N495" s="386"/>
    </row>
    <row r="496" spans="1:14" s="325" customFormat="1" ht="15" hidden="1" x14ac:dyDescent="0.25">
      <c r="A496" s="387"/>
      <c r="B496" s="388"/>
      <c r="C496" s="389"/>
      <c r="D496" s="389"/>
      <c r="E496" s="389"/>
      <c r="F496" s="389"/>
      <c r="G496" s="389"/>
      <c r="H496" s="389"/>
      <c r="I496" s="389"/>
      <c r="J496" s="386"/>
      <c r="K496" s="386"/>
      <c r="L496" s="386"/>
      <c r="M496" s="386"/>
      <c r="N496" s="386"/>
    </row>
    <row r="497" spans="1:14" s="325" customFormat="1" ht="15" hidden="1" x14ac:dyDescent="0.25">
      <c r="A497" s="387"/>
      <c r="B497" s="388"/>
      <c r="C497" s="389"/>
      <c r="D497" s="389"/>
      <c r="E497" s="389"/>
      <c r="F497" s="389"/>
      <c r="G497" s="389"/>
      <c r="H497" s="389"/>
      <c r="I497" s="389"/>
      <c r="J497" s="386"/>
      <c r="K497" s="386"/>
      <c r="L497" s="386"/>
      <c r="M497" s="386"/>
      <c r="N497" s="386"/>
    </row>
    <row r="498" spans="1:14" s="325" customFormat="1" ht="15" hidden="1" x14ac:dyDescent="0.25">
      <c r="A498" s="387"/>
      <c r="B498" s="388"/>
      <c r="C498" s="389"/>
      <c r="D498" s="389"/>
      <c r="E498" s="389"/>
      <c r="F498" s="389"/>
      <c r="G498" s="389"/>
      <c r="H498" s="389"/>
      <c r="I498" s="389"/>
      <c r="J498" s="386"/>
      <c r="K498" s="386"/>
      <c r="L498" s="386"/>
      <c r="M498" s="386"/>
      <c r="N498" s="386"/>
    </row>
    <row r="499" spans="1:14" s="325" customFormat="1" ht="15" hidden="1" x14ac:dyDescent="0.25">
      <c r="A499" s="387"/>
      <c r="B499" s="388"/>
      <c r="C499" s="389"/>
      <c r="D499" s="389"/>
      <c r="E499" s="389"/>
      <c r="F499" s="389"/>
      <c r="G499" s="389"/>
      <c r="H499" s="389"/>
      <c r="I499" s="389"/>
      <c r="J499" s="386"/>
      <c r="K499" s="386"/>
      <c r="L499" s="386"/>
      <c r="M499" s="386"/>
      <c r="N499" s="386"/>
    </row>
    <row r="500" spans="1:14" s="325" customFormat="1" ht="15" hidden="1" x14ac:dyDescent="0.25">
      <c r="A500" s="387"/>
      <c r="B500" s="388"/>
      <c r="C500" s="389"/>
      <c r="D500" s="389"/>
      <c r="E500" s="389"/>
      <c r="F500" s="389"/>
      <c r="G500" s="389"/>
      <c r="H500" s="389"/>
      <c r="I500" s="389"/>
      <c r="J500" s="386"/>
      <c r="K500" s="386"/>
      <c r="L500" s="386"/>
      <c r="M500" s="386"/>
      <c r="N500" s="386"/>
    </row>
    <row r="501" spans="1:14" s="325" customFormat="1" ht="15" hidden="1" x14ac:dyDescent="0.25">
      <c r="A501" s="387"/>
      <c r="B501" s="388"/>
      <c r="C501" s="389"/>
      <c r="D501" s="389"/>
      <c r="E501" s="389"/>
      <c r="F501" s="389"/>
      <c r="G501" s="389"/>
      <c r="H501" s="389"/>
      <c r="I501" s="389"/>
      <c r="J501" s="386"/>
      <c r="K501" s="386"/>
      <c r="L501" s="386"/>
      <c r="M501" s="386"/>
      <c r="N501" s="386"/>
    </row>
    <row r="502" spans="1:14" s="325" customFormat="1" ht="15" hidden="1" x14ac:dyDescent="0.25">
      <c r="A502" s="387"/>
      <c r="B502" s="388"/>
      <c r="C502" s="389"/>
      <c r="D502" s="389"/>
      <c r="E502" s="389"/>
      <c r="F502" s="389"/>
      <c r="G502" s="389"/>
      <c r="H502" s="389"/>
      <c r="I502" s="389"/>
      <c r="J502" s="386"/>
      <c r="K502" s="386"/>
      <c r="L502" s="386"/>
      <c r="M502" s="386"/>
      <c r="N502" s="386"/>
    </row>
    <row r="503" spans="1:14" s="325" customFormat="1" ht="15" hidden="1" x14ac:dyDescent="0.25">
      <c r="A503" s="387"/>
      <c r="B503" s="388"/>
      <c r="C503" s="389"/>
      <c r="D503" s="389"/>
      <c r="E503" s="389"/>
      <c r="F503" s="389"/>
      <c r="G503" s="389"/>
      <c r="H503" s="389"/>
      <c r="I503" s="389"/>
      <c r="J503" s="386"/>
      <c r="K503" s="386"/>
      <c r="L503" s="386"/>
      <c r="M503" s="386"/>
      <c r="N503" s="386"/>
    </row>
    <row r="504" spans="1:14" s="325" customFormat="1" ht="15" hidden="1" x14ac:dyDescent="0.25">
      <c r="A504" s="387"/>
      <c r="B504" s="388"/>
      <c r="C504" s="389"/>
      <c r="D504" s="389"/>
      <c r="E504" s="389"/>
      <c r="F504" s="389"/>
      <c r="G504" s="389"/>
      <c r="H504" s="389"/>
      <c r="I504" s="389"/>
      <c r="J504" s="386"/>
      <c r="K504" s="386"/>
      <c r="L504" s="386"/>
      <c r="M504" s="386"/>
      <c r="N504" s="386"/>
    </row>
    <row r="505" spans="1:14" s="325" customFormat="1" ht="15" hidden="1" x14ac:dyDescent="0.25">
      <c r="A505" s="387"/>
      <c r="B505" s="388"/>
      <c r="C505" s="389"/>
      <c r="D505" s="389"/>
      <c r="E505" s="389"/>
      <c r="F505" s="389"/>
      <c r="G505" s="389"/>
      <c r="H505" s="389"/>
      <c r="I505" s="389"/>
      <c r="J505" s="386"/>
      <c r="K505" s="386"/>
      <c r="L505" s="386"/>
      <c r="M505" s="386"/>
      <c r="N505" s="386"/>
    </row>
    <row r="506" spans="1:14" s="325" customFormat="1" ht="15" hidden="1" x14ac:dyDescent="0.25">
      <c r="A506" s="387"/>
      <c r="B506" s="388"/>
      <c r="C506" s="389"/>
      <c r="D506" s="389"/>
      <c r="E506" s="389"/>
      <c r="F506" s="389"/>
      <c r="G506" s="389"/>
      <c r="H506" s="389"/>
      <c r="I506" s="389"/>
      <c r="J506" s="386"/>
      <c r="K506" s="386"/>
      <c r="L506" s="386"/>
      <c r="M506" s="386"/>
      <c r="N506" s="386"/>
    </row>
    <row r="507" spans="1:14" s="325" customFormat="1" ht="15" hidden="1" x14ac:dyDescent="0.25">
      <c r="A507" s="387"/>
      <c r="B507" s="388"/>
      <c r="C507" s="389"/>
      <c r="D507" s="389"/>
      <c r="E507" s="389"/>
      <c r="F507" s="389"/>
      <c r="G507" s="389"/>
      <c r="H507" s="389"/>
      <c r="I507" s="389"/>
      <c r="J507" s="386"/>
      <c r="K507" s="386"/>
      <c r="L507" s="386"/>
      <c r="M507" s="386"/>
      <c r="N507" s="386"/>
    </row>
    <row r="508" spans="1:14" s="325" customFormat="1" ht="15" hidden="1" x14ac:dyDescent="0.25">
      <c r="A508" s="387"/>
      <c r="B508" s="388"/>
      <c r="C508" s="389"/>
      <c r="D508" s="389"/>
      <c r="E508" s="389"/>
      <c r="F508" s="389"/>
      <c r="G508" s="389"/>
      <c r="H508" s="389"/>
      <c r="I508" s="389"/>
      <c r="J508" s="386"/>
      <c r="K508" s="386"/>
      <c r="L508" s="386"/>
      <c r="M508" s="386"/>
      <c r="N508" s="386"/>
    </row>
    <row r="509" spans="1:14" s="325" customFormat="1" ht="15" hidden="1" x14ac:dyDescent="0.25">
      <c r="A509" s="387"/>
      <c r="B509" s="388"/>
      <c r="C509" s="389"/>
      <c r="D509" s="389"/>
      <c r="E509" s="389"/>
      <c r="F509" s="389"/>
      <c r="G509" s="389"/>
      <c r="H509" s="389"/>
      <c r="I509" s="389"/>
      <c r="J509" s="386"/>
      <c r="K509" s="386"/>
      <c r="L509" s="386"/>
      <c r="M509" s="386"/>
      <c r="N509" s="386"/>
    </row>
    <row r="510" spans="1:14" s="325" customFormat="1" ht="15" hidden="1" x14ac:dyDescent="0.25">
      <c r="A510" s="387"/>
      <c r="B510" s="388"/>
      <c r="C510" s="389"/>
      <c r="D510" s="389"/>
      <c r="E510" s="389"/>
      <c r="F510" s="389"/>
      <c r="G510" s="389"/>
      <c r="H510" s="389"/>
      <c r="I510" s="389"/>
      <c r="J510" s="386"/>
      <c r="K510" s="386"/>
      <c r="L510" s="386"/>
      <c r="M510" s="386"/>
      <c r="N510" s="386"/>
    </row>
    <row r="511" spans="1:14" s="325" customFormat="1" ht="15" hidden="1" x14ac:dyDescent="0.25">
      <c r="A511" s="387"/>
      <c r="B511" s="388"/>
      <c r="C511" s="389"/>
      <c r="D511" s="389"/>
      <c r="E511" s="389"/>
      <c r="F511" s="389"/>
      <c r="G511" s="389"/>
      <c r="H511" s="389"/>
      <c r="I511" s="389"/>
      <c r="J511" s="386"/>
      <c r="K511" s="386"/>
      <c r="L511" s="386"/>
      <c r="M511" s="386"/>
      <c r="N511" s="386"/>
    </row>
    <row r="512" spans="1:14" s="325" customFormat="1" ht="15" hidden="1" x14ac:dyDescent="0.25">
      <c r="A512" s="387"/>
      <c r="B512" s="388"/>
      <c r="C512" s="389"/>
      <c r="D512" s="389"/>
      <c r="E512" s="389"/>
      <c r="F512" s="389"/>
      <c r="G512" s="389"/>
      <c r="H512" s="389"/>
      <c r="I512" s="389"/>
      <c r="J512" s="386"/>
      <c r="K512" s="386"/>
      <c r="L512" s="386"/>
      <c r="M512" s="386"/>
      <c r="N512" s="386"/>
    </row>
    <row r="513" spans="1:14" s="325" customFormat="1" ht="15" hidden="1" x14ac:dyDescent="0.25">
      <c r="A513" s="387"/>
      <c r="B513" s="388"/>
      <c r="C513" s="389"/>
      <c r="D513" s="389"/>
      <c r="E513" s="389"/>
      <c r="F513" s="389"/>
      <c r="G513" s="389"/>
      <c r="H513" s="389"/>
      <c r="I513" s="389"/>
      <c r="J513" s="386"/>
      <c r="K513" s="386"/>
      <c r="L513" s="386"/>
      <c r="M513" s="386"/>
      <c r="N513" s="386"/>
    </row>
    <row r="514" spans="1:14" s="325" customFormat="1" ht="15" hidden="1" x14ac:dyDescent="0.25">
      <c r="A514" s="387"/>
      <c r="B514" s="388"/>
      <c r="C514" s="389"/>
      <c r="D514" s="389"/>
      <c r="E514" s="389"/>
      <c r="F514" s="389"/>
      <c r="G514" s="389"/>
      <c r="H514" s="389"/>
      <c r="I514" s="389"/>
      <c r="J514" s="386"/>
      <c r="K514" s="386"/>
      <c r="L514" s="386"/>
      <c r="M514" s="386"/>
      <c r="N514" s="386"/>
    </row>
    <row r="515" spans="1:14" s="325" customFormat="1" ht="15" hidden="1" x14ac:dyDescent="0.25">
      <c r="A515" s="387"/>
      <c r="B515" s="388"/>
      <c r="C515" s="389"/>
      <c r="D515" s="389"/>
      <c r="E515" s="389"/>
      <c r="F515" s="389"/>
      <c r="G515" s="389"/>
      <c r="H515" s="389"/>
      <c r="I515" s="389"/>
      <c r="J515" s="386"/>
      <c r="K515" s="386"/>
      <c r="L515" s="386"/>
      <c r="M515" s="386"/>
      <c r="N515" s="386"/>
    </row>
    <row r="516" spans="1:14" s="325" customFormat="1" ht="15" hidden="1" x14ac:dyDescent="0.25">
      <c r="A516" s="387"/>
      <c r="B516" s="388"/>
      <c r="C516" s="389"/>
      <c r="D516" s="389"/>
      <c r="E516" s="389"/>
      <c r="F516" s="389"/>
      <c r="G516" s="389"/>
      <c r="H516" s="389"/>
      <c r="I516" s="389"/>
      <c r="J516" s="386"/>
      <c r="K516" s="386"/>
      <c r="L516" s="386"/>
      <c r="M516" s="386"/>
      <c r="N516" s="386"/>
    </row>
    <row r="517" spans="1:14" s="325" customFormat="1" ht="15" hidden="1" x14ac:dyDescent="0.25">
      <c r="A517" s="387"/>
      <c r="B517" s="388"/>
      <c r="C517" s="389"/>
      <c r="D517" s="389"/>
      <c r="E517" s="389"/>
      <c r="F517" s="389"/>
      <c r="G517" s="389"/>
      <c r="H517" s="389"/>
      <c r="I517" s="389"/>
      <c r="J517" s="386"/>
      <c r="K517" s="386"/>
      <c r="L517" s="386"/>
      <c r="M517" s="386"/>
      <c r="N517" s="386"/>
    </row>
    <row r="518" spans="1:14" s="325" customFormat="1" ht="15" hidden="1" x14ac:dyDescent="0.25">
      <c r="A518" s="387"/>
      <c r="B518" s="388"/>
      <c r="C518" s="389"/>
      <c r="D518" s="389"/>
      <c r="E518" s="389"/>
      <c r="F518" s="389"/>
      <c r="G518" s="389"/>
      <c r="H518" s="389"/>
      <c r="I518" s="389"/>
      <c r="J518" s="386"/>
      <c r="K518" s="386"/>
      <c r="L518" s="386"/>
      <c r="M518" s="386"/>
      <c r="N518" s="386"/>
    </row>
    <row r="519" spans="1:14" s="325" customFormat="1" ht="15" hidden="1" x14ac:dyDescent="0.25">
      <c r="A519" s="387"/>
      <c r="B519" s="388"/>
      <c r="C519" s="389"/>
      <c r="D519" s="389"/>
      <c r="E519" s="389"/>
      <c r="F519" s="389"/>
      <c r="G519" s="389"/>
      <c r="H519" s="389"/>
      <c r="I519" s="389"/>
      <c r="J519" s="386"/>
      <c r="K519" s="386"/>
      <c r="L519" s="386"/>
      <c r="M519" s="386"/>
      <c r="N519" s="386"/>
    </row>
    <row r="520" spans="1:14" s="325" customFormat="1" ht="15" hidden="1" x14ac:dyDescent="0.25">
      <c r="A520" s="387"/>
      <c r="B520" s="388"/>
      <c r="C520" s="389"/>
      <c r="D520" s="389"/>
      <c r="E520" s="389"/>
      <c r="F520" s="389"/>
      <c r="G520" s="389"/>
      <c r="H520" s="389"/>
      <c r="I520" s="389"/>
      <c r="J520" s="386"/>
      <c r="K520" s="386"/>
      <c r="L520" s="386"/>
      <c r="M520" s="386"/>
      <c r="N520" s="386"/>
    </row>
    <row r="521" spans="1:14" s="325" customFormat="1" ht="15" hidden="1" x14ac:dyDescent="0.25">
      <c r="A521" s="387"/>
      <c r="B521" s="388"/>
      <c r="C521" s="389"/>
      <c r="D521" s="389"/>
      <c r="E521" s="389"/>
      <c r="F521" s="389"/>
      <c r="G521" s="389"/>
      <c r="H521" s="389"/>
      <c r="I521" s="389"/>
      <c r="J521" s="386"/>
      <c r="K521" s="386"/>
      <c r="L521" s="386"/>
      <c r="M521" s="386"/>
      <c r="N521" s="386"/>
    </row>
    <row r="522" spans="1:14" s="325" customFormat="1" ht="15" hidden="1" x14ac:dyDescent="0.25">
      <c r="A522" s="387"/>
      <c r="B522" s="388"/>
      <c r="C522" s="389"/>
      <c r="D522" s="389"/>
      <c r="E522" s="389"/>
      <c r="F522" s="389"/>
      <c r="G522" s="389"/>
      <c r="H522" s="389"/>
      <c r="I522" s="389"/>
      <c r="J522" s="386"/>
      <c r="K522" s="386"/>
      <c r="L522" s="386"/>
      <c r="M522" s="386"/>
      <c r="N522" s="386"/>
    </row>
    <row r="523" spans="1:14" s="325" customFormat="1" ht="15" hidden="1" x14ac:dyDescent="0.25">
      <c r="A523" s="387"/>
      <c r="B523" s="388"/>
      <c r="C523" s="389"/>
      <c r="D523" s="389"/>
      <c r="E523" s="389"/>
      <c r="F523" s="389"/>
      <c r="G523" s="389"/>
      <c r="H523" s="389"/>
      <c r="I523" s="389"/>
      <c r="J523" s="386"/>
      <c r="K523" s="386"/>
      <c r="L523" s="386"/>
      <c r="M523" s="386"/>
      <c r="N523" s="386"/>
    </row>
    <row r="524" spans="1:14" s="325" customFormat="1" ht="15" hidden="1" x14ac:dyDescent="0.25">
      <c r="A524" s="387"/>
      <c r="B524" s="388"/>
      <c r="C524" s="389"/>
      <c r="D524" s="389"/>
      <c r="E524" s="389"/>
      <c r="F524" s="389"/>
      <c r="G524" s="389"/>
      <c r="H524" s="389"/>
      <c r="I524" s="389"/>
      <c r="J524" s="386"/>
      <c r="K524" s="386"/>
      <c r="L524" s="386"/>
      <c r="M524" s="386"/>
      <c r="N524" s="386"/>
    </row>
    <row r="525" spans="1:14" s="325" customFormat="1" ht="15" hidden="1" x14ac:dyDescent="0.25">
      <c r="A525" s="387"/>
      <c r="B525" s="388"/>
      <c r="C525" s="389"/>
      <c r="D525" s="389"/>
      <c r="E525" s="389"/>
      <c r="F525" s="389"/>
      <c r="G525" s="389"/>
      <c r="H525" s="389"/>
      <c r="I525" s="389"/>
      <c r="J525" s="386"/>
      <c r="K525" s="386"/>
      <c r="L525" s="386"/>
      <c r="M525" s="386"/>
      <c r="N525" s="386"/>
    </row>
    <row r="526" spans="1:14" s="325" customFormat="1" ht="15" hidden="1" x14ac:dyDescent="0.25">
      <c r="A526" s="387"/>
      <c r="B526" s="388"/>
      <c r="C526" s="389"/>
      <c r="D526" s="389"/>
      <c r="E526" s="389"/>
      <c r="F526" s="389"/>
      <c r="G526" s="389"/>
      <c r="H526" s="389"/>
      <c r="I526" s="389"/>
      <c r="J526" s="386"/>
      <c r="K526" s="386"/>
      <c r="L526" s="386"/>
      <c r="M526" s="386"/>
      <c r="N526" s="386"/>
    </row>
    <row r="527" spans="1:14" s="325" customFormat="1" ht="15" hidden="1" x14ac:dyDescent="0.25">
      <c r="A527" s="387"/>
      <c r="B527" s="388"/>
      <c r="C527" s="389"/>
      <c r="D527" s="389"/>
      <c r="E527" s="389"/>
      <c r="F527" s="389"/>
      <c r="G527" s="389"/>
      <c r="H527" s="389"/>
      <c r="I527" s="389"/>
      <c r="J527" s="386"/>
      <c r="K527" s="386"/>
      <c r="L527" s="386"/>
      <c r="M527" s="386"/>
      <c r="N527" s="386"/>
    </row>
    <row r="528" spans="1:14" s="325" customFormat="1" ht="15" hidden="1" x14ac:dyDescent="0.25">
      <c r="A528" s="387"/>
      <c r="B528" s="388"/>
      <c r="C528" s="389"/>
      <c r="D528" s="389"/>
      <c r="E528" s="389"/>
      <c r="F528" s="389"/>
      <c r="G528" s="389"/>
      <c r="H528" s="389"/>
      <c r="I528" s="389"/>
      <c r="J528" s="386"/>
      <c r="K528" s="386"/>
      <c r="L528" s="386"/>
      <c r="M528" s="386"/>
      <c r="N528" s="386"/>
    </row>
    <row r="529" spans="1:14" s="325" customFormat="1" ht="15" hidden="1" x14ac:dyDescent="0.25">
      <c r="A529" s="387"/>
      <c r="B529" s="388"/>
      <c r="C529" s="389"/>
      <c r="D529" s="389"/>
      <c r="E529" s="389"/>
      <c r="F529" s="389"/>
      <c r="G529" s="389"/>
      <c r="H529" s="389"/>
      <c r="I529" s="389"/>
      <c r="J529" s="386"/>
      <c r="K529" s="386"/>
      <c r="L529" s="386"/>
      <c r="M529" s="386"/>
      <c r="N529" s="386"/>
    </row>
    <row r="530" spans="1:14" s="325" customFormat="1" ht="15" hidden="1" x14ac:dyDescent="0.25">
      <c r="A530" s="387"/>
      <c r="B530" s="388"/>
      <c r="C530" s="389"/>
      <c r="D530" s="389"/>
      <c r="E530" s="389"/>
      <c r="F530" s="389"/>
      <c r="G530" s="389"/>
      <c r="H530" s="389"/>
      <c r="I530" s="389"/>
      <c r="J530" s="386"/>
      <c r="K530" s="386"/>
      <c r="L530" s="386"/>
      <c r="M530" s="386"/>
      <c r="N530" s="386"/>
    </row>
    <row r="531" spans="1:14" s="325" customFormat="1" ht="15" hidden="1" x14ac:dyDescent="0.25">
      <c r="A531" s="387"/>
      <c r="B531" s="388"/>
      <c r="C531" s="389"/>
      <c r="D531" s="389"/>
      <c r="E531" s="389"/>
      <c r="F531" s="389"/>
      <c r="G531" s="389"/>
      <c r="H531" s="389"/>
      <c r="I531" s="389"/>
      <c r="J531" s="386"/>
      <c r="K531" s="386"/>
      <c r="L531" s="386"/>
      <c r="M531" s="386"/>
      <c r="N531" s="386"/>
    </row>
    <row r="532" spans="1:14" s="325" customFormat="1" ht="15" hidden="1" x14ac:dyDescent="0.25">
      <c r="A532" s="387"/>
      <c r="B532" s="388"/>
      <c r="C532" s="389"/>
      <c r="D532" s="389"/>
      <c r="E532" s="389"/>
      <c r="F532" s="389"/>
      <c r="G532" s="389"/>
      <c r="H532" s="389"/>
      <c r="I532" s="389"/>
      <c r="J532" s="386"/>
      <c r="K532" s="386"/>
      <c r="L532" s="386"/>
      <c r="M532" s="386"/>
      <c r="N532" s="386"/>
    </row>
    <row r="533" spans="1:14" s="325" customFormat="1" ht="15" hidden="1" x14ac:dyDescent="0.25">
      <c r="A533" s="387"/>
      <c r="B533" s="388"/>
      <c r="C533" s="389"/>
      <c r="D533" s="389"/>
      <c r="E533" s="389"/>
      <c r="F533" s="389"/>
      <c r="G533" s="389"/>
      <c r="H533" s="389"/>
      <c r="I533" s="389"/>
      <c r="J533" s="386"/>
      <c r="K533" s="386"/>
      <c r="L533" s="386"/>
      <c r="M533" s="386"/>
      <c r="N533" s="386"/>
    </row>
    <row r="534" spans="1:14" s="325" customFormat="1" ht="15" hidden="1" x14ac:dyDescent="0.25">
      <c r="A534" s="387"/>
      <c r="B534" s="388"/>
      <c r="C534" s="389"/>
      <c r="D534" s="389"/>
      <c r="E534" s="389"/>
      <c r="F534" s="389"/>
      <c r="G534" s="389"/>
      <c r="H534" s="389"/>
      <c r="I534" s="389"/>
      <c r="J534" s="386"/>
      <c r="K534" s="386"/>
      <c r="L534" s="386"/>
      <c r="M534" s="386"/>
      <c r="N534" s="386"/>
    </row>
    <row r="535" spans="1:14" s="325" customFormat="1" ht="15" hidden="1" x14ac:dyDescent="0.25">
      <c r="A535" s="387"/>
      <c r="B535" s="388"/>
      <c r="C535" s="389"/>
      <c r="D535" s="389"/>
      <c r="E535" s="389"/>
      <c r="F535" s="389"/>
      <c r="G535" s="389"/>
      <c r="H535" s="389"/>
      <c r="I535" s="389"/>
      <c r="J535" s="386"/>
      <c r="K535" s="386"/>
      <c r="L535" s="386"/>
      <c r="M535" s="386"/>
      <c r="N535" s="386"/>
    </row>
    <row r="536" spans="1:14" s="325" customFormat="1" ht="15" hidden="1" x14ac:dyDescent="0.25">
      <c r="A536" s="387"/>
      <c r="B536" s="388"/>
      <c r="C536" s="389"/>
      <c r="D536" s="389"/>
      <c r="E536" s="389"/>
      <c r="F536" s="389"/>
      <c r="G536" s="389"/>
      <c r="H536" s="389"/>
      <c r="I536" s="389"/>
      <c r="J536" s="386"/>
      <c r="K536" s="386"/>
      <c r="L536" s="386"/>
      <c r="M536" s="386"/>
      <c r="N536" s="386"/>
    </row>
    <row r="537" spans="1:14" s="325" customFormat="1" ht="15" hidden="1" x14ac:dyDescent="0.25">
      <c r="A537" s="387"/>
      <c r="B537" s="388"/>
      <c r="C537" s="389"/>
      <c r="D537" s="389"/>
      <c r="E537" s="389"/>
      <c r="F537" s="389"/>
      <c r="G537" s="389"/>
      <c r="H537" s="389"/>
      <c r="I537" s="389"/>
      <c r="J537" s="386"/>
      <c r="K537" s="386"/>
      <c r="L537" s="386"/>
      <c r="M537" s="386"/>
      <c r="N537" s="386"/>
    </row>
    <row r="538" spans="1:14" s="325" customFormat="1" ht="15" hidden="1" x14ac:dyDescent="0.25">
      <c r="A538" s="387"/>
      <c r="B538" s="388"/>
      <c r="C538" s="389"/>
      <c r="D538" s="389"/>
      <c r="E538" s="389"/>
      <c r="F538" s="389"/>
      <c r="G538" s="389"/>
      <c r="H538" s="389"/>
      <c r="I538" s="389"/>
      <c r="J538" s="386"/>
      <c r="K538" s="386"/>
      <c r="L538" s="386"/>
      <c r="M538" s="386"/>
      <c r="N538" s="386"/>
    </row>
    <row r="539" spans="1:14" s="325" customFormat="1" ht="15" hidden="1" x14ac:dyDescent="0.25">
      <c r="A539" s="387"/>
      <c r="B539" s="388"/>
      <c r="C539" s="389"/>
      <c r="D539" s="389"/>
      <c r="E539" s="389"/>
      <c r="F539" s="389"/>
      <c r="G539" s="389"/>
      <c r="H539" s="389"/>
      <c r="I539" s="389"/>
      <c r="J539" s="386"/>
      <c r="K539" s="386"/>
      <c r="L539" s="386"/>
      <c r="M539" s="386"/>
      <c r="N539" s="386"/>
    </row>
    <row r="540" spans="1:14" s="325" customFormat="1" ht="15" hidden="1" x14ac:dyDescent="0.25">
      <c r="A540" s="387"/>
      <c r="B540" s="388"/>
      <c r="C540" s="389"/>
      <c r="D540" s="389"/>
      <c r="E540" s="389"/>
      <c r="F540" s="389"/>
      <c r="G540" s="389"/>
      <c r="H540" s="389"/>
      <c r="I540" s="389"/>
      <c r="J540" s="386"/>
      <c r="K540" s="386"/>
      <c r="L540" s="386"/>
      <c r="M540" s="386"/>
      <c r="N540" s="386"/>
    </row>
    <row r="541" spans="1:14" s="325" customFormat="1" ht="15" hidden="1" x14ac:dyDescent="0.25">
      <c r="A541" s="387"/>
      <c r="B541" s="388"/>
      <c r="C541" s="389"/>
      <c r="D541" s="389"/>
      <c r="E541" s="389"/>
      <c r="F541" s="389"/>
      <c r="G541" s="389"/>
      <c r="H541" s="389"/>
      <c r="I541" s="389"/>
      <c r="J541" s="386"/>
      <c r="K541" s="386"/>
      <c r="L541" s="386"/>
      <c r="M541" s="386"/>
      <c r="N541" s="386"/>
    </row>
    <row r="542" spans="1:14" s="325" customFormat="1" ht="15" hidden="1" x14ac:dyDescent="0.25">
      <c r="A542" s="387"/>
      <c r="B542" s="388"/>
      <c r="C542" s="389"/>
      <c r="D542" s="389"/>
      <c r="E542" s="389"/>
      <c r="F542" s="389"/>
      <c r="G542" s="389"/>
      <c r="H542" s="389"/>
      <c r="I542" s="389"/>
      <c r="J542" s="386"/>
      <c r="K542" s="386"/>
      <c r="L542" s="386"/>
      <c r="M542" s="386"/>
      <c r="N542" s="386"/>
    </row>
    <row r="543" spans="1:14" s="325" customFormat="1" ht="15" hidden="1" x14ac:dyDescent="0.25">
      <c r="A543" s="387"/>
      <c r="B543" s="388"/>
      <c r="C543" s="389"/>
      <c r="D543" s="389"/>
      <c r="E543" s="389"/>
      <c r="F543" s="389"/>
      <c r="G543" s="389"/>
      <c r="H543" s="389"/>
      <c r="I543" s="389"/>
      <c r="J543" s="386"/>
      <c r="K543" s="386"/>
      <c r="L543" s="386"/>
      <c r="M543" s="386"/>
      <c r="N543" s="386"/>
    </row>
    <row r="544" spans="1:14" s="325" customFormat="1" ht="15" hidden="1" x14ac:dyDescent="0.25">
      <c r="A544" s="387"/>
      <c r="B544" s="388"/>
      <c r="C544" s="389"/>
      <c r="D544" s="389"/>
      <c r="E544" s="389"/>
      <c r="F544" s="389"/>
      <c r="G544" s="389"/>
      <c r="H544" s="389"/>
      <c r="I544" s="389"/>
      <c r="J544" s="386"/>
      <c r="K544" s="386"/>
      <c r="L544" s="386"/>
      <c r="M544" s="386"/>
      <c r="N544" s="386"/>
    </row>
    <row r="545" spans="1:14" s="325" customFormat="1" ht="15" hidden="1" x14ac:dyDescent="0.25">
      <c r="A545" s="387"/>
      <c r="B545" s="388"/>
      <c r="C545" s="389"/>
      <c r="D545" s="389"/>
      <c r="E545" s="389"/>
      <c r="F545" s="389"/>
      <c r="G545" s="389"/>
      <c r="H545" s="389"/>
      <c r="I545" s="389"/>
      <c r="J545" s="386"/>
      <c r="K545" s="386"/>
      <c r="L545" s="386"/>
      <c r="M545" s="386"/>
      <c r="N545" s="386"/>
    </row>
    <row r="546" spans="1:14" s="325" customFormat="1" ht="15" hidden="1" x14ac:dyDescent="0.25">
      <c r="A546" s="387"/>
      <c r="B546" s="388"/>
      <c r="C546" s="389"/>
      <c r="D546" s="389"/>
      <c r="E546" s="389"/>
      <c r="F546" s="389"/>
      <c r="G546" s="389"/>
      <c r="H546" s="389"/>
      <c r="I546" s="389"/>
      <c r="J546" s="386"/>
      <c r="K546" s="386"/>
      <c r="L546" s="386"/>
      <c r="M546" s="386"/>
      <c r="N546" s="386"/>
    </row>
    <row r="547" spans="1:14" s="325" customFormat="1" ht="15" hidden="1" x14ac:dyDescent="0.25">
      <c r="A547" s="387"/>
      <c r="B547" s="388"/>
      <c r="C547" s="389"/>
      <c r="D547" s="389"/>
      <c r="E547" s="389"/>
      <c r="F547" s="389"/>
      <c r="G547" s="389"/>
      <c r="H547" s="389"/>
      <c r="I547" s="389"/>
      <c r="J547" s="386"/>
      <c r="K547" s="386"/>
      <c r="L547" s="386"/>
      <c r="M547" s="386"/>
      <c r="N547" s="386"/>
    </row>
    <row r="548" spans="1:14" s="325" customFormat="1" ht="15" hidden="1" x14ac:dyDescent="0.25">
      <c r="A548" s="387"/>
      <c r="B548" s="388"/>
      <c r="C548" s="389"/>
      <c r="D548" s="389"/>
      <c r="E548" s="389"/>
      <c r="F548" s="389"/>
      <c r="G548" s="389"/>
      <c r="H548" s="389"/>
      <c r="I548" s="389"/>
      <c r="J548" s="386"/>
      <c r="K548" s="386"/>
      <c r="L548" s="386"/>
      <c r="M548" s="386"/>
      <c r="N548" s="386"/>
    </row>
    <row r="549" spans="1:14" s="325" customFormat="1" ht="15" hidden="1" x14ac:dyDescent="0.25">
      <c r="A549" s="387"/>
      <c r="B549" s="388"/>
      <c r="C549" s="389"/>
      <c r="D549" s="389"/>
      <c r="E549" s="389"/>
      <c r="F549" s="389"/>
      <c r="G549" s="389"/>
      <c r="H549" s="389"/>
      <c r="I549" s="389"/>
      <c r="J549" s="386"/>
      <c r="K549" s="386"/>
      <c r="L549" s="386"/>
      <c r="M549" s="386"/>
      <c r="N549" s="386"/>
    </row>
    <row r="550" spans="1:14" s="325" customFormat="1" ht="15" hidden="1" x14ac:dyDescent="0.25">
      <c r="A550" s="387"/>
      <c r="B550" s="388"/>
      <c r="C550" s="389"/>
      <c r="D550" s="389"/>
      <c r="E550" s="389"/>
      <c r="F550" s="389"/>
      <c r="G550" s="389"/>
      <c r="H550" s="389"/>
      <c r="I550" s="389"/>
      <c r="J550" s="386"/>
      <c r="K550" s="386"/>
      <c r="L550" s="386"/>
      <c r="M550" s="386"/>
      <c r="N550" s="386"/>
    </row>
    <row r="551" spans="1:14" s="325" customFormat="1" ht="15" hidden="1" x14ac:dyDescent="0.25">
      <c r="A551" s="387"/>
      <c r="B551" s="388"/>
      <c r="C551" s="389"/>
      <c r="D551" s="389"/>
      <c r="E551" s="389"/>
      <c r="F551" s="389"/>
      <c r="G551" s="389"/>
      <c r="H551" s="389"/>
      <c r="I551" s="389"/>
      <c r="J551" s="386"/>
      <c r="K551" s="386"/>
      <c r="L551" s="386"/>
      <c r="M551" s="386"/>
      <c r="N551" s="386"/>
    </row>
    <row r="552" spans="1:14" s="325" customFormat="1" ht="15" hidden="1" x14ac:dyDescent="0.25">
      <c r="A552" s="387"/>
      <c r="B552" s="388"/>
      <c r="C552" s="389"/>
      <c r="D552" s="389"/>
      <c r="E552" s="389"/>
      <c r="F552" s="389"/>
      <c r="G552" s="389"/>
      <c r="H552" s="389"/>
      <c r="I552" s="389"/>
      <c r="J552" s="386"/>
      <c r="K552" s="386"/>
      <c r="L552" s="386"/>
      <c r="M552" s="386"/>
      <c r="N552" s="386"/>
    </row>
    <row r="553" spans="1:14" s="325" customFormat="1" ht="15" hidden="1" x14ac:dyDescent="0.25">
      <c r="A553" s="387"/>
      <c r="B553" s="388"/>
      <c r="C553" s="389"/>
      <c r="D553" s="389"/>
      <c r="E553" s="389"/>
      <c r="F553" s="389"/>
      <c r="G553" s="389"/>
      <c r="H553" s="389"/>
      <c r="I553" s="389"/>
      <c r="J553" s="386"/>
      <c r="K553" s="386"/>
      <c r="L553" s="386"/>
      <c r="M553" s="386"/>
      <c r="N553" s="386"/>
    </row>
    <row r="554" spans="1:14" s="325" customFormat="1" ht="15" hidden="1" x14ac:dyDescent="0.25">
      <c r="A554" s="387"/>
      <c r="B554" s="388"/>
      <c r="C554" s="389"/>
      <c r="D554" s="389"/>
      <c r="E554" s="389"/>
      <c r="F554" s="389"/>
      <c r="G554" s="389"/>
      <c r="H554" s="389"/>
      <c r="I554" s="389"/>
      <c r="J554" s="386"/>
      <c r="K554" s="386"/>
      <c r="L554" s="386"/>
      <c r="M554" s="386"/>
      <c r="N554" s="386"/>
    </row>
    <row r="555" spans="1:14" s="325" customFormat="1" ht="15" hidden="1" x14ac:dyDescent="0.25">
      <c r="A555" s="387"/>
      <c r="B555" s="388"/>
      <c r="C555" s="389"/>
      <c r="D555" s="389"/>
      <c r="E555" s="389"/>
      <c r="F555" s="389"/>
      <c r="G555" s="389"/>
      <c r="H555" s="389"/>
      <c r="I555" s="389"/>
      <c r="J555" s="386"/>
      <c r="K555" s="386"/>
      <c r="L555" s="386"/>
      <c r="M555" s="386"/>
      <c r="N555" s="386"/>
    </row>
    <row r="556" spans="1:14" s="325" customFormat="1" ht="15" hidden="1" x14ac:dyDescent="0.25">
      <c r="A556" s="387"/>
      <c r="B556" s="388"/>
      <c r="C556" s="389"/>
      <c r="D556" s="389"/>
      <c r="E556" s="389"/>
      <c r="F556" s="389"/>
      <c r="G556" s="389"/>
      <c r="H556" s="389"/>
      <c r="I556" s="389"/>
      <c r="J556" s="386"/>
      <c r="K556" s="386"/>
      <c r="L556" s="386"/>
      <c r="M556" s="386"/>
      <c r="N556" s="386"/>
    </row>
    <row r="557" spans="1:14" s="325" customFormat="1" ht="15" hidden="1" x14ac:dyDescent="0.25">
      <c r="A557" s="387"/>
      <c r="B557" s="388"/>
      <c r="C557" s="389"/>
      <c r="D557" s="389"/>
      <c r="E557" s="389"/>
      <c r="F557" s="389"/>
      <c r="G557" s="389"/>
      <c r="H557" s="389"/>
      <c r="I557" s="389"/>
      <c r="J557" s="386"/>
      <c r="K557" s="386"/>
      <c r="L557" s="386"/>
      <c r="M557" s="386"/>
      <c r="N557" s="386"/>
    </row>
    <row r="558" spans="1:14" s="325" customFormat="1" ht="15" hidden="1" x14ac:dyDescent="0.25">
      <c r="A558" s="387"/>
      <c r="B558" s="388"/>
      <c r="C558" s="389"/>
      <c r="D558" s="389"/>
      <c r="E558" s="389"/>
      <c r="F558" s="389"/>
      <c r="G558" s="389"/>
      <c r="H558" s="389"/>
      <c r="I558" s="389"/>
      <c r="J558" s="386"/>
      <c r="K558" s="386"/>
      <c r="L558" s="386"/>
      <c r="M558" s="386"/>
      <c r="N558" s="386"/>
    </row>
    <row r="559" spans="1:14" s="325" customFormat="1" ht="15" hidden="1" x14ac:dyDescent="0.25">
      <c r="A559" s="387"/>
      <c r="B559" s="388"/>
      <c r="C559" s="389"/>
      <c r="D559" s="389"/>
      <c r="E559" s="389"/>
      <c r="F559" s="389"/>
      <c r="G559" s="389"/>
      <c r="H559" s="389"/>
      <c r="I559" s="389"/>
      <c r="J559" s="386"/>
      <c r="K559" s="386"/>
      <c r="L559" s="386"/>
      <c r="M559" s="386"/>
      <c r="N559" s="386"/>
    </row>
    <row r="560" spans="1:14" s="325" customFormat="1" ht="15" hidden="1" x14ac:dyDescent="0.25">
      <c r="A560" s="387"/>
      <c r="B560" s="388"/>
      <c r="C560" s="389"/>
      <c r="D560" s="389"/>
      <c r="E560" s="389"/>
      <c r="F560" s="389"/>
      <c r="G560" s="389"/>
      <c r="H560" s="389"/>
      <c r="I560" s="389"/>
      <c r="J560" s="386"/>
      <c r="K560" s="386"/>
      <c r="L560" s="386"/>
      <c r="M560" s="386"/>
      <c r="N560" s="386"/>
    </row>
    <row r="561" spans="1:14" s="325" customFormat="1" ht="15" hidden="1" x14ac:dyDescent="0.25">
      <c r="A561" s="387"/>
      <c r="B561" s="388"/>
      <c r="C561" s="389"/>
      <c r="D561" s="389"/>
      <c r="E561" s="389"/>
      <c r="F561" s="389"/>
      <c r="G561" s="389"/>
      <c r="H561" s="389"/>
      <c r="I561" s="389"/>
      <c r="J561" s="386"/>
      <c r="K561" s="386"/>
      <c r="L561" s="386"/>
      <c r="M561" s="386"/>
      <c r="N561" s="386"/>
    </row>
    <row r="562" spans="1:14" s="325" customFormat="1" ht="15" hidden="1" x14ac:dyDescent="0.25">
      <c r="A562" s="387"/>
      <c r="B562" s="388"/>
      <c r="C562" s="389"/>
      <c r="D562" s="389"/>
      <c r="E562" s="389"/>
      <c r="F562" s="389"/>
      <c r="G562" s="389"/>
      <c r="H562" s="389"/>
      <c r="I562" s="389"/>
      <c r="J562" s="386"/>
      <c r="K562" s="386"/>
      <c r="L562" s="386"/>
      <c r="M562" s="386"/>
      <c r="N562" s="386"/>
    </row>
    <row r="563" spans="1:14" s="325" customFormat="1" ht="15" hidden="1" x14ac:dyDescent="0.25">
      <c r="A563" s="387"/>
      <c r="B563" s="388"/>
      <c r="C563" s="389"/>
      <c r="D563" s="389"/>
      <c r="E563" s="389"/>
      <c r="F563" s="389"/>
      <c r="G563" s="389"/>
      <c r="H563" s="389"/>
      <c r="I563" s="389"/>
      <c r="J563" s="386"/>
      <c r="K563" s="386"/>
      <c r="L563" s="386"/>
      <c r="M563" s="386"/>
      <c r="N563" s="386"/>
    </row>
    <row r="564" spans="1:14" s="325" customFormat="1" ht="15" hidden="1" x14ac:dyDescent="0.25">
      <c r="A564" s="387"/>
      <c r="B564" s="388"/>
      <c r="C564" s="389"/>
      <c r="D564" s="389"/>
      <c r="E564" s="389"/>
      <c r="F564" s="389"/>
      <c r="G564" s="389"/>
      <c r="H564" s="389"/>
      <c r="I564" s="389"/>
      <c r="J564" s="386"/>
      <c r="K564" s="386"/>
      <c r="L564" s="386"/>
      <c r="M564" s="386"/>
      <c r="N564" s="386"/>
    </row>
    <row r="565" spans="1:14" s="325" customFormat="1" ht="15" hidden="1" x14ac:dyDescent="0.25">
      <c r="A565" s="387"/>
      <c r="B565" s="388"/>
      <c r="C565" s="389"/>
      <c r="D565" s="389"/>
      <c r="E565" s="389"/>
      <c r="F565" s="389"/>
      <c r="G565" s="389"/>
      <c r="H565" s="389"/>
      <c r="I565" s="389"/>
      <c r="J565" s="386"/>
      <c r="K565" s="386"/>
      <c r="L565" s="386"/>
      <c r="M565" s="386"/>
      <c r="N565" s="386"/>
    </row>
    <row r="566" spans="1:14" s="325" customFormat="1" ht="15" hidden="1" x14ac:dyDescent="0.25">
      <c r="A566" s="387"/>
      <c r="B566" s="388"/>
      <c r="C566" s="389"/>
      <c r="D566" s="389"/>
      <c r="E566" s="389"/>
      <c r="F566" s="389"/>
      <c r="G566" s="389"/>
      <c r="H566" s="389"/>
      <c r="I566" s="389"/>
      <c r="J566" s="386"/>
      <c r="K566" s="386"/>
      <c r="L566" s="386"/>
      <c r="M566" s="386"/>
      <c r="N566" s="386"/>
    </row>
    <row r="567" spans="1:14" s="325" customFormat="1" ht="15" hidden="1" x14ac:dyDescent="0.25">
      <c r="A567" s="387"/>
      <c r="B567" s="388"/>
      <c r="C567" s="389"/>
      <c r="D567" s="389"/>
      <c r="E567" s="389"/>
      <c r="F567" s="389"/>
      <c r="G567" s="389"/>
      <c r="H567" s="389"/>
      <c r="I567" s="389"/>
      <c r="J567" s="386"/>
      <c r="K567" s="386"/>
      <c r="L567" s="386"/>
      <c r="M567" s="386"/>
      <c r="N567" s="386"/>
    </row>
    <row r="568" spans="1:14" s="325" customFormat="1" ht="15" hidden="1" x14ac:dyDescent="0.25">
      <c r="A568" s="387"/>
      <c r="B568" s="388"/>
      <c r="C568" s="389"/>
      <c r="D568" s="389"/>
      <c r="E568" s="389"/>
      <c r="F568" s="389"/>
      <c r="G568" s="389"/>
      <c r="H568" s="389"/>
      <c r="I568" s="389"/>
      <c r="J568" s="386"/>
      <c r="K568" s="386"/>
      <c r="L568" s="386"/>
      <c r="M568" s="386"/>
      <c r="N568" s="386"/>
    </row>
    <row r="569" spans="1:14" s="325" customFormat="1" ht="15" hidden="1" x14ac:dyDescent="0.25">
      <c r="A569" s="387"/>
      <c r="B569" s="388"/>
      <c r="C569" s="389"/>
      <c r="D569" s="389"/>
      <c r="E569" s="389"/>
      <c r="F569" s="389"/>
      <c r="G569" s="389"/>
      <c r="H569" s="389"/>
      <c r="I569" s="389"/>
      <c r="J569" s="386"/>
      <c r="K569" s="386"/>
      <c r="L569" s="386"/>
      <c r="M569" s="386"/>
      <c r="N569" s="386"/>
    </row>
    <row r="570" spans="1:14" s="325" customFormat="1" ht="15" x14ac:dyDescent="0.25">
      <c r="A570" s="387"/>
      <c r="B570" s="388"/>
      <c r="C570" s="389"/>
      <c r="D570" s="389"/>
      <c r="E570" s="389"/>
      <c r="F570" s="389"/>
      <c r="G570" s="389"/>
      <c r="H570" s="389"/>
      <c r="I570" s="389"/>
      <c r="J570" s="386"/>
      <c r="K570" s="386"/>
      <c r="L570" s="386"/>
      <c r="M570" s="386"/>
      <c r="N570" s="386"/>
    </row>
    <row r="571" spans="1:14" x14ac:dyDescent="0.25">
      <c r="A571" s="297"/>
      <c r="B571" s="298"/>
      <c r="C571" s="291"/>
      <c r="D571" s="291"/>
      <c r="E571" s="291"/>
      <c r="F571" s="291"/>
      <c r="G571" s="291"/>
      <c r="H571" s="291"/>
      <c r="I571" s="291"/>
      <c r="J571" s="295"/>
      <c r="K571" s="292"/>
      <c r="L571" s="292"/>
      <c r="M571" s="292"/>
      <c r="N571" s="292"/>
    </row>
    <row r="572" spans="1:14" x14ac:dyDescent="0.25">
      <c r="A572" s="297"/>
      <c r="B572" s="298"/>
      <c r="C572" s="291"/>
      <c r="D572" s="291"/>
      <c r="E572" s="291"/>
      <c r="F572" s="291"/>
      <c r="G572" s="291"/>
      <c r="H572" s="291"/>
      <c r="I572" s="291"/>
      <c r="J572" s="295"/>
      <c r="K572" s="292"/>
      <c r="L572" s="292"/>
      <c r="M572" s="292"/>
      <c r="N572" s="292"/>
    </row>
    <row r="573" spans="1:14" x14ac:dyDescent="0.25">
      <c r="A573" s="297"/>
      <c r="B573" s="298"/>
      <c r="C573" s="291"/>
      <c r="D573" s="291"/>
      <c r="E573" s="291"/>
      <c r="F573" s="291"/>
      <c r="G573" s="291"/>
      <c r="H573" s="291"/>
      <c r="I573" s="291"/>
      <c r="J573" s="295"/>
      <c r="K573" s="292"/>
      <c r="L573" s="292"/>
      <c r="M573" s="292"/>
      <c r="N573" s="292"/>
    </row>
    <row r="574" spans="1:14" x14ac:dyDescent="0.25">
      <c r="A574" s="297"/>
      <c r="B574" s="298"/>
      <c r="C574" s="291"/>
      <c r="D574" s="291"/>
      <c r="E574" s="291"/>
      <c r="F574" s="291"/>
      <c r="G574" s="291"/>
      <c r="H574" s="291"/>
      <c r="I574" s="291"/>
      <c r="J574" s="295"/>
      <c r="K574" s="292"/>
      <c r="L574" s="292"/>
      <c r="M574" s="292"/>
      <c r="N574" s="292"/>
    </row>
    <row r="575" spans="1:14" x14ac:dyDescent="0.25">
      <c r="A575" s="297"/>
      <c r="B575" s="298"/>
      <c r="C575" s="291"/>
      <c r="D575" s="291"/>
      <c r="E575" s="291"/>
      <c r="F575" s="291"/>
      <c r="G575" s="291"/>
      <c r="H575" s="291"/>
      <c r="I575" s="291"/>
      <c r="J575" s="295"/>
      <c r="K575" s="292"/>
      <c r="L575" s="292"/>
      <c r="M575" s="292"/>
      <c r="N575" s="292"/>
    </row>
    <row r="576" spans="1:14" x14ac:dyDescent="0.25">
      <c r="A576" s="297"/>
      <c r="B576" s="298"/>
      <c r="C576" s="291"/>
      <c r="D576" s="291"/>
      <c r="E576" s="291"/>
      <c r="F576" s="291"/>
      <c r="G576" s="291"/>
      <c r="H576" s="291"/>
      <c r="I576" s="291"/>
      <c r="J576" s="295"/>
      <c r="K576" s="292"/>
      <c r="L576" s="292"/>
      <c r="M576" s="292"/>
      <c r="N576" s="292"/>
    </row>
    <row r="577" spans="1:14" x14ac:dyDescent="0.25">
      <c r="A577" s="297"/>
      <c r="B577" s="298"/>
      <c r="C577" s="291"/>
      <c r="D577" s="291"/>
      <c r="E577" s="291"/>
      <c r="F577" s="291"/>
      <c r="G577" s="291"/>
      <c r="H577" s="291"/>
      <c r="I577" s="291"/>
      <c r="J577" s="295"/>
      <c r="K577" s="292"/>
      <c r="L577" s="292"/>
      <c r="M577" s="292"/>
      <c r="N577" s="292"/>
    </row>
    <row r="578" spans="1:14" x14ac:dyDescent="0.25">
      <c r="A578" s="297"/>
      <c r="B578" s="298"/>
      <c r="C578" s="291"/>
      <c r="D578" s="291"/>
      <c r="E578" s="291"/>
      <c r="F578" s="291"/>
      <c r="G578" s="291"/>
      <c r="H578" s="291"/>
      <c r="I578" s="291"/>
      <c r="J578" s="295"/>
      <c r="K578" s="292"/>
      <c r="L578" s="292"/>
      <c r="M578" s="292"/>
      <c r="N578" s="292"/>
    </row>
    <row r="579" spans="1:14" x14ac:dyDescent="0.25">
      <c r="A579" s="297"/>
      <c r="B579" s="298"/>
      <c r="C579" s="291"/>
      <c r="D579" s="291"/>
      <c r="E579" s="291"/>
      <c r="F579" s="291"/>
      <c r="G579" s="291"/>
      <c r="H579" s="291"/>
      <c r="I579" s="291"/>
      <c r="J579" s="295"/>
      <c r="K579" s="292"/>
      <c r="L579" s="292"/>
      <c r="M579" s="292"/>
      <c r="N579" s="292"/>
    </row>
    <row r="580" spans="1:14" x14ac:dyDescent="0.25">
      <c r="A580" s="297"/>
      <c r="B580" s="298"/>
      <c r="C580" s="291"/>
      <c r="D580" s="291"/>
      <c r="E580" s="291"/>
      <c r="F580" s="291"/>
      <c r="G580" s="291"/>
      <c r="H580" s="291"/>
      <c r="I580" s="291"/>
      <c r="J580" s="295"/>
      <c r="K580" s="292"/>
      <c r="L580" s="292"/>
      <c r="M580" s="292"/>
      <c r="N580" s="292"/>
    </row>
    <row r="581" spans="1:14" x14ac:dyDescent="0.25">
      <c r="A581" s="297"/>
      <c r="B581" s="298"/>
      <c r="C581" s="291"/>
      <c r="D581" s="291"/>
      <c r="E581" s="291"/>
      <c r="F581" s="291"/>
      <c r="G581" s="291"/>
      <c r="H581" s="291"/>
      <c r="I581" s="291"/>
      <c r="J581" s="295"/>
      <c r="K581" s="292"/>
      <c r="L581" s="292"/>
      <c r="M581" s="292"/>
      <c r="N581" s="292"/>
    </row>
    <row r="582" spans="1:14" x14ac:dyDescent="0.25">
      <c r="A582" s="297"/>
      <c r="B582" s="298"/>
      <c r="C582" s="291"/>
      <c r="D582" s="291"/>
      <c r="E582" s="291"/>
      <c r="F582" s="291"/>
      <c r="G582" s="291"/>
      <c r="H582" s="291"/>
      <c r="I582" s="291"/>
      <c r="J582" s="295"/>
      <c r="K582" s="292"/>
      <c r="L582" s="292"/>
      <c r="M582" s="292"/>
      <c r="N582" s="292"/>
    </row>
    <row r="583" spans="1:14" x14ac:dyDescent="0.25">
      <c r="A583" s="297"/>
      <c r="B583" s="298"/>
      <c r="C583" s="291"/>
      <c r="D583" s="291"/>
      <c r="E583" s="291"/>
      <c r="F583" s="291"/>
      <c r="G583" s="291"/>
      <c r="H583" s="291"/>
      <c r="I583" s="291"/>
      <c r="J583" s="295"/>
      <c r="K583" s="292"/>
      <c r="L583" s="292"/>
      <c r="M583" s="292"/>
      <c r="N583" s="292"/>
    </row>
    <row r="584" spans="1:14" x14ac:dyDescent="0.25">
      <c r="A584" s="297"/>
      <c r="B584" s="298"/>
      <c r="C584" s="291"/>
      <c r="D584" s="291"/>
      <c r="E584" s="291"/>
      <c r="F584" s="291"/>
      <c r="G584" s="291"/>
      <c r="H584" s="291"/>
      <c r="I584" s="291"/>
      <c r="J584" s="295"/>
      <c r="K584" s="292"/>
      <c r="L584" s="292"/>
      <c r="M584" s="292"/>
      <c r="N584" s="292"/>
    </row>
    <row r="585" spans="1:14" x14ac:dyDescent="0.25">
      <c r="A585" s="297"/>
      <c r="B585" s="298"/>
      <c r="C585" s="291"/>
      <c r="D585" s="291"/>
      <c r="E585" s="291"/>
      <c r="F585" s="291"/>
      <c r="G585" s="291"/>
      <c r="H585" s="291"/>
      <c r="I585" s="291"/>
      <c r="J585" s="295"/>
      <c r="K585" s="292"/>
      <c r="L585" s="292"/>
      <c r="M585" s="292"/>
      <c r="N585" s="292"/>
    </row>
    <row r="586" spans="1:14" x14ac:dyDescent="0.25">
      <c r="A586" s="297"/>
      <c r="B586" s="298"/>
      <c r="C586" s="291"/>
      <c r="D586" s="291"/>
      <c r="E586" s="291"/>
      <c r="F586" s="291"/>
      <c r="G586" s="291"/>
      <c r="H586" s="291"/>
      <c r="I586" s="291"/>
      <c r="J586" s="295"/>
      <c r="K586" s="292"/>
      <c r="L586" s="292"/>
      <c r="M586" s="292"/>
      <c r="N586" s="292"/>
    </row>
    <row r="587" spans="1:14" x14ac:dyDescent="0.25">
      <c r="A587" s="297"/>
      <c r="B587" s="298"/>
      <c r="C587" s="291"/>
      <c r="D587" s="291"/>
      <c r="E587" s="291"/>
      <c r="F587" s="291"/>
      <c r="G587" s="291"/>
      <c r="H587" s="291"/>
      <c r="I587" s="291"/>
      <c r="J587" s="295"/>
      <c r="K587" s="292"/>
      <c r="L587" s="292"/>
      <c r="M587" s="292"/>
      <c r="N587" s="292"/>
    </row>
    <row r="588" spans="1:14" x14ac:dyDescent="0.25">
      <c r="A588" s="297"/>
      <c r="B588" s="298"/>
      <c r="C588" s="291"/>
      <c r="D588" s="291"/>
      <c r="E588" s="291"/>
      <c r="F588" s="291"/>
      <c r="G588" s="291"/>
      <c r="H588" s="291"/>
      <c r="I588" s="291"/>
      <c r="J588" s="295"/>
      <c r="K588" s="292"/>
      <c r="L588" s="292"/>
      <c r="M588" s="292"/>
      <c r="N588" s="292"/>
    </row>
    <row r="589" spans="1:14" x14ac:dyDescent="0.25">
      <c r="A589" s="297"/>
      <c r="B589" s="298"/>
      <c r="C589" s="291"/>
      <c r="D589" s="291"/>
      <c r="E589" s="291"/>
      <c r="F589" s="291"/>
      <c r="G589" s="291"/>
      <c r="H589" s="291"/>
      <c r="I589" s="291"/>
      <c r="J589" s="295"/>
      <c r="K589" s="292"/>
      <c r="L589" s="292"/>
      <c r="M589" s="292"/>
      <c r="N589" s="292"/>
    </row>
    <row r="590" spans="1:14" x14ac:dyDescent="0.25">
      <c r="A590" s="297"/>
      <c r="B590" s="298"/>
      <c r="C590" s="291"/>
      <c r="D590" s="291"/>
      <c r="E590" s="291"/>
      <c r="F590" s="291"/>
      <c r="G590" s="291"/>
      <c r="H590" s="291"/>
      <c r="I590" s="291"/>
      <c r="J590" s="295"/>
      <c r="K590" s="292"/>
      <c r="L590" s="292"/>
      <c r="M590" s="292"/>
      <c r="N590" s="292"/>
    </row>
    <row r="591" spans="1:14" x14ac:dyDescent="0.25">
      <c r="A591" s="297"/>
      <c r="B591" s="298"/>
      <c r="C591" s="291"/>
      <c r="D591" s="291"/>
      <c r="E591" s="291"/>
      <c r="F591" s="291"/>
      <c r="G591" s="291"/>
      <c r="H591" s="291"/>
      <c r="I591" s="291"/>
      <c r="J591" s="295"/>
      <c r="K591" s="292"/>
      <c r="L591" s="292"/>
      <c r="M591" s="292"/>
      <c r="N591" s="292"/>
    </row>
    <row r="592" spans="1:14" x14ac:dyDescent="0.25">
      <c r="A592" s="297"/>
      <c r="B592" s="298"/>
      <c r="C592" s="291"/>
      <c r="D592" s="291"/>
      <c r="E592" s="291"/>
      <c r="F592" s="291"/>
      <c r="G592" s="291"/>
      <c r="H592" s="291"/>
      <c r="I592" s="291"/>
      <c r="J592" s="295"/>
      <c r="K592" s="292"/>
      <c r="L592" s="292"/>
      <c r="M592" s="292"/>
      <c r="N592" s="292"/>
    </row>
    <row r="593" spans="1:14" x14ac:dyDescent="0.25">
      <c r="A593" s="297"/>
      <c r="B593" s="298"/>
      <c r="C593" s="291"/>
      <c r="D593" s="291"/>
      <c r="E593" s="291"/>
      <c r="F593" s="291"/>
      <c r="G593" s="291"/>
      <c r="H593" s="291"/>
      <c r="I593" s="291"/>
      <c r="J593" s="295"/>
      <c r="K593" s="292"/>
      <c r="L593" s="292"/>
      <c r="M593" s="292"/>
      <c r="N593" s="292"/>
    </row>
    <row r="594" spans="1:14" x14ac:dyDescent="0.25">
      <c r="A594" s="297"/>
      <c r="B594" s="298"/>
      <c r="C594" s="291"/>
      <c r="D594" s="291"/>
      <c r="E594" s="291"/>
      <c r="F594" s="291"/>
      <c r="G594" s="291"/>
      <c r="H594" s="291"/>
      <c r="I594" s="291"/>
      <c r="J594" s="295"/>
      <c r="K594" s="292"/>
      <c r="L594" s="292"/>
      <c r="M594" s="292"/>
      <c r="N594" s="292"/>
    </row>
    <row r="595" spans="1:14" x14ac:dyDescent="0.25">
      <c r="A595" s="297"/>
      <c r="B595" s="298"/>
      <c r="C595" s="291"/>
      <c r="D595" s="291"/>
      <c r="E595" s="291"/>
      <c r="F595" s="291"/>
      <c r="G595" s="291"/>
      <c r="H595" s="291"/>
      <c r="I595" s="291"/>
      <c r="J595" s="295"/>
      <c r="K595" s="292"/>
      <c r="L595" s="292"/>
      <c r="M595" s="292"/>
      <c r="N595" s="292"/>
    </row>
    <row r="596" spans="1:14" x14ac:dyDescent="0.25">
      <c r="A596" s="297"/>
      <c r="B596" s="298"/>
      <c r="C596" s="291"/>
      <c r="D596" s="291"/>
      <c r="E596" s="291"/>
      <c r="F596" s="291"/>
      <c r="G596" s="291"/>
      <c r="H596" s="291"/>
      <c r="I596" s="291"/>
      <c r="J596" s="295"/>
      <c r="K596" s="292"/>
      <c r="L596" s="292"/>
      <c r="M596" s="292"/>
      <c r="N596" s="292"/>
    </row>
    <row r="597" spans="1:14" x14ac:dyDescent="0.25">
      <c r="A597" s="297"/>
      <c r="B597" s="298"/>
      <c r="C597" s="291"/>
      <c r="D597" s="291"/>
      <c r="E597" s="291"/>
      <c r="F597" s="291"/>
      <c r="G597" s="291"/>
      <c r="H597" s="291"/>
      <c r="I597" s="291"/>
      <c r="J597" s="295"/>
      <c r="K597" s="292"/>
      <c r="L597" s="292"/>
      <c r="M597" s="292"/>
      <c r="N597" s="292"/>
    </row>
    <row r="598" spans="1:14" x14ac:dyDescent="0.25">
      <c r="A598" s="297"/>
      <c r="B598" s="298"/>
      <c r="C598" s="291"/>
      <c r="D598" s="291"/>
      <c r="E598" s="291"/>
      <c r="F598" s="291"/>
      <c r="G598" s="291"/>
      <c r="H598" s="291"/>
      <c r="I598" s="291"/>
      <c r="J598" s="295"/>
      <c r="K598" s="292"/>
      <c r="L598" s="292"/>
      <c r="M598" s="292"/>
      <c r="N598" s="292"/>
    </row>
    <row r="599" spans="1:14" x14ac:dyDescent="0.25">
      <c r="A599" s="297"/>
      <c r="B599" s="298"/>
      <c r="C599" s="291"/>
      <c r="D599" s="291"/>
      <c r="E599" s="291"/>
      <c r="F599" s="291"/>
      <c r="G599" s="291"/>
      <c r="H599" s="291"/>
      <c r="I599" s="291"/>
      <c r="J599" s="295"/>
      <c r="K599" s="292"/>
      <c r="L599" s="292"/>
      <c r="M599" s="292"/>
      <c r="N599" s="292"/>
    </row>
    <row r="600" spans="1:14" x14ac:dyDescent="0.25">
      <c r="A600" s="297"/>
      <c r="B600" s="298"/>
      <c r="C600" s="291"/>
      <c r="D600" s="291"/>
      <c r="E600" s="291"/>
      <c r="F600" s="291"/>
      <c r="G600" s="291"/>
      <c r="H600" s="291"/>
      <c r="I600" s="291"/>
      <c r="J600" s="295"/>
      <c r="K600" s="292"/>
      <c r="L600" s="292"/>
      <c r="M600" s="292"/>
      <c r="N600" s="292"/>
    </row>
    <row r="601" spans="1:14" x14ac:dyDescent="0.25">
      <c r="A601" s="297"/>
      <c r="B601" s="298"/>
      <c r="C601" s="291"/>
      <c r="D601" s="291"/>
      <c r="E601" s="291"/>
      <c r="F601" s="291"/>
      <c r="G601" s="291"/>
      <c r="H601" s="291"/>
      <c r="I601" s="291"/>
      <c r="J601" s="295"/>
      <c r="K601" s="292"/>
      <c r="L601" s="292"/>
      <c r="M601" s="292"/>
      <c r="N601" s="292"/>
    </row>
    <row r="602" spans="1:14" x14ac:dyDescent="0.25">
      <c r="A602" s="297"/>
      <c r="B602" s="298"/>
      <c r="C602" s="291"/>
      <c r="D602" s="291"/>
      <c r="E602" s="291"/>
      <c r="F602" s="291"/>
      <c r="G602" s="291"/>
      <c r="H602" s="291"/>
      <c r="I602" s="291"/>
      <c r="J602" s="295"/>
      <c r="K602" s="292"/>
      <c r="L602" s="292"/>
      <c r="M602" s="292"/>
      <c r="N602" s="292"/>
    </row>
    <row r="603" spans="1:14" x14ac:dyDescent="0.25">
      <c r="A603" s="297"/>
      <c r="B603" s="298"/>
      <c r="C603" s="291"/>
      <c r="D603" s="291"/>
      <c r="E603" s="291"/>
      <c r="F603" s="291"/>
      <c r="G603" s="291"/>
      <c r="H603" s="291"/>
      <c r="I603" s="291"/>
      <c r="J603" s="295"/>
      <c r="K603" s="292"/>
      <c r="L603" s="292"/>
      <c r="M603" s="292"/>
      <c r="N603" s="292"/>
    </row>
    <row r="604" spans="1:14" x14ac:dyDescent="0.25">
      <c r="A604" s="297"/>
      <c r="B604" s="298"/>
      <c r="C604" s="291"/>
      <c r="D604" s="291"/>
      <c r="E604" s="291"/>
      <c r="F604" s="291"/>
      <c r="G604" s="291"/>
      <c r="H604" s="291"/>
      <c r="I604" s="291"/>
      <c r="J604" s="295"/>
      <c r="K604" s="292"/>
      <c r="L604" s="292"/>
      <c r="M604" s="292"/>
      <c r="N604" s="292"/>
    </row>
    <row r="605" spans="1:14" x14ac:dyDescent="0.25">
      <c r="A605" s="297"/>
      <c r="B605" s="298"/>
      <c r="C605" s="291"/>
      <c r="D605" s="291"/>
      <c r="E605" s="291"/>
      <c r="F605" s="291"/>
      <c r="G605" s="291"/>
      <c r="H605" s="291"/>
      <c r="I605" s="291"/>
      <c r="J605" s="295"/>
      <c r="K605" s="292"/>
      <c r="L605" s="292"/>
      <c r="M605" s="292"/>
      <c r="N605" s="292"/>
    </row>
    <row r="606" spans="1:14" x14ac:dyDescent="0.25">
      <c r="A606" s="297"/>
      <c r="B606" s="298"/>
      <c r="C606" s="291"/>
      <c r="D606" s="291"/>
      <c r="E606" s="291"/>
      <c r="F606" s="291"/>
      <c r="G606" s="291"/>
      <c r="H606" s="291"/>
      <c r="I606" s="291"/>
      <c r="J606" s="295"/>
      <c r="K606" s="292"/>
      <c r="L606" s="292"/>
      <c r="M606" s="292"/>
      <c r="N606" s="292"/>
    </row>
    <row r="607" spans="1:14" x14ac:dyDescent="0.25">
      <c r="A607" s="297"/>
      <c r="B607" s="298"/>
      <c r="C607" s="291"/>
      <c r="D607" s="291"/>
      <c r="E607" s="291"/>
      <c r="F607" s="291"/>
      <c r="G607" s="291"/>
      <c r="H607" s="291"/>
      <c r="I607" s="291"/>
      <c r="J607" s="295"/>
      <c r="K607" s="292"/>
      <c r="L607" s="292"/>
      <c r="M607" s="292"/>
      <c r="N607" s="292"/>
    </row>
    <row r="608" spans="1:14" x14ac:dyDescent="0.25">
      <c r="A608" s="297"/>
      <c r="B608" s="298"/>
      <c r="C608" s="291"/>
      <c r="D608" s="291"/>
      <c r="E608" s="291"/>
      <c r="F608" s="291"/>
      <c r="G608" s="291"/>
      <c r="H608" s="291"/>
      <c r="I608" s="291"/>
      <c r="J608" s="295"/>
      <c r="K608" s="292"/>
      <c r="L608" s="292"/>
      <c r="M608" s="292"/>
      <c r="N608" s="292"/>
    </row>
    <row r="609" spans="1:14" x14ac:dyDescent="0.25">
      <c r="A609" s="297"/>
      <c r="B609" s="298"/>
      <c r="C609" s="291"/>
      <c r="D609" s="291"/>
      <c r="E609" s="291"/>
      <c r="F609" s="291"/>
      <c r="G609" s="291"/>
      <c r="H609" s="291"/>
      <c r="I609" s="291"/>
      <c r="J609" s="295"/>
      <c r="K609" s="292"/>
      <c r="L609" s="292"/>
      <c r="M609" s="292"/>
      <c r="N609" s="292"/>
    </row>
    <row r="610" spans="1:14" x14ac:dyDescent="0.25">
      <c r="A610" s="297"/>
      <c r="B610" s="298"/>
      <c r="C610" s="291"/>
      <c r="D610" s="291"/>
      <c r="E610" s="291"/>
      <c r="F610" s="291"/>
      <c r="G610" s="291"/>
      <c r="H610" s="291"/>
      <c r="I610" s="291"/>
      <c r="J610" s="295"/>
      <c r="K610" s="292"/>
      <c r="L610" s="292"/>
      <c r="M610" s="292"/>
      <c r="N610" s="292"/>
    </row>
    <row r="611" spans="1:14" x14ac:dyDescent="0.25">
      <c r="A611" s="297"/>
      <c r="B611" s="298"/>
      <c r="C611" s="291"/>
      <c r="D611" s="291"/>
      <c r="E611" s="291"/>
      <c r="F611" s="291"/>
      <c r="G611" s="291"/>
      <c r="H611" s="291"/>
      <c r="I611" s="291"/>
      <c r="J611" s="295"/>
      <c r="K611" s="292"/>
      <c r="L611" s="292"/>
      <c r="M611" s="292"/>
      <c r="N611" s="292"/>
    </row>
    <row r="612" spans="1:14" x14ac:dyDescent="0.25">
      <c r="A612" s="297"/>
      <c r="B612" s="298"/>
      <c r="C612" s="291"/>
      <c r="D612" s="291"/>
      <c r="E612" s="291"/>
      <c r="F612" s="291"/>
      <c r="G612" s="291"/>
      <c r="H612" s="291"/>
      <c r="I612" s="291"/>
      <c r="J612" s="295"/>
      <c r="K612" s="292"/>
      <c r="L612" s="292"/>
      <c r="M612" s="292"/>
      <c r="N612" s="292"/>
    </row>
    <row r="613" spans="1:14" x14ac:dyDescent="0.25">
      <c r="A613" s="297"/>
      <c r="B613" s="298"/>
      <c r="C613" s="291"/>
      <c r="D613" s="291"/>
      <c r="E613" s="291"/>
      <c r="F613" s="291"/>
      <c r="G613" s="291"/>
      <c r="H613" s="291"/>
      <c r="I613" s="291"/>
      <c r="J613" s="295"/>
      <c r="K613" s="292"/>
      <c r="L613" s="292"/>
      <c r="M613" s="292"/>
      <c r="N613" s="292"/>
    </row>
    <row r="614" spans="1:14" x14ac:dyDescent="0.25">
      <c r="A614" s="297"/>
      <c r="B614" s="298"/>
      <c r="C614" s="291"/>
      <c r="D614" s="291"/>
      <c r="E614" s="291"/>
      <c r="F614" s="291"/>
      <c r="G614" s="291"/>
      <c r="H614" s="291"/>
      <c r="I614" s="291"/>
      <c r="J614" s="295"/>
      <c r="K614" s="292"/>
      <c r="L614" s="292"/>
      <c r="M614" s="292"/>
      <c r="N614" s="292"/>
    </row>
    <row r="615" spans="1:14" x14ac:dyDescent="0.25">
      <c r="A615" s="297"/>
      <c r="B615" s="298"/>
      <c r="C615" s="291"/>
      <c r="D615" s="291"/>
      <c r="E615" s="291"/>
      <c r="F615" s="291"/>
      <c r="G615" s="291"/>
      <c r="H615" s="291"/>
      <c r="I615" s="291"/>
      <c r="J615" s="295"/>
      <c r="K615" s="292"/>
      <c r="L615" s="292"/>
      <c r="M615" s="292"/>
      <c r="N615" s="292"/>
    </row>
    <row r="616" spans="1:14" x14ac:dyDescent="0.25">
      <c r="A616" s="297"/>
      <c r="B616" s="298"/>
      <c r="C616" s="291"/>
      <c r="D616" s="291"/>
      <c r="E616" s="291"/>
      <c r="F616" s="291"/>
      <c r="G616" s="291"/>
      <c r="H616" s="291"/>
      <c r="I616" s="291"/>
      <c r="J616" s="295"/>
      <c r="K616" s="292"/>
      <c r="L616" s="292"/>
      <c r="M616" s="292"/>
      <c r="N616" s="292"/>
    </row>
    <row r="617" spans="1:14" x14ac:dyDescent="0.25">
      <c r="A617" s="297"/>
      <c r="B617" s="298"/>
      <c r="C617" s="291"/>
      <c r="D617" s="291"/>
      <c r="E617" s="291"/>
      <c r="F617" s="291"/>
      <c r="G617" s="291"/>
      <c r="H617" s="291"/>
      <c r="I617" s="291"/>
      <c r="J617" s="295"/>
      <c r="K617" s="292"/>
      <c r="L617" s="292"/>
      <c r="M617" s="292"/>
      <c r="N617" s="292"/>
    </row>
    <row r="618" spans="1:14" x14ac:dyDescent="0.25">
      <c r="A618" s="297"/>
      <c r="B618" s="298"/>
      <c r="C618" s="291"/>
      <c r="D618" s="291"/>
      <c r="E618" s="291"/>
      <c r="F618" s="291"/>
      <c r="G618" s="291"/>
      <c r="H618" s="291"/>
      <c r="I618" s="291"/>
      <c r="J618" s="295"/>
      <c r="K618" s="292"/>
      <c r="L618" s="292"/>
      <c r="M618" s="292"/>
      <c r="N618" s="292"/>
    </row>
    <row r="619" spans="1:14" x14ac:dyDescent="0.25">
      <c r="A619" s="297"/>
      <c r="B619" s="298"/>
      <c r="C619" s="291"/>
      <c r="D619" s="291"/>
      <c r="E619" s="291"/>
      <c r="F619" s="291"/>
      <c r="G619" s="291"/>
      <c r="H619" s="291"/>
      <c r="I619" s="291"/>
      <c r="J619" s="295"/>
      <c r="K619" s="292"/>
      <c r="L619" s="292"/>
      <c r="M619" s="292"/>
      <c r="N619" s="292"/>
    </row>
    <row r="620" spans="1:14" x14ac:dyDescent="0.25">
      <c r="A620" s="297"/>
      <c r="B620" s="298"/>
      <c r="C620" s="291"/>
      <c r="D620" s="291"/>
      <c r="E620" s="291"/>
      <c r="F620" s="291"/>
      <c r="G620" s="291"/>
      <c r="H620" s="291"/>
      <c r="I620" s="291"/>
      <c r="J620" s="295"/>
      <c r="K620" s="292"/>
      <c r="L620" s="292"/>
      <c r="M620" s="292"/>
      <c r="N620" s="292"/>
    </row>
    <row r="621" spans="1:14" x14ac:dyDescent="0.25">
      <c r="A621" s="297"/>
      <c r="B621" s="298"/>
      <c r="C621" s="291"/>
      <c r="D621" s="291"/>
      <c r="E621" s="291"/>
      <c r="F621" s="291"/>
      <c r="G621" s="291"/>
      <c r="H621" s="291"/>
      <c r="I621" s="291"/>
      <c r="J621" s="295"/>
      <c r="K621" s="292"/>
      <c r="L621" s="292"/>
      <c r="M621" s="292"/>
      <c r="N621" s="292"/>
    </row>
    <row r="622" spans="1:14" x14ac:dyDescent="0.25">
      <c r="A622" s="297"/>
      <c r="B622" s="298"/>
      <c r="C622" s="291"/>
      <c r="D622" s="291"/>
      <c r="E622" s="291"/>
      <c r="F622" s="291"/>
      <c r="G622" s="291"/>
      <c r="H622" s="291"/>
      <c r="I622" s="291"/>
      <c r="J622" s="295"/>
      <c r="K622" s="292"/>
      <c r="L622" s="292"/>
      <c r="M622" s="292"/>
      <c r="N622" s="292"/>
    </row>
    <row r="623" spans="1:14" x14ac:dyDescent="0.25">
      <c r="A623" s="297"/>
      <c r="B623" s="298"/>
      <c r="C623" s="291"/>
      <c r="D623" s="291"/>
      <c r="E623" s="291"/>
      <c r="F623" s="291"/>
      <c r="G623" s="291"/>
      <c r="H623" s="291"/>
      <c r="I623" s="291"/>
      <c r="J623" s="295"/>
      <c r="K623" s="292"/>
      <c r="L623" s="292"/>
      <c r="M623" s="292"/>
      <c r="N623" s="292"/>
    </row>
    <row r="624" spans="1:14" x14ac:dyDescent="0.25">
      <c r="A624" s="297"/>
      <c r="B624" s="298"/>
      <c r="C624" s="291"/>
      <c r="D624" s="291"/>
      <c r="E624" s="291"/>
      <c r="F624" s="291"/>
      <c r="G624" s="291"/>
      <c r="H624" s="291"/>
      <c r="I624" s="291"/>
      <c r="J624" s="295"/>
      <c r="K624" s="292"/>
      <c r="L624" s="292"/>
      <c r="M624" s="292"/>
      <c r="N624" s="292"/>
    </row>
    <row r="625" spans="1:14" x14ac:dyDescent="0.25">
      <c r="A625" s="297"/>
      <c r="B625" s="298"/>
      <c r="C625" s="291"/>
      <c r="D625" s="291"/>
      <c r="E625" s="291"/>
      <c r="F625" s="291"/>
      <c r="G625" s="291"/>
      <c r="H625" s="291"/>
      <c r="I625" s="291"/>
      <c r="J625" s="295"/>
      <c r="K625" s="292"/>
      <c r="L625" s="292"/>
      <c r="M625" s="292"/>
      <c r="N625" s="292"/>
    </row>
    <row r="626" spans="1:14" x14ac:dyDescent="0.25">
      <c r="A626" s="297"/>
      <c r="B626" s="298"/>
      <c r="C626" s="291"/>
      <c r="D626" s="291"/>
      <c r="E626" s="291"/>
      <c r="F626" s="291"/>
      <c r="G626" s="291"/>
      <c r="H626" s="291"/>
      <c r="I626" s="291"/>
      <c r="J626" s="295"/>
      <c r="K626" s="292"/>
      <c r="L626" s="292"/>
      <c r="M626" s="292"/>
      <c r="N626" s="292"/>
    </row>
    <row r="627" spans="1:14" x14ac:dyDescent="0.25">
      <c r="A627" s="297"/>
      <c r="B627" s="298"/>
      <c r="C627" s="291"/>
      <c r="D627" s="291"/>
      <c r="E627" s="291"/>
      <c r="F627" s="291"/>
      <c r="G627" s="291"/>
      <c r="H627" s="291"/>
      <c r="I627" s="291"/>
      <c r="J627" s="295"/>
      <c r="K627" s="292"/>
      <c r="L627" s="292"/>
      <c r="M627" s="292"/>
      <c r="N627" s="292"/>
    </row>
    <row r="628" spans="1:14" x14ac:dyDescent="0.25">
      <c r="A628" s="297"/>
      <c r="B628" s="298"/>
      <c r="C628" s="291"/>
      <c r="D628" s="291"/>
      <c r="E628" s="291"/>
      <c r="F628" s="291"/>
      <c r="G628" s="291"/>
      <c r="H628" s="291"/>
      <c r="I628" s="291"/>
      <c r="J628" s="295"/>
      <c r="K628" s="292"/>
      <c r="L628" s="292"/>
      <c r="M628" s="292"/>
      <c r="N628" s="292"/>
    </row>
    <row r="629" spans="1:14" x14ac:dyDescent="0.25">
      <c r="A629" s="297"/>
      <c r="B629" s="298"/>
      <c r="C629" s="291"/>
      <c r="D629" s="291"/>
      <c r="E629" s="291"/>
      <c r="F629" s="291"/>
      <c r="G629" s="291"/>
      <c r="H629" s="291"/>
      <c r="I629" s="291"/>
      <c r="J629" s="295"/>
      <c r="K629" s="292"/>
      <c r="L629" s="292"/>
      <c r="M629" s="292"/>
      <c r="N629" s="292"/>
    </row>
    <row r="630" spans="1:14" x14ac:dyDescent="0.25">
      <c r="A630" s="297"/>
      <c r="B630" s="298"/>
      <c r="C630" s="291"/>
      <c r="D630" s="291"/>
      <c r="E630" s="291"/>
      <c r="F630" s="291"/>
      <c r="G630" s="291"/>
      <c r="H630" s="291"/>
      <c r="I630" s="291"/>
      <c r="J630" s="295"/>
      <c r="K630" s="292"/>
      <c r="L630" s="292"/>
      <c r="M630" s="292"/>
      <c r="N630" s="292"/>
    </row>
    <row r="631" spans="1:14" x14ac:dyDescent="0.25">
      <c r="A631" s="297"/>
      <c r="B631" s="298"/>
      <c r="C631" s="291"/>
      <c r="D631" s="291"/>
      <c r="E631" s="291"/>
      <c r="F631" s="291"/>
      <c r="G631" s="291"/>
      <c r="H631" s="291"/>
      <c r="I631" s="291"/>
      <c r="J631" s="295"/>
      <c r="K631" s="292"/>
      <c r="L631" s="292"/>
      <c r="M631" s="292"/>
      <c r="N631" s="292"/>
    </row>
    <row r="632" spans="1:14" x14ac:dyDescent="0.25">
      <c r="A632" s="297"/>
      <c r="B632" s="298"/>
      <c r="C632" s="291"/>
      <c r="D632" s="291"/>
      <c r="E632" s="291"/>
      <c r="F632" s="291"/>
      <c r="G632" s="291"/>
      <c r="H632" s="291"/>
      <c r="I632" s="291"/>
      <c r="J632" s="295"/>
      <c r="K632" s="292"/>
      <c r="L632" s="292"/>
      <c r="M632" s="292"/>
      <c r="N632" s="292"/>
    </row>
    <row r="633" spans="1:14" x14ac:dyDescent="0.25">
      <c r="A633" s="297"/>
      <c r="B633" s="298"/>
      <c r="C633" s="291"/>
      <c r="D633" s="291"/>
      <c r="E633" s="291"/>
      <c r="F633" s="291"/>
      <c r="G633" s="291"/>
      <c r="H633" s="291"/>
      <c r="I633" s="291"/>
      <c r="J633" s="295"/>
      <c r="K633" s="292"/>
      <c r="L633" s="292"/>
      <c r="M633" s="292"/>
      <c r="N633" s="292"/>
    </row>
    <row r="634" spans="1:14" x14ac:dyDescent="0.25">
      <c r="A634" s="297"/>
      <c r="B634" s="298"/>
      <c r="C634" s="291"/>
      <c r="D634" s="291"/>
      <c r="E634" s="291"/>
      <c r="F634" s="291"/>
      <c r="G634" s="291"/>
      <c r="H634" s="291"/>
      <c r="I634" s="291"/>
      <c r="J634" s="295"/>
      <c r="K634" s="292"/>
      <c r="L634" s="292"/>
      <c r="M634" s="292"/>
      <c r="N634" s="292"/>
    </row>
    <row r="635" spans="1:14" x14ac:dyDescent="0.25">
      <c r="A635" s="297"/>
      <c r="B635" s="298"/>
      <c r="C635" s="291"/>
      <c r="D635" s="291"/>
      <c r="E635" s="291"/>
      <c r="F635" s="291"/>
      <c r="G635" s="291"/>
      <c r="H635" s="291"/>
      <c r="I635" s="291"/>
      <c r="J635" s="295"/>
      <c r="K635" s="292"/>
      <c r="L635" s="292"/>
      <c r="M635" s="292"/>
      <c r="N635" s="292"/>
    </row>
    <row r="636" spans="1:14" x14ac:dyDescent="0.25">
      <c r="A636" s="297"/>
      <c r="B636" s="298"/>
      <c r="C636" s="291"/>
      <c r="D636" s="291"/>
      <c r="E636" s="291"/>
      <c r="F636" s="291"/>
      <c r="G636" s="291"/>
      <c r="H636" s="291"/>
      <c r="I636" s="291"/>
      <c r="J636" s="295"/>
      <c r="K636" s="292"/>
      <c r="L636" s="292"/>
      <c r="M636" s="292"/>
      <c r="N636" s="292"/>
    </row>
    <row r="637" spans="1:14" x14ac:dyDescent="0.25">
      <c r="A637" s="297"/>
      <c r="B637" s="298"/>
      <c r="C637" s="291"/>
      <c r="D637" s="291"/>
      <c r="E637" s="291"/>
      <c r="F637" s="291"/>
      <c r="G637" s="291"/>
      <c r="H637" s="291"/>
      <c r="I637" s="291"/>
      <c r="J637" s="295"/>
      <c r="K637" s="292"/>
      <c r="L637" s="292"/>
      <c r="M637" s="292"/>
      <c r="N637" s="292"/>
    </row>
    <row r="638" spans="1:14" x14ac:dyDescent="0.25">
      <c r="A638" s="297"/>
      <c r="B638" s="298"/>
      <c r="C638" s="291"/>
      <c r="D638" s="291"/>
      <c r="E638" s="291"/>
      <c r="F638" s="291"/>
      <c r="G638" s="291"/>
      <c r="H638" s="291"/>
      <c r="I638" s="291"/>
      <c r="J638" s="295"/>
      <c r="K638" s="292"/>
      <c r="L638" s="292"/>
      <c r="M638" s="292"/>
      <c r="N638" s="292"/>
    </row>
    <row r="639" spans="1:14" x14ac:dyDescent="0.25">
      <c r="A639" s="297"/>
      <c r="B639" s="298"/>
      <c r="C639" s="291"/>
      <c r="D639" s="291"/>
      <c r="E639" s="291"/>
      <c r="F639" s="291"/>
      <c r="G639" s="291"/>
      <c r="H639" s="291"/>
      <c r="I639" s="291"/>
      <c r="J639" s="295"/>
      <c r="K639" s="292"/>
      <c r="L639" s="292"/>
      <c r="M639" s="292"/>
      <c r="N639" s="292"/>
    </row>
    <row r="640" spans="1:14" x14ac:dyDescent="0.25">
      <c r="A640" s="297"/>
      <c r="B640" s="298"/>
      <c r="C640" s="291"/>
      <c r="D640" s="291"/>
      <c r="E640" s="291"/>
      <c r="F640" s="291"/>
      <c r="G640" s="291"/>
      <c r="H640" s="291"/>
      <c r="I640" s="291"/>
      <c r="J640" s="295"/>
      <c r="K640" s="292"/>
      <c r="L640" s="292"/>
      <c r="M640" s="292"/>
      <c r="N640" s="292"/>
    </row>
    <row r="641" spans="1:14" x14ac:dyDescent="0.25">
      <c r="A641" s="297"/>
      <c r="B641" s="298"/>
      <c r="C641" s="291"/>
      <c r="D641" s="291"/>
      <c r="E641" s="291"/>
      <c r="F641" s="291"/>
      <c r="G641" s="291"/>
      <c r="H641" s="291"/>
      <c r="I641" s="291"/>
      <c r="J641" s="295"/>
      <c r="K641" s="292"/>
      <c r="L641" s="292"/>
      <c r="M641" s="292"/>
      <c r="N641" s="292"/>
    </row>
    <row r="642" spans="1:14" x14ac:dyDescent="0.25">
      <c r="A642" s="297"/>
      <c r="B642" s="298"/>
      <c r="C642" s="291"/>
      <c r="D642" s="291"/>
      <c r="E642" s="291"/>
      <c r="F642" s="291"/>
      <c r="G642" s="291"/>
      <c r="H642" s="291"/>
      <c r="I642" s="291"/>
      <c r="J642" s="295"/>
      <c r="K642" s="292"/>
      <c r="L642" s="292"/>
      <c r="M642" s="292"/>
      <c r="N642" s="292"/>
    </row>
    <row r="643" spans="1:14" x14ac:dyDescent="0.25">
      <c r="A643" s="297"/>
      <c r="B643" s="298"/>
      <c r="C643" s="291"/>
      <c r="D643" s="291"/>
      <c r="E643" s="291"/>
      <c r="F643" s="291"/>
      <c r="G643" s="291"/>
      <c r="H643" s="291"/>
      <c r="I643" s="291"/>
      <c r="J643" s="295"/>
      <c r="K643" s="292"/>
      <c r="L643" s="292"/>
      <c r="M643" s="292"/>
      <c r="N643" s="292"/>
    </row>
    <row r="644" spans="1:14" x14ac:dyDescent="0.25">
      <c r="A644" s="297"/>
      <c r="B644" s="298"/>
      <c r="C644" s="291"/>
      <c r="D644" s="291"/>
      <c r="E644" s="291"/>
      <c r="F644" s="291"/>
      <c r="G644" s="291"/>
      <c r="H644" s="291"/>
      <c r="I644" s="291"/>
      <c r="J644" s="295"/>
      <c r="K644" s="292"/>
      <c r="L644" s="292"/>
      <c r="M644" s="292"/>
      <c r="N644" s="292"/>
    </row>
    <row r="645" spans="1:14" x14ac:dyDescent="0.25">
      <c r="A645" s="297"/>
      <c r="B645" s="298"/>
      <c r="C645" s="291"/>
      <c r="D645" s="291"/>
      <c r="E645" s="291"/>
      <c r="F645" s="291"/>
      <c r="G645" s="291"/>
      <c r="H645" s="291"/>
      <c r="I645" s="291"/>
      <c r="J645" s="295"/>
      <c r="K645" s="292"/>
      <c r="L645" s="292"/>
      <c r="M645" s="292"/>
      <c r="N645" s="292"/>
    </row>
    <row r="646" spans="1:14" x14ac:dyDescent="0.25">
      <c r="A646" s="297"/>
      <c r="B646" s="298"/>
      <c r="C646" s="291"/>
      <c r="D646" s="291"/>
      <c r="E646" s="291"/>
      <c r="F646" s="291"/>
      <c r="G646" s="291"/>
      <c r="H646" s="291"/>
      <c r="I646" s="291"/>
      <c r="J646" s="295"/>
      <c r="K646" s="292"/>
      <c r="L646" s="292"/>
      <c r="M646" s="292"/>
      <c r="N646" s="292"/>
    </row>
    <row r="647" spans="1:14" x14ac:dyDescent="0.25">
      <c r="A647" s="297"/>
      <c r="B647" s="298"/>
      <c r="C647" s="291"/>
      <c r="D647" s="291"/>
      <c r="E647" s="291"/>
      <c r="F647" s="291"/>
      <c r="G647" s="291"/>
      <c r="H647" s="291"/>
      <c r="I647" s="291"/>
      <c r="J647" s="295"/>
      <c r="K647" s="292"/>
      <c r="L647" s="292"/>
      <c r="M647" s="292"/>
      <c r="N647" s="292"/>
    </row>
    <row r="648" spans="1:14" x14ac:dyDescent="0.25">
      <c r="A648" s="297"/>
      <c r="B648" s="298"/>
      <c r="C648" s="291"/>
      <c r="D648" s="291"/>
      <c r="E648" s="291"/>
      <c r="F648" s="291"/>
      <c r="G648" s="291"/>
      <c r="H648" s="291"/>
      <c r="I648" s="291"/>
      <c r="J648" s="295"/>
      <c r="K648" s="292"/>
      <c r="L648" s="292"/>
      <c r="M648" s="292"/>
      <c r="N648" s="292"/>
    </row>
    <row r="649" spans="1:14" x14ac:dyDescent="0.25">
      <c r="A649" s="297"/>
      <c r="B649" s="298"/>
      <c r="C649" s="291"/>
      <c r="D649" s="291"/>
      <c r="E649" s="291"/>
      <c r="F649" s="291"/>
      <c r="G649" s="291"/>
      <c r="H649" s="291"/>
      <c r="I649" s="291"/>
      <c r="J649" s="295"/>
      <c r="K649" s="292"/>
      <c r="L649" s="292"/>
      <c r="M649" s="292"/>
      <c r="N649" s="292"/>
    </row>
    <row r="650" spans="1:14" x14ac:dyDescent="0.25">
      <c r="A650" s="297"/>
      <c r="B650" s="298"/>
      <c r="C650" s="291"/>
      <c r="D650" s="291"/>
      <c r="E650" s="291"/>
      <c r="F650" s="291"/>
      <c r="G650" s="291"/>
      <c r="H650" s="291"/>
      <c r="I650" s="291"/>
      <c r="J650" s="295"/>
      <c r="K650" s="292"/>
      <c r="L650" s="292"/>
      <c r="M650" s="292"/>
      <c r="N650" s="292"/>
    </row>
    <row r="651" spans="1:14" x14ac:dyDescent="0.25">
      <c r="A651" s="297"/>
      <c r="B651" s="298"/>
      <c r="C651" s="291"/>
      <c r="D651" s="291"/>
      <c r="E651" s="291"/>
      <c r="F651" s="291"/>
      <c r="G651" s="291"/>
      <c r="H651" s="291"/>
      <c r="I651" s="291"/>
      <c r="J651" s="295"/>
      <c r="K651" s="292"/>
      <c r="L651" s="292"/>
      <c r="M651" s="292"/>
      <c r="N651" s="292"/>
    </row>
    <row r="652" spans="1:14" x14ac:dyDescent="0.25">
      <c r="A652" s="297"/>
      <c r="B652" s="298"/>
      <c r="C652" s="291"/>
      <c r="D652" s="291"/>
      <c r="E652" s="291"/>
      <c r="F652" s="291"/>
      <c r="G652" s="291"/>
      <c r="H652" s="291"/>
      <c r="I652" s="291"/>
      <c r="J652" s="295"/>
      <c r="K652" s="292"/>
      <c r="L652" s="292"/>
      <c r="M652" s="292"/>
      <c r="N652" s="292"/>
    </row>
    <row r="653" spans="1:14" x14ac:dyDescent="0.25">
      <c r="A653" s="297"/>
      <c r="B653" s="298"/>
      <c r="C653" s="291"/>
      <c r="D653" s="291"/>
      <c r="E653" s="291"/>
      <c r="F653" s="291"/>
      <c r="G653" s="291"/>
      <c r="H653" s="291"/>
      <c r="I653" s="291"/>
      <c r="J653" s="295"/>
      <c r="K653" s="292"/>
      <c r="L653" s="292"/>
      <c r="M653" s="292"/>
      <c r="N653" s="292"/>
    </row>
    <row r="654" spans="1:14" x14ac:dyDescent="0.25">
      <c r="A654" s="297"/>
      <c r="B654" s="298"/>
      <c r="C654" s="291"/>
      <c r="D654" s="291"/>
      <c r="E654" s="291"/>
      <c r="F654" s="291"/>
      <c r="G654" s="291"/>
      <c r="H654" s="291"/>
      <c r="I654" s="291"/>
      <c r="J654" s="295"/>
      <c r="K654" s="292"/>
      <c r="L654" s="292"/>
      <c r="M654" s="292"/>
      <c r="N654" s="292"/>
    </row>
    <row r="655" spans="1:14" x14ac:dyDescent="0.25">
      <c r="A655" s="297"/>
      <c r="B655" s="298"/>
      <c r="C655" s="291"/>
      <c r="D655" s="291"/>
      <c r="E655" s="291"/>
      <c r="F655" s="291"/>
      <c r="G655" s="291"/>
      <c r="H655" s="291"/>
      <c r="I655" s="291"/>
      <c r="J655" s="295"/>
      <c r="K655" s="292"/>
      <c r="L655" s="292"/>
      <c r="M655" s="292"/>
      <c r="N655" s="292"/>
    </row>
    <row r="656" spans="1:14" x14ac:dyDescent="0.25">
      <c r="A656" s="297"/>
      <c r="B656" s="298"/>
      <c r="C656" s="291"/>
      <c r="D656" s="291"/>
      <c r="E656" s="291"/>
      <c r="F656" s="291"/>
      <c r="G656" s="291"/>
      <c r="H656" s="291"/>
      <c r="I656" s="291"/>
      <c r="J656" s="295"/>
      <c r="K656" s="292"/>
      <c r="L656" s="292"/>
      <c r="M656" s="292"/>
      <c r="N656" s="292"/>
    </row>
    <row r="657" spans="1:14" x14ac:dyDescent="0.25">
      <c r="A657" s="297"/>
      <c r="B657" s="298"/>
      <c r="C657" s="291"/>
      <c r="D657" s="291"/>
      <c r="E657" s="291"/>
      <c r="F657" s="291"/>
      <c r="G657" s="291"/>
      <c r="H657" s="291"/>
      <c r="I657" s="291"/>
      <c r="J657" s="295"/>
      <c r="K657" s="292"/>
      <c r="L657" s="292"/>
      <c r="M657" s="292"/>
      <c r="N657" s="292"/>
    </row>
    <row r="658" spans="1:14" x14ac:dyDescent="0.25">
      <c r="A658" s="297"/>
      <c r="B658" s="298"/>
      <c r="C658" s="291"/>
      <c r="D658" s="291"/>
      <c r="E658" s="291"/>
      <c r="F658" s="291"/>
      <c r="G658" s="291"/>
      <c r="H658" s="291"/>
      <c r="I658" s="291"/>
      <c r="J658" s="295"/>
      <c r="K658" s="292"/>
      <c r="L658" s="292"/>
      <c r="M658" s="292"/>
      <c r="N658" s="292"/>
    </row>
    <row r="659" spans="1:14" x14ac:dyDescent="0.25">
      <c r="A659" s="297"/>
      <c r="B659" s="298"/>
      <c r="C659" s="291"/>
      <c r="D659" s="291"/>
      <c r="E659" s="291"/>
      <c r="F659" s="291"/>
      <c r="G659" s="291"/>
      <c r="H659" s="291"/>
      <c r="I659" s="291"/>
      <c r="J659" s="295"/>
      <c r="K659" s="292"/>
      <c r="L659" s="292"/>
      <c r="M659" s="292"/>
      <c r="N659" s="292"/>
    </row>
    <row r="660" spans="1:14" x14ac:dyDescent="0.25">
      <c r="A660" s="297"/>
      <c r="B660" s="298"/>
      <c r="C660" s="291"/>
      <c r="D660" s="291"/>
      <c r="E660" s="291"/>
      <c r="F660" s="291"/>
      <c r="G660" s="291"/>
      <c r="H660" s="291"/>
      <c r="I660" s="291"/>
      <c r="J660" s="295"/>
      <c r="K660" s="292"/>
      <c r="L660" s="292"/>
      <c r="M660" s="292"/>
      <c r="N660" s="292"/>
    </row>
    <row r="661" spans="1:14" x14ac:dyDescent="0.25">
      <c r="A661" s="297"/>
      <c r="B661" s="298"/>
      <c r="C661" s="291"/>
      <c r="D661" s="291"/>
      <c r="E661" s="291"/>
      <c r="F661" s="291"/>
      <c r="G661" s="291"/>
      <c r="H661" s="291"/>
      <c r="I661" s="291"/>
      <c r="J661" s="295"/>
      <c r="K661" s="292"/>
      <c r="L661" s="292"/>
      <c r="M661" s="292"/>
      <c r="N661" s="292"/>
    </row>
    <row r="662" spans="1:14" x14ac:dyDescent="0.25">
      <c r="A662" s="297"/>
      <c r="B662" s="298"/>
      <c r="C662" s="291"/>
      <c r="D662" s="291"/>
      <c r="E662" s="291"/>
      <c r="F662" s="291"/>
      <c r="G662" s="291"/>
      <c r="H662" s="291"/>
      <c r="I662" s="291"/>
      <c r="J662" s="295"/>
      <c r="K662" s="292"/>
      <c r="L662" s="292"/>
      <c r="M662" s="292"/>
      <c r="N662" s="292"/>
    </row>
    <row r="663" spans="1:14" x14ac:dyDescent="0.25">
      <c r="A663" s="297"/>
      <c r="B663" s="298"/>
      <c r="C663" s="291"/>
      <c r="D663" s="291"/>
      <c r="E663" s="291"/>
      <c r="F663" s="291"/>
      <c r="G663" s="291"/>
      <c r="H663" s="291"/>
      <c r="I663" s="291"/>
      <c r="J663" s="295"/>
      <c r="K663" s="292"/>
      <c r="L663" s="292"/>
      <c r="M663" s="292"/>
      <c r="N663" s="292"/>
    </row>
    <row r="664" spans="1:14" x14ac:dyDescent="0.25">
      <c r="A664" s="297"/>
      <c r="B664" s="298"/>
      <c r="C664" s="291"/>
      <c r="D664" s="291"/>
      <c r="E664" s="291"/>
      <c r="F664" s="291"/>
      <c r="G664" s="291"/>
      <c r="H664" s="291"/>
      <c r="I664" s="291"/>
      <c r="J664" s="295"/>
      <c r="K664" s="292"/>
      <c r="L664" s="292"/>
      <c r="M664" s="292"/>
      <c r="N664" s="292"/>
    </row>
    <row r="665" spans="1:14" x14ac:dyDescent="0.25">
      <c r="A665" s="297"/>
      <c r="B665" s="298"/>
      <c r="C665" s="291"/>
      <c r="D665" s="291"/>
      <c r="E665" s="291"/>
      <c r="F665" s="291"/>
      <c r="G665" s="291"/>
      <c r="H665" s="291"/>
      <c r="I665" s="291"/>
      <c r="J665" s="295"/>
      <c r="K665" s="292"/>
      <c r="L665" s="292"/>
      <c r="M665" s="292"/>
      <c r="N665" s="292"/>
    </row>
    <row r="666" spans="1:14" x14ac:dyDescent="0.25">
      <c r="A666" s="297"/>
      <c r="B666" s="298"/>
      <c r="C666" s="291"/>
      <c r="D666" s="291"/>
      <c r="E666" s="291"/>
      <c r="F666" s="291"/>
      <c r="G666" s="291"/>
      <c r="H666" s="291"/>
      <c r="I666" s="291"/>
      <c r="J666" s="295"/>
      <c r="K666" s="292"/>
      <c r="L666" s="292"/>
      <c r="M666" s="292"/>
      <c r="N666" s="292"/>
    </row>
    <row r="667" spans="1:14" x14ac:dyDescent="0.25">
      <c r="A667" s="297"/>
      <c r="B667" s="298"/>
      <c r="C667" s="291"/>
      <c r="D667" s="291"/>
      <c r="E667" s="291"/>
      <c r="F667" s="291"/>
      <c r="G667" s="291"/>
      <c r="H667" s="291"/>
      <c r="I667" s="291"/>
      <c r="J667" s="295"/>
      <c r="K667" s="292"/>
      <c r="L667" s="292"/>
      <c r="M667" s="292"/>
      <c r="N667" s="292"/>
    </row>
    <row r="668" spans="1:14" x14ac:dyDescent="0.25">
      <c r="A668" s="297"/>
      <c r="B668" s="298"/>
      <c r="C668" s="291"/>
      <c r="D668" s="291"/>
      <c r="E668" s="291"/>
      <c r="F668" s="291"/>
      <c r="G668" s="291"/>
      <c r="H668" s="291"/>
      <c r="I668" s="291"/>
      <c r="J668" s="295"/>
      <c r="K668" s="292"/>
      <c r="L668" s="292"/>
      <c r="M668" s="292"/>
      <c r="N668" s="292"/>
    </row>
    <row r="669" spans="1:14" x14ac:dyDescent="0.25">
      <c r="A669" s="297"/>
      <c r="B669" s="298"/>
      <c r="C669" s="291"/>
      <c r="D669" s="291"/>
      <c r="E669" s="291"/>
      <c r="F669" s="291"/>
      <c r="G669" s="291"/>
      <c r="H669" s="291"/>
      <c r="I669" s="291"/>
      <c r="J669" s="295"/>
      <c r="K669" s="292"/>
      <c r="L669" s="292"/>
      <c r="M669" s="292"/>
      <c r="N669" s="292"/>
    </row>
    <row r="670" spans="1:14" x14ac:dyDescent="0.25">
      <c r="A670" s="297"/>
      <c r="B670" s="298"/>
      <c r="C670" s="291"/>
      <c r="D670" s="291"/>
      <c r="E670" s="291"/>
      <c r="F670" s="291"/>
      <c r="G670" s="291"/>
      <c r="H670" s="291"/>
      <c r="I670" s="291"/>
      <c r="J670" s="295"/>
      <c r="K670" s="292"/>
      <c r="L670" s="292"/>
      <c r="M670" s="292"/>
      <c r="N670" s="292"/>
    </row>
    <row r="671" spans="1:14" x14ac:dyDescent="0.25">
      <c r="A671" s="297"/>
      <c r="B671" s="298"/>
      <c r="C671" s="291"/>
      <c r="D671" s="291"/>
      <c r="E671" s="291"/>
      <c r="F671" s="291"/>
      <c r="G671" s="291"/>
      <c r="H671" s="291"/>
      <c r="I671" s="291"/>
      <c r="J671" s="295"/>
      <c r="K671" s="292"/>
      <c r="L671" s="292"/>
      <c r="M671" s="292"/>
      <c r="N671" s="292"/>
    </row>
    <row r="672" spans="1:14" x14ac:dyDescent="0.25">
      <c r="A672" s="297"/>
      <c r="B672" s="298"/>
      <c r="C672" s="291"/>
      <c r="D672" s="291"/>
      <c r="E672" s="291"/>
      <c r="F672" s="291"/>
      <c r="G672" s="291"/>
      <c r="H672" s="291"/>
      <c r="I672" s="291"/>
      <c r="J672" s="295"/>
      <c r="K672" s="292"/>
      <c r="L672" s="292"/>
      <c r="M672" s="292"/>
      <c r="N672" s="292"/>
    </row>
    <row r="673" spans="1:14" x14ac:dyDescent="0.25">
      <c r="A673" s="297"/>
      <c r="B673" s="298"/>
      <c r="C673" s="291"/>
      <c r="D673" s="291"/>
      <c r="E673" s="291"/>
      <c r="F673" s="291"/>
      <c r="G673" s="291"/>
      <c r="H673" s="291"/>
      <c r="I673" s="291"/>
      <c r="J673" s="295"/>
      <c r="K673" s="292"/>
      <c r="L673" s="292"/>
      <c r="M673" s="292"/>
      <c r="N673" s="292"/>
    </row>
    <row r="674" spans="1:14" x14ac:dyDescent="0.25">
      <c r="A674" s="297"/>
      <c r="B674" s="298"/>
      <c r="C674" s="291"/>
      <c r="D674" s="291"/>
      <c r="E674" s="291"/>
      <c r="F674" s="291"/>
      <c r="G674" s="291"/>
      <c r="H674" s="291"/>
      <c r="I674" s="291"/>
      <c r="J674" s="295"/>
      <c r="K674" s="292"/>
      <c r="L674" s="292"/>
      <c r="M674" s="292"/>
      <c r="N674" s="292"/>
    </row>
    <row r="675" spans="1:14" x14ac:dyDescent="0.25">
      <c r="A675" s="297"/>
      <c r="B675" s="298"/>
      <c r="C675" s="291"/>
      <c r="D675" s="291"/>
      <c r="E675" s="291"/>
      <c r="F675" s="291"/>
      <c r="G675" s="291"/>
      <c r="H675" s="291"/>
      <c r="I675" s="291"/>
      <c r="J675" s="295"/>
      <c r="K675" s="292"/>
      <c r="L675" s="292"/>
      <c r="M675" s="292"/>
      <c r="N675" s="292"/>
    </row>
    <row r="676" spans="1:14" x14ac:dyDescent="0.25">
      <c r="A676" s="297"/>
      <c r="B676" s="298"/>
      <c r="C676" s="291"/>
      <c r="D676" s="291"/>
      <c r="E676" s="291"/>
      <c r="F676" s="291"/>
      <c r="G676" s="291"/>
      <c r="H676" s="291"/>
      <c r="I676" s="291"/>
      <c r="J676" s="295"/>
      <c r="K676" s="292"/>
      <c r="L676" s="292"/>
      <c r="M676" s="292"/>
      <c r="N676" s="292"/>
    </row>
    <row r="677" spans="1:14" x14ac:dyDescent="0.25">
      <c r="A677" s="297"/>
      <c r="B677" s="298"/>
      <c r="C677" s="291"/>
      <c r="D677" s="291"/>
      <c r="E677" s="291"/>
      <c r="F677" s="291"/>
      <c r="G677" s="291"/>
      <c r="H677" s="291"/>
      <c r="I677" s="291"/>
      <c r="J677" s="295"/>
      <c r="K677" s="292"/>
      <c r="L677" s="292"/>
      <c r="M677" s="292"/>
      <c r="N677" s="292"/>
    </row>
    <row r="678" spans="1:14" x14ac:dyDescent="0.25">
      <c r="A678" s="297"/>
      <c r="B678" s="298"/>
      <c r="C678" s="291"/>
      <c r="D678" s="291"/>
      <c r="E678" s="291"/>
      <c r="F678" s="291"/>
      <c r="G678" s="291"/>
      <c r="H678" s="291"/>
      <c r="I678" s="291"/>
      <c r="J678" s="295"/>
      <c r="K678" s="292"/>
      <c r="L678" s="292"/>
      <c r="M678" s="292"/>
      <c r="N678" s="292"/>
    </row>
    <row r="679" spans="1:14" x14ac:dyDescent="0.25">
      <c r="A679" s="297"/>
      <c r="B679" s="298"/>
      <c r="C679" s="291"/>
      <c r="D679" s="291"/>
      <c r="E679" s="291"/>
      <c r="F679" s="291"/>
      <c r="G679" s="291"/>
      <c r="H679" s="291"/>
      <c r="I679" s="291"/>
      <c r="J679" s="295"/>
      <c r="K679" s="292"/>
      <c r="L679" s="292"/>
      <c r="M679" s="292"/>
      <c r="N679" s="292"/>
    </row>
    <row r="680" spans="1:14" x14ac:dyDescent="0.25">
      <c r="A680" s="297"/>
      <c r="B680" s="298"/>
      <c r="C680" s="291"/>
      <c r="D680" s="291"/>
      <c r="E680" s="291"/>
      <c r="F680" s="291"/>
      <c r="G680" s="291"/>
      <c r="H680" s="291"/>
      <c r="I680" s="291"/>
      <c r="J680" s="295"/>
      <c r="K680" s="292"/>
      <c r="L680" s="292"/>
      <c r="M680" s="292"/>
      <c r="N680" s="292"/>
    </row>
    <row r="681" spans="1:14" x14ac:dyDescent="0.25">
      <c r="A681" s="297"/>
      <c r="B681" s="298"/>
      <c r="C681" s="291"/>
      <c r="D681" s="291"/>
      <c r="E681" s="291"/>
      <c r="F681" s="291"/>
      <c r="G681" s="291"/>
      <c r="H681" s="291"/>
      <c r="I681" s="291"/>
      <c r="J681" s="295"/>
      <c r="K681" s="292"/>
      <c r="L681" s="292"/>
      <c r="M681" s="292"/>
      <c r="N681" s="292"/>
    </row>
    <row r="682" spans="1:14" x14ac:dyDescent="0.25">
      <c r="A682" s="297"/>
      <c r="B682" s="298"/>
      <c r="C682" s="291"/>
      <c r="D682" s="291"/>
      <c r="E682" s="291"/>
      <c r="F682" s="291"/>
      <c r="G682" s="291"/>
      <c r="H682" s="291"/>
      <c r="I682" s="291"/>
      <c r="J682" s="295"/>
      <c r="K682" s="292"/>
      <c r="L682" s="292"/>
      <c r="M682" s="292"/>
      <c r="N682" s="292"/>
    </row>
    <row r="683" spans="1:14" x14ac:dyDescent="0.25">
      <c r="A683" s="297"/>
      <c r="B683" s="298"/>
      <c r="C683" s="291"/>
      <c r="D683" s="291"/>
      <c r="E683" s="291"/>
      <c r="F683" s="291"/>
      <c r="G683" s="291"/>
      <c r="H683" s="291"/>
      <c r="I683" s="291"/>
      <c r="J683" s="295"/>
      <c r="K683" s="292"/>
      <c r="L683" s="292"/>
      <c r="M683" s="292"/>
      <c r="N683" s="292"/>
    </row>
    <row r="684" spans="1:14" x14ac:dyDescent="0.25">
      <c r="A684" s="297"/>
      <c r="B684" s="298"/>
      <c r="C684" s="291"/>
      <c r="D684" s="291"/>
      <c r="E684" s="291"/>
      <c r="F684" s="291"/>
      <c r="G684" s="291"/>
      <c r="H684" s="291"/>
      <c r="I684" s="291"/>
      <c r="J684" s="295"/>
      <c r="K684" s="292"/>
      <c r="L684" s="292"/>
      <c r="M684" s="292"/>
      <c r="N684" s="292"/>
    </row>
    <row r="685" spans="1:14" x14ac:dyDescent="0.25">
      <c r="A685" s="297"/>
      <c r="B685" s="298"/>
      <c r="C685" s="291"/>
      <c r="D685" s="291"/>
      <c r="E685" s="291"/>
      <c r="F685" s="291"/>
      <c r="G685" s="291"/>
      <c r="H685" s="291"/>
      <c r="I685" s="291"/>
      <c r="J685" s="295"/>
      <c r="K685" s="292"/>
      <c r="L685" s="292"/>
      <c r="M685" s="292"/>
      <c r="N685" s="292"/>
    </row>
    <row r="686" spans="1:14" x14ac:dyDescent="0.25">
      <c r="A686" s="297"/>
      <c r="B686" s="298"/>
      <c r="C686" s="291"/>
      <c r="D686" s="291"/>
      <c r="E686" s="291"/>
      <c r="F686" s="291"/>
      <c r="G686" s="291"/>
      <c r="H686" s="291"/>
      <c r="I686" s="291"/>
      <c r="J686" s="295"/>
      <c r="K686" s="292"/>
      <c r="L686" s="292"/>
      <c r="M686" s="292"/>
      <c r="N686" s="292"/>
    </row>
    <row r="687" spans="1:14" x14ac:dyDescent="0.25">
      <c r="A687" s="297"/>
      <c r="B687" s="298"/>
      <c r="C687" s="291"/>
      <c r="D687" s="291"/>
      <c r="E687" s="291"/>
      <c r="F687" s="291"/>
      <c r="G687" s="291"/>
      <c r="H687" s="291"/>
      <c r="I687" s="291"/>
      <c r="J687" s="295"/>
      <c r="K687" s="292"/>
      <c r="L687" s="292"/>
      <c r="M687" s="292"/>
      <c r="N687" s="292"/>
    </row>
    <row r="688" spans="1:14" x14ac:dyDescent="0.25">
      <c r="A688" s="297"/>
      <c r="B688" s="298"/>
      <c r="C688" s="291"/>
      <c r="D688" s="291"/>
      <c r="E688" s="291"/>
      <c r="F688" s="291"/>
      <c r="G688" s="291"/>
      <c r="H688" s="291"/>
      <c r="I688" s="291"/>
      <c r="J688" s="295"/>
      <c r="K688" s="292"/>
      <c r="L688" s="292"/>
      <c r="M688" s="292"/>
      <c r="N688" s="292"/>
    </row>
    <row r="689" spans="1:14" x14ac:dyDescent="0.25">
      <c r="A689" s="297"/>
      <c r="B689" s="298"/>
      <c r="C689" s="291"/>
      <c r="D689" s="291"/>
      <c r="E689" s="291"/>
      <c r="F689" s="291"/>
      <c r="G689" s="291"/>
      <c r="H689" s="291"/>
      <c r="I689" s="291"/>
      <c r="J689" s="295"/>
      <c r="K689" s="292"/>
      <c r="L689" s="292"/>
      <c r="M689" s="292"/>
      <c r="N689" s="292"/>
    </row>
    <row r="690" spans="1:14" x14ac:dyDescent="0.25">
      <c r="A690" s="297"/>
      <c r="B690" s="298"/>
      <c r="C690" s="291"/>
      <c r="D690" s="291"/>
      <c r="E690" s="291"/>
      <c r="F690" s="291"/>
      <c r="G690" s="291"/>
      <c r="H690" s="291"/>
      <c r="I690" s="291"/>
      <c r="J690" s="295"/>
      <c r="K690" s="292"/>
      <c r="L690" s="292"/>
      <c r="M690" s="292"/>
      <c r="N690" s="292"/>
    </row>
    <row r="691" spans="1:14" x14ac:dyDescent="0.25">
      <c r="A691" s="297"/>
      <c r="B691" s="298"/>
      <c r="C691" s="291"/>
      <c r="D691" s="291"/>
      <c r="E691" s="291"/>
      <c r="F691" s="291"/>
      <c r="G691" s="291"/>
      <c r="H691" s="291"/>
      <c r="I691" s="291"/>
      <c r="J691" s="295"/>
      <c r="K691" s="292"/>
      <c r="L691" s="292"/>
      <c r="M691" s="292"/>
      <c r="N691" s="292"/>
    </row>
    <row r="692" spans="1:14" x14ac:dyDescent="0.25">
      <c r="A692" s="297"/>
      <c r="B692" s="298"/>
      <c r="C692" s="291"/>
      <c r="D692" s="291"/>
      <c r="E692" s="291"/>
      <c r="F692" s="291"/>
      <c r="G692" s="291"/>
      <c r="H692" s="291"/>
      <c r="I692" s="291"/>
      <c r="J692" s="295"/>
      <c r="K692" s="292"/>
      <c r="L692" s="292"/>
      <c r="M692" s="292"/>
      <c r="N692" s="292"/>
    </row>
    <row r="693" spans="1:14" x14ac:dyDescent="0.25">
      <c r="A693" s="297"/>
      <c r="B693" s="298"/>
      <c r="C693" s="291"/>
      <c r="D693" s="291"/>
      <c r="E693" s="291"/>
      <c r="F693" s="291"/>
      <c r="G693" s="291"/>
      <c r="H693" s="291"/>
      <c r="I693" s="291"/>
      <c r="J693" s="295"/>
      <c r="K693" s="292"/>
      <c r="L693" s="292"/>
      <c r="M693" s="292"/>
      <c r="N693" s="292"/>
    </row>
    <row r="694" spans="1:14" x14ac:dyDescent="0.25">
      <c r="A694" s="297"/>
      <c r="B694" s="298"/>
      <c r="C694" s="291"/>
      <c r="D694" s="291"/>
      <c r="E694" s="291"/>
      <c r="F694" s="291"/>
      <c r="G694" s="291"/>
      <c r="H694" s="291"/>
      <c r="I694" s="291"/>
      <c r="J694" s="295"/>
      <c r="K694" s="292"/>
      <c r="L694" s="292"/>
      <c r="M694" s="292"/>
      <c r="N694" s="292"/>
    </row>
    <row r="695" spans="1:14" x14ac:dyDescent="0.25">
      <c r="A695" s="297"/>
      <c r="B695" s="298"/>
      <c r="C695" s="291"/>
      <c r="D695" s="291"/>
      <c r="E695" s="291"/>
      <c r="F695" s="291"/>
      <c r="G695" s="291"/>
      <c r="H695" s="291"/>
      <c r="I695" s="291"/>
      <c r="J695" s="295"/>
      <c r="K695" s="292"/>
      <c r="L695" s="292"/>
      <c r="M695" s="292"/>
      <c r="N695" s="292"/>
    </row>
    <row r="696" spans="1:14" x14ac:dyDescent="0.25">
      <c r="A696" s="297"/>
      <c r="B696" s="298"/>
      <c r="C696" s="291"/>
      <c r="D696" s="291"/>
      <c r="E696" s="291"/>
      <c r="F696" s="291"/>
      <c r="G696" s="291"/>
      <c r="H696" s="291"/>
      <c r="I696" s="291"/>
      <c r="J696" s="295"/>
      <c r="K696" s="292"/>
      <c r="L696" s="292"/>
      <c r="M696" s="292"/>
      <c r="N696" s="292"/>
    </row>
    <row r="697" spans="1:14" x14ac:dyDescent="0.25">
      <c r="A697" s="297"/>
      <c r="B697" s="298"/>
      <c r="C697" s="291"/>
      <c r="D697" s="291"/>
      <c r="E697" s="291"/>
      <c r="F697" s="291"/>
      <c r="G697" s="291"/>
      <c r="H697" s="291"/>
      <c r="I697" s="291"/>
      <c r="J697" s="295"/>
      <c r="K697" s="292"/>
      <c r="L697" s="292"/>
      <c r="M697" s="292"/>
      <c r="N697" s="292"/>
    </row>
    <row r="698" spans="1:14" x14ac:dyDescent="0.25">
      <c r="A698" s="297"/>
      <c r="B698" s="298"/>
      <c r="C698" s="291"/>
      <c r="D698" s="291"/>
      <c r="E698" s="291"/>
      <c r="F698" s="291"/>
      <c r="G698" s="291"/>
      <c r="H698" s="291"/>
      <c r="I698" s="291"/>
      <c r="J698" s="295"/>
      <c r="K698" s="292"/>
      <c r="L698" s="292"/>
      <c r="M698" s="292"/>
      <c r="N698" s="292"/>
    </row>
    <row r="699" spans="1:14" x14ac:dyDescent="0.25">
      <c r="A699" s="297"/>
      <c r="B699" s="298"/>
      <c r="C699" s="291"/>
      <c r="D699" s="291"/>
      <c r="E699" s="291"/>
      <c r="F699" s="291"/>
      <c r="G699" s="291"/>
      <c r="H699" s="291"/>
      <c r="I699" s="291"/>
      <c r="J699" s="295"/>
      <c r="K699" s="292"/>
      <c r="L699" s="292"/>
      <c r="M699" s="292"/>
      <c r="N699" s="292"/>
    </row>
    <row r="700" spans="1:14" x14ac:dyDescent="0.25">
      <c r="A700" s="297"/>
      <c r="B700" s="298"/>
      <c r="C700" s="291"/>
      <c r="D700" s="291"/>
      <c r="E700" s="291"/>
      <c r="F700" s="291"/>
      <c r="G700" s="291"/>
      <c r="H700" s="291"/>
      <c r="I700" s="291"/>
      <c r="J700" s="295"/>
      <c r="K700" s="292"/>
      <c r="L700" s="292"/>
      <c r="M700" s="292"/>
      <c r="N700" s="292"/>
    </row>
    <row r="701" spans="1:14" x14ac:dyDescent="0.25">
      <c r="A701" s="297"/>
      <c r="B701" s="298"/>
      <c r="C701" s="291"/>
      <c r="D701" s="291"/>
      <c r="E701" s="291"/>
      <c r="F701" s="291"/>
      <c r="G701" s="291"/>
      <c r="H701" s="291"/>
      <c r="I701" s="291"/>
      <c r="J701" s="295"/>
      <c r="K701" s="292"/>
      <c r="L701" s="292"/>
      <c r="M701" s="292"/>
      <c r="N701" s="292"/>
    </row>
    <row r="702" spans="1:14" x14ac:dyDescent="0.25">
      <c r="A702" s="297"/>
      <c r="B702" s="298"/>
      <c r="C702" s="291"/>
      <c r="D702" s="291"/>
      <c r="E702" s="291"/>
      <c r="F702" s="291"/>
      <c r="G702" s="291"/>
      <c r="H702" s="291"/>
      <c r="I702" s="291"/>
      <c r="J702" s="295"/>
      <c r="K702" s="292"/>
      <c r="L702" s="292"/>
      <c r="M702" s="292"/>
      <c r="N702" s="292"/>
    </row>
    <row r="703" spans="1:14" x14ac:dyDescent="0.25">
      <c r="A703" s="297"/>
      <c r="B703" s="298"/>
      <c r="C703" s="291"/>
      <c r="D703" s="291"/>
      <c r="E703" s="291"/>
      <c r="F703" s="291"/>
      <c r="G703" s="291"/>
      <c r="H703" s="291"/>
      <c r="I703" s="291"/>
      <c r="J703" s="295"/>
      <c r="K703" s="292"/>
      <c r="L703" s="292"/>
      <c r="M703" s="292"/>
      <c r="N703" s="292"/>
    </row>
    <row r="704" spans="1:14" x14ac:dyDescent="0.25">
      <c r="A704" s="297"/>
      <c r="B704" s="298"/>
      <c r="C704" s="291"/>
      <c r="D704" s="291"/>
      <c r="E704" s="291"/>
      <c r="F704" s="291"/>
      <c r="G704" s="291"/>
      <c r="H704" s="291"/>
      <c r="I704" s="291"/>
      <c r="J704" s="295"/>
      <c r="K704" s="292"/>
      <c r="L704" s="292"/>
      <c r="M704" s="292"/>
      <c r="N704" s="292"/>
    </row>
    <row r="705" spans="1:14" x14ac:dyDescent="0.25">
      <c r="A705" s="297"/>
      <c r="B705" s="298"/>
      <c r="C705" s="291"/>
      <c r="D705" s="291"/>
      <c r="E705" s="291"/>
      <c r="F705" s="291"/>
      <c r="G705" s="291"/>
      <c r="H705" s="291"/>
      <c r="I705" s="291"/>
      <c r="J705" s="295"/>
      <c r="K705" s="292"/>
      <c r="L705" s="292"/>
      <c r="M705" s="292"/>
      <c r="N705" s="292"/>
    </row>
    <row r="706" spans="1:14" x14ac:dyDescent="0.25">
      <c r="A706" s="297"/>
      <c r="B706" s="298"/>
      <c r="C706" s="291"/>
      <c r="D706" s="291"/>
      <c r="E706" s="291"/>
      <c r="F706" s="291"/>
      <c r="G706" s="291"/>
      <c r="H706" s="291"/>
      <c r="I706" s="291"/>
      <c r="J706" s="295"/>
      <c r="K706" s="292"/>
      <c r="L706" s="292"/>
      <c r="M706" s="292"/>
      <c r="N706" s="292"/>
    </row>
    <row r="707" spans="1:14" x14ac:dyDescent="0.25">
      <c r="A707" s="297"/>
      <c r="B707" s="298"/>
      <c r="C707" s="291"/>
      <c r="D707" s="291"/>
      <c r="E707" s="291"/>
      <c r="F707" s="291"/>
      <c r="G707" s="291"/>
      <c r="H707" s="291"/>
      <c r="I707" s="291"/>
      <c r="J707" s="295"/>
      <c r="K707" s="292"/>
      <c r="L707" s="292"/>
      <c r="M707" s="292"/>
      <c r="N707" s="292"/>
    </row>
    <row r="708" spans="1:14" x14ac:dyDescent="0.25">
      <c r="A708" s="297"/>
      <c r="B708" s="298"/>
      <c r="C708" s="291"/>
      <c r="D708" s="291"/>
      <c r="E708" s="291"/>
      <c r="F708" s="291"/>
      <c r="G708" s="291"/>
      <c r="H708" s="291"/>
      <c r="I708" s="291"/>
      <c r="J708" s="295"/>
      <c r="K708" s="292"/>
      <c r="L708" s="292"/>
      <c r="M708" s="292"/>
      <c r="N708" s="292"/>
    </row>
    <row r="709" spans="1:14" x14ac:dyDescent="0.25">
      <c r="A709" s="297"/>
      <c r="B709" s="298"/>
      <c r="C709" s="291"/>
      <c r="D709" s="291"/>
      <c r="E709" s="291"/>
      <c r="F709" s="291"/>
      <c r="G709" s="291"/>
      <c r="H709" s="291"/>
      <c r="I709" s="291"/>
      <c r="J709" s="295"/>
      <c r="K709" s="292"/>
      <c r="L709" s="292"/>
      <c r="M709" s="292"/>
      <c r="N709" s="292"/>
    </row>
    <row r="710" spans="1:14" x14ac:dyDescent="0.25">
      <c r="A710" s="297"/>
      <c r="B710" s="298"/>
      <c r="C710" s="291"/>
      <c r="D710" s="291"/>
      <c r="E710" s="291"/>
      <c r="F710" s="291"/>
      <c r="G710" s="291"/>
      <c r="H710" s="291"/>
      <c r="I710" s="291"/>
      <c r="J710" s="295"/>
      <c r="K710" s="292"/>
      <c r="L710" s="292"/>
      <c r="M710" s="292"/>
      <c r="N710" s="292"/>
    </row>
    <row r="711" spans="1:14" x14ac:dyDescent="0.25">
      <c r="A711" s="297"/>
      <c r="B711" s="298"/>
      <c r="C711" s="291"/>
      <c r="D711" s="291"/>
      <c r="E711" s="291"/>
      <c r="F711" s="291"/>
      <c r="G711" s="291"/>
      <c r="H711" s="291"/>
      <c r="I711" s="291"/>
      <c r="J711" s="295"/>
      <c r="K711" s="292"/>
      <c r="L711" s="292"/>
      <c r="M711" s="292"/>
      <c r="N711" s="292"/>
    </row>
    <row r="712" spans="1:14" x14ac:dyDescent="0.25">
      <c r="A712" s="297"/>
      <c r="B712" s="298"/>
      <c r="C712" s="291"/>
      <c r="D712" s="291"/>
      <c r="E712" s="291"/>
      <c r="F712" s="291"/>
      <c r="G712" s="291"/>
      <c r="H712" s="291"/>
      <c r="I712" s="291"/>
      <c r="J712" s="295"/>
      <c r="K712" s="292"/>
      <c r="L712" s="292"/>
      <c r="M712" s="292"/>
      <c r="N712" s="292"/>
    </row>
    <row r="713" spans="1:14" x14ac:dyDescent="0.25">
      <c r="A713" s="297"/>
      <c r="B713" s="298"/>
      <c r="C713" s="291"/>
      <c r="D713" s="291"/>
      <c r="E713" s="291"/>
      <c r="F713" s="291"/>
      <c r="G713" s="291"/>
      <c r="H713" s="291"/>
      <c r="I713" s="291"/>
      <c r="J713" s="295"/>
      <c r="K713" s="292"/>
      <c r="L713" s="292"/>
      <c r="M713" s="292"/>
      <c r="N713" s="292"/>
    </row>
    <row r="714" spans="1:14" x14ac:dyDescent="0.25">
      <c r="A714" s="297"/>
      <c r="B714" s="298"/>
      <c r="C714" s="291"/>
      <c r="D714" s="291"/>
      <c r="E714" s="291"/>
      <c r="F714" s="291"/>
      <c r="G714" s="291"/>
      <c r="H714" s="291"/>
      <c r="I714" s="291"/>
      <c r="J714" s="295"/>
      <c r="K714" s="292"/>
      <c r="L714" s="292"/>
      <c r="M714" s="292"/>
      <c r="N714" s="292"/>
    </row>
    <row r="715" spans="1:14" x14ac:dyDescent="0.25">
      <c r="A715" s="297"/>
      <c r="B715" s="298"/>
      <c r="C715" s="291"/>
      <c r="D715" s="291"/>
      <c r="E715" s="291"/>
      <c r="F715" s="291"/>
      <c r="G715" s="291"/>
      <c r="H715" s="291"/>
      <c r="I715" s="291"/>
      <c r="J715" s="295"/>
      <c r="K715" s="292"/>
      <c r="L715" s="292"/>
      <c r="M715" s="292"/>
      <c r="N715" s="292"/>
    </row>
    <row r="716" spans="1:14" x14ac:dyDescent="0.25">
      <c r="A716" s="297"/>
      <c r="B716" s="298"/>
      <c r="C716" s="291"/>
      <c r="D716" s="291"/>
      <c r="E716" s="291"/>
      <c r="F716" s="291"/>
      <c r="G716" s="291"/>
      <c r="H716" s="291"/>
      <c r="I716" s="291"/>
      <c r="J716" s="295"/>
      <c r="K716" s="292"/>
      <c r="L716" s="292"/>
      <c r="M716" s="292"/>
      <c r="N716" s="292"/>
    </row>
    <row r="717" spans="1:14" x14ac:dyDescent="0.25">
      <c r="A717" s="297"/>
      <c r="B717" s="298"/>
      <c r="C717" s="291"/>
      <c r="D717" s="291"/>
      <c r="E717" s="291"/>
      <c r="F717" s="291"/>
      <c r="G717" s="291"/>
      <c r="H717" s="291"/>
      <c r="I717" s="291"/>
      <c r="J717" s="295"/>
      <c r="K717" s="292"/>
      <c r="L717" s="292"/>
      <c r="M717" s="292"/>
      <c r="N717" s="292"/>
    </row>
    <row r="718" spans="1:14" x14ac:dyDescent="0.25">
      <c r="A718" s="297"/>
      <c r="B718" s="298"/>
      <c r="C718" s="291"/>
      <c r="D718" s="291"/>
      <c r="E718" s="291"/>
      <c r="F718" s="291"/>
      <c r="G718" s="291"/>
      <c r="H718" s="291"/>
      <c r="I718" s="291"/>
      <c r="J718" s="295"/>
      <c r="K718" s="292"/>
      <c r="L718" s="292"/>
      <c r="M718" s="292"/>
      <c r="N718" s="292"/>
    </row>
    <row r="719" spans="1:14" x14ac:dyDescent="0.25">
      <c r="A719" s="297"/>
      <c r="B719" s="298"/>
      <c r="C719" s="291"/>
      <c r="D719" s="291"/>
      <c r="E719" s="291"/>
      <c r="F719" s="291"/>
      <c r="G719" s="291"/>
      <c r="H719" s="291"/>
      <c r="I719" s="291"/>
      <c r="J719" s="295"/>
      <c r="K719" s="292"/>
      <c r="L719" s="292"/>
      <c r="M719" s="292"/>
      <c r="N719" s="292"/>
    </row>
    <row r="720" spans="1:14" x14ac:dyDescent="0.25">
      <c r="A720" s="297"/>
      <c r="B720" s="298"/>
      <c r="C720" s="291"/>
      <c r="D720" s="291"/>
      <c r="E720" s="291"/>
      <c r="F720" s="291"/>
      <c r="G720" s="291"/>
      <c r="H720" s="291"/>
      <c r="I720" s="291"/>
      <c r="J720" s="295"/>
      <c r="K720" s="292"/>
      <c r="L720" s="292"/>
      <c r="M720" s="292"/>
      <c r="N720" s="292"/>
    </row>
    <row r="721" spans="1:14" x14ac:dyDescent="0.25">
      <c r="A721" s="297"/>
      <c r="B721" s="298"/>
      <c r="C721" s="291"/>
      <c r="D721" s="291"/>
      <c r="E721" s="291"/>
      <c r="F721" s="291"/>
      <c r="G721" s="291"/>
      <c r="H721" s="291"/>
      <c r="I721" s="291"/>
      <c r="J721" s="295"/>
      <c r="K721" s="292"/>
      <c r="L721" s="292"/>
      <c r="M721" s="292"/>
      <c r="N721" s="292"/>
    </row>
    <row r="722" spans="1:14" x14ac:dyDescent="0.25">
      <c r="A722" s="297"/>
      <c r="B722" s="298"/>
      <c r="C722" s="291"/>
      <c r="D722" s="291"/>
      <c r="E722" s="291"/>
      <c r="F722" s="291"/>
      <c r="G722" s="291"/>
      <c r="H722" s="291"/>
      <c r="I722" s="291"/>
      <c r="J722" s="295"/>
      <c r="K722" s="292"/>
      <c r="L722" s="292"/>
      <c r="M722" s="292"/>
      <c r="N722" s="292"/>
    </row>
    <row r="723" spans="1:14" x14ac:dyDescent="0.25">
      <c r="A723" s="297"/>
      <c r="B723" s="298"/>
      <c r="C723" s="291"/>
      <c r="D723" s="291"/>
      <c r="E723" s="291"/>
      <c r="F723" s="291"/>
      <c r="G723" s="291"/>
      <c r="H723" s="291"/>
      <c r="I723" s="291"/>
      <c r="J723" s="295"/>
      <c r="K723" s="292"/>
      <c r="L723" s="292"/>
      <c r="M723" s="292"/>
      <c r="N723" s="292"/>
    </row>
    <row r="724" spans="1:14" x14ac:dyDescent="0.25">
      <c r="A724" s="297"/>
      <c r="B724" s="298"/>
      <c r="C724" s="291"/>
      <c r="D724" s="291"/>
      <c r="E724" s="291"/>
      <c r="F724" s="291"/>
      <c r="G724" s="291"/>
      <c r="H724" s="291"/>
      <c r="I724" s="291"/>
      <c r="J724" s="295"/>
      <c r="K724" s="292"/>
      <c r="L724" s="292"/>
      <c r="M724" s="292"/>
      <c r="N724" s="292"/>
    </row>
    <row r="725" spans="1:14" x14ac:dyDescent="0.25">
      <c r="A725" s="297"/>
      <c r="B725" s="298"/>
      <c r="C725" s="291"/>
      <c r="D725" s="291"/>
      <c r="E725" s="291"/>
      <c r="F725" s="291"/>
      <c r="G725" s="291"/>
      <c r="H725" s="291"/>
      <c r="I725" s="291"/>
      <c r="J725" s="295"/>
      <c r="K725" s="292"/>
      <c r="L725" s="292"/>
      <c r="M725" s="292"/>
      <c r="N725" s="292"/>
    </row>
    <row r="726" spans="1:14" x14ac:dyDescent="0.25">
      <c r="A726" s="297"/>
      <c r="B726" s="298"/>
      <c r="C726" s="291"/>
      <c r="D726" s="291"/>
      <c r="E726" s="291"/>
      <c r="F726" s="291"/>
      <c r="G726" s="291"/>
      <c r="H726" s="291"/>
      <c r="I726" s="291"/>
      <c r="J726" s="295"/>
      <c r="K726" s="292"/>
      <c r="L726" s="292"/>
      <c r="M726" s="292"/>
      <c r="N726" s="292"/>
    </row>
    <row r="727" spans="1:14" x14ac:dyDescent="0.25">
      <c r="A727" s="297"/>
      <c r="B727" s="298"/>
      <c r="C727" s="291"/>
      <c r="D727" s="291"/>
      <c r="E727" s="291"/>
      <c r="F727" s="291"/>
      <c r="G727" s="291"/>
      <c r="H727" s="291"/>
      <c r="I727" s="291"/>
      <c r="J727" s="295"/>
      <c r="K727" s="292"/>
      <c r="L727" s="292"/>
      <c r="M727" s="292"/>
      <c r="N727" s="292"/>
    </row>
    <row r="728" spans="1:14" x14ac:dyDescent="0.25">
      <c r="A728" s="297"/>
      <c r="B728" s="298"/>
      <c r="C728" s="291"/>
      <c r="D728" s="291"/>
      <c r="E728" s="291"/>
      <c r="F728" s="291"/>
      <c r="G728" s="291"/>
      <c r="H728" s="291"/>
      <c r="I728" s="291"/>
      <c r="J728" s="295"/>
      <c r="K728" s="292"/>
      <c r="L728" s="292"/>
      <c r="M728" s="292"/>
      <c r="N728" s="292"/>
    </row>
    <row r="729" spans="1:14" x14ac:dyDescent="0.25">
      <c r="A729" s="297"/>
      <c r="B729" s="298"/>
      <c r="C729" s="291"/>
      <c r="D729" s="291"/>
      <c r="E729" s="291"/>
      <c r="F729" s="291"/>
      <c r="G729" s="291"/>
      <c r="H729" s="291"/>
      <c r="I729" s="291"/>
      <c r="J729" s="295"/>
      <c r="K729" s="292"/>
      <c r="L729" s="292"/>
      <c r="M729" s="292"/>
      <c r="N729" s="292"/>
    </row>
    <row r="730" spans="1:14" x14ac:dyDescent="0.25">
      <c r="A730" s="297"/>
      <c r="B730" s="298"/>
      <c r="C730" s="291"/>
      <c r="D730" s="291"/>
      <c r="E730" s="291"/>
      <c r="F730" s="291"/>
      <c r="G730" s="291"/>
      <c r="H730" s="291"/>
      <c r="I730" s="291"/>
      <c r="J730" s="295"/>
      <c r="K730" s="292"/>
      <c r="L730" s="292"/>
      <c r="M730" s="292"/>
      <c r="N730" s="292"/>
    </row>
    <row r="731" spans="1:14" x14ac:dyDescent="0.25">
      <c r="A731" s="297"/>
      <c r="B731" s="298"/>
      <c r="C731" s="291"/>
      <c r="D731" s="291"/>
      <c r="E731" s="291"/>
      <c r="F731" s="291"/>
      <c r="G731" s="291"/>
      <c r="H731" s="291"/>
      <c r="I731" s="291"/>
      <c r="J731" s="295"/>
      <c r="K731" s="292"/>
      <c r="L731" s="292"/>
      <c r="M731" s="292"/>
      <c r="N731" s="292"/>
    </row>
    <row r="732" spans="1:14" x14ac:dyDescent="0.25">
      <c r="A732" s="297"/>
      <c r="B732" s="298"/>
      <c r="C732" s="291"/>
      <c r="D732" s="291"/>
      <c r="E732" s="291"/>
      <c r="F732" s="291"/>
      <c r="G732" s="291"/>
      <c r="H732" s="291"/>
      <c r="I732" s="291"/>
      <c r="J732" s="295"/>
      <c r="K732" s="292"/>
      <c r="L732" s="292"/>
      <c r="M732" s="292"/>
      <c r="N732" s="292"/>
    </row>
    <row r="733" spans="1:14" x14ac:dyDescent="0.25">
      <c r="A733" s="297"/>
      <c r="B733" s="298"/>
      <c r="C733" s="291"/>
      <c r="D733" s="291"/>
      <c r="E733" s="291"/>
      <c r="F733" s="291"/>
      <c r="G733" s="291"/>
      <c r="H733" s="291"/>
      <c r="I733" s="291"/>
      <c r="J733" s="295"/>
      <c r="K733" s="292"/>
      <c r="L733" s="292"/>
      <c r="M733" s="292"/>
      <c r="N733" s="292"/>
    </row>
    <row r="734" spans="1:14" x14ac:dyDescent="0.25">
      <c r="A734" s="297"/>
      <c r="B734" s="298"/>
      <c r="C734" s="291"/>
      <c r="D734" s="291"/>
      <c r="E734" s="291"/>
      <c r="F734" s="291"/>
      <c r="G734" s="291"/>
      <c r="H734" s="291"/>
      <c r="I734" s="291"/>
      <c r="J734" s="295"/>
      <c r="K734" s="292"/>
      <c r="L734" s="292"/>
      <c r="M734" s="292"/>
      <c r="N734" s="292"/>
    </row>
    <row r="735" spans="1:14" x14ac:dyDescent="0.25">
      <c r="A735" s="297"/>
      <c r="B735" s="298"/>
      <c r="C735" s="291"/>
      <c r="D735" s="291"/>
      <c r="E735" s="291"/>
      <c r="F735" s="291"/>
      <c r="G735" s="291"/>
      <c r="H735" s="291"/>
      <c r="I735" s="291"/>
      <c r="J735" s="295"/>
      <c r="K735" s="292"/>
      <c r="L735" s="292"/>
      <c r="M735" s="292"/>
      <c r="N735" s="292"/>
    </row>
    <row r="736" spans="1:14" x14ac:dyDescent="0.25">
      <c r="A736" s="297"/>
      <c r="B736" s="298"/>
      <c r="C736" s="291"/>
      <c r="D736" s="291"/>
      <c r="E736" s="291"/>
      <c r="F736" s="291"/>
      <c r="G736" s="291"/>
      <c r="H736" s="291"/>
      <c r="I736" s="291"/>
      <c r="J736" s="295"/>
      <c r="K736" s="292"/>
      <c r="L736" s="292"/>
      <c r="M736" s="292"/>
      <c r="N736" s="292"/>
    </row>
    <row r="737" spans="1:14" x14ac:dyDescent="0.25">
      <c r="A737" s="297"/>
      <c r="B737" s="298"/>
      <c r="C737" s="291"/>
      <c r="D737" s="291"/>
      <c r="E737" s="291"/>
      <c r="F737" s="291"/>
      <c r="G737" s="291"/>
      <c r="H737" s="291"/>
      <c r="I737" s="291"/>
      <c r="J737" s="295"/>
      <c r="K737" s="292"/>
      <c r="L737" s="292"/>
      <c r="M737" s="292"/>
      <c r="N737" s="292"/>
    </row>
    <row r="738" spans="1:14" x14ac:dyDescent="0.25">
      <c r="A738" s="297"/>
      <c r="B738" s="298"/>
      <c r="C738" s="291"/>
      <c r="D738" s="291"/>
      <c r="E738" s="291"/>
      <c r="F738" s="291"/>
      <c r="G738" s="291"/>
      <c r="H738" s="291"/>
      <c r="I738" s="291"/>
      <c r="J738" s="295"/>
      <c r="K738" s="292"/>
      <c r="L738" s="292"/>
      <c r="M738" s="292"/>
      <c r="N738" s="292"/>
    </row>
    <row r="739" spans="1:14" x14ac:dyDescent="0.25">
      <c r="A739" s="297"/>
      <c r="B739" s="298"/>
      <c r="C739" s="291"/>
      <c r="D739" s="291"/>
      <c r="E739" s="291"/>
      <c r="F739" s="291"/>
      <c r="G739" s="291"/>
      <c r="H739" s="291"/>
      <c r="I739" s="291"/>
      <c r="J739" s="295"/>
      <c r="K739" s="292"/>
      <c r="L739" s="292"/>
      <c r="M739" s="292"/>
      <c r="N739" s="292"/>
    </row>
    <row r="740" spans="1:14" x14ac:dyDescent="0.25">
      <c r="A740" s="297"/>
      <c r="B740" s="298"/>
      <c r="C740" s="291"/>
      <c r="D740" s="291"/>
      <c r="E740" s="291"/>
      <c r="F740" s="291"/>
      <c r="G740" s="291"/>
      <c r="H740" s="291"/>
      <c r="I740" s="291"/>
      <c r="J740" s="295"/>
      <c r="K740" s="292"/>
      <c r="L740" s="292"/>
      <c r="M740" s="292"/>
      <c r="N740" s="292"/>
    </row>
    <row r="741" spans="1:14" x14ac:dyDescent="0.25">
      <c r="A741" s="297"/>
      <c r="B741" s="298"/>
      <c r="C741" s="291"/>
      <c r="D741" s="291"/>
      <c r="E741" s="291"/>
      <c r="F741" s="291"/>
      <c r="G741" s="291"/>
      <c r="H741" s="291"/>
      <c r="I741" s="291"/>
      <c r="J741" s="295"/>
      <c r="K741" s="292"/>
      <c r="L741" s="292"/>
      <c r="M741" s="292"/>
      <c r="N741" s="292"/>
    </row>
    <row r="742" spans="1:14" x14ac:dyDescent="0.25">
      <c r="A742" s="297"/>
      <c r="B742" s="298"/>
      <c r="C742" s="291"/>
      <c r="D742" s="291"/>
      <c r="E742" s="291"/>
      <c r="F742" s="291"/>
      <c r="G742" s="291"/>
      <c r="H742" s="291"/>
      <c r="I742" s="291"/>
      <c r="J742" s="295"/>
      <c r="K742" s="292"/>
      <c r="L742" s="292"/>
      <c r="M742" s="292"/>
      <c r="N742" s="292"/>
    </row>
    <row r="743" spans="1:14" x14ac:dyDescent="0.25">
      <c r="A743" s="297"/>
      <c r="B743" s="298"/>
      <c r="C743" s="291"/>
      <c r="D743" s="291"/>
      <c r="E743" s="291"/>
      <c r="F743" s="291"/>
      <c r="G743" s="291"/>
      <c r="H743" s="291"/>
      <c r="I743" s="291"/>
      <c r="J743" s="295"/>
      <c r="K743" s="292"/>
      <c r="L743" s="292"/>
      <c r="M743" s="292"/>
      <c r="N743" s="292"/>
    </row>
    <row r="744" spans="1:14" x14ac:dyDescent="0.25">
      <c r="A744" s="297"/>
      <c r="B744" s="298"/>
      <c r="C744" s="291"/>
      <c r="D744" s="291"/>
      <c r="E744" s="291"/>
      <c r="F744" s="291"/>
      <c r="G744" s="291"/>
      <c r="H744" s="291"/>
      <c r="I744" s="291"/>
      <c r="J744" s="295"/>
      <c r="K744" s="292"/>
      <c r="L744" s="292"/>
      <c r="M744" s="292"/>
      <c r="N744" s="292"/>
    </row>
    <row r="745" spans="1:14" x14ac:dyDescent="0.25">
      <c r="A745" s="297"/>
      <c r="B745" s="298"/>
      <c r="C745" s="291"/>
      <c r="D745" s="291"/>
      <c r="E745" s="291"/>
      <c r="F745" s="291"/>
      <c r="G745" s="291"/>
      <c r="H745" s="291"/>
      <c r="I745" s="291"/>
      <c r="J745" s="295"/>
      <c r="K745" s="292"/>
      <c r="L745" s="292"/>
      <c r="M745" s="292"/>
      <c r="N745" s="292"/>
    </row>
    <row r="746" spans="1:14" x14ac:dyDescent="0.25">
      <c r="A746" s="297"/>
      <c r="B746" s="298"/>
      <c r="C746" s="291"/>
      <c r="D746" s="291"/>
      <c r="E746" s="291"/>
      <c r="F746" s="291"/>
      <c r="G746" s="291"/>
      <c r="H746" s="291"/>
      <c r="I746" s="291"/>
      <c r="J746" s="295"/>
      <c r="K746" s="292"/>
      <c r="L746" s="292"/>
      <c r="M746" s="292"/>
      <c r="N746" s="292"/>
    </row>
    <row r="747" spans="1:14" x14ac:dyDescent="0.25">
      <c r="A747" s="297"/>
      <c r="B747" s="298"/>
      <c r="C747" s="291"/>
      <c r="D747" s="291"/>
      <c r="E747" s="291"/>
      <c r="F747" s="291"/>
      <c r="G747" s="291"/>
      <c r="H747" s="291"/>
      <c r="I747" s="291"/>
      <c r="J747" s="295"/>
      <c r="K747" s="292"/>
      <c r="L747" s="292"/>
      <c r="M747" s="292"/>
      <c r="N747" s="292"/>
    </row>
    <row r="748" spans="1:14" x14ac:dyDescent="0.25">
      <c r="A748" s="297"/>
      <c r="B748" s="298"/>
      <c r="C748" s="291"/>
      <c r="D748" s="291"/>
      <c r="E748" s="291"/>
      <c r="F748" s="291"/>
      <c r="G748" s="291"/>
      <c r="H748" s="291"/>
      <c r="I748" s="291"/>
      <c r="J748" s="295"/>
      <c r="K748" s="292"/>
      <c r="L748" s="292"/>
      <c r="M748" s="292"/>
      <c r="N748" s="292"/>
    </row>
    <row r="749" spans="1:14" x14ac:dyDescent="0.25">
      <c r="A749" s="297"/>
      <c r="B749" s="298"/>
      <c r="C749" s="291"/>
      <c r="D749" s="291"/>
      <c r="E749" s="291"/>
      <c r="F749" s="291"/>
      <c r="G749" s="291"/>
      <c r="H749" s="291"/>
      <c r="I749" s="291"/>
      <c r="J749" s="295"/>
      <c r="K749" s="292"/>
      <c r="L749" s="292"/>
      <c r="M749" s="292"/>
      <c r="N749" s="292"/>
    </row>
    <row r="750" spans="1:14" x14ac:dyDescent="0.25">
      <c r="A750" s="297"/>
      <c r="B750" s="298"/>
      <c r="C750" s="291"/>
      <c r="D750" s="291"/>
      <c r="E750" s="291"/>
      <c r="F750" s="291"/>
      <c r="G750" s="291"/>
      <c r="H750" s="291"/>
      <c r="I750" s="291"/>
      <c r="J750" s="295"/>
      <c r="K750" s="292"/>
      <c r="L750" s="292"/>
      <c r="M750" s="292"/>
      <c r="N750" s="292"/>
    </row>
    <row r="751" spans="1:14" x14ac:dyDescent="0.25">
      <c r="A751" s="297"/>
      <c r="B751" s="298"/>
      <c r="C751" s="291"/>
      <c r="D751" s="291"/>
      <c r="E751" s="291"/>
      <c r="F751" s="291"/>
      <c r="G751" s="291"/>
      <c r="H751" s="291"/>
      <c r="I751" s="291"/>
      <c r="J751" s="295"/>
      <c r="K751" s="292"/>
      <c r="L751" s="292"/>
      <c r="M751" s="292"/>
      <c r="N751" s="292"/>
    </row>
    <row r="752" spans="1:14" x14ac:dyDescent="0.25">
      <c r="A752" s="297"/>
      <c r="B752" s="298"/>
      <c r="C752" s="291"/>
      <c r="D752" s="291"/>
      <c r="E752" s="291"/>
      <c r="F752" s="291"/>
      <c r="G752" s="291"/>
      <c r="H752" s="291"/>
      <c r="I752" s="291"/>
      <c r="J752" s="295"/>
      <c r="K752" s="292"/>
      <c r="L752" s="292"/>
      <c r="M752" s="292"/>
      <c r="N752" s="292"/>
    </row>
    <row r="753" spans="1:14" x14ac:dyDescent="0.25">
      <c r="A753" s="297"/>
      <c r="B753" s="298"/>
      <c r="C753" s="291"/>
      <c r="D753" s="291"/>
      <c r="E753" s="291"/>
      <c r="F753" s="291"/>
      <c r="G753" s="291"/>
      <c r="H753" s="291"/>
      <c r="I753" s="291"/>
      <c r="J753" s="295"/>
      <c r="K753" s="292"/>
      <c r="L753" s="292"/>
      <c r="M753" s="292"/>
      <c r="N753" s="292"/>
    </row>
    <row r="754" spans="1:14" x14ac:dyDescent="0.25">
      <c r="A754" s="297"/>
      <c r="B754" s="298"/>
      <c r="C754" s="291"/>
      <c r="D754" s="291"/>
      <c r="E754" s="291"/>
      <c r="F754" s="291"/>
      <c r="G754" s="291"/>
      <c r="H754" s="291"/>
      <c r="I754" s="291"/>
      <c r="J754" s="295"/>
      <c r="K754" s="292"/>
      <c r="L754" s="292"/>
      <c r="M754" s="292"/>
      <c r="N754" s="292"/>
    </row>
    <row r="755" spans="1:14" x14ac:dyDescent="0.25">
      <c r="A755" s="297"/>
      <c r="B755" s="298"/>
      <c r="C755" s="291"/>
      <c r="D755" s="291"/>
      <c r="E755" s="291"/>
      <c r="F755" s="291"/>
      <c r="G755" s="291"/>
      <c r="H755" s="291"/>
      <c r="I755" s="291"/>
      <c r="J755" s="295"/>
      <c r="K755" s="292"/>
      <c r="L755" s="292"/>
      <c r="M755" s="292"/>
      <c r="N755" s="292"/>
    </row>
    <row r="756" spans="1:14" x14ac:dyDescent="0.25">
      <c r="A756" s="297"/>
      <c r="B756" s="298"/>
      <c r="C756" s="291"/>
      <c r="D756" s="291"/>
      <c r="E756" s="291"/>
      <c r="F756" s="291"/>
      <c r="G756" s="291"/>
      <c r="H756" s="291"/>
      <c r="I756" s="291"/>
      <c r="J756" s="295"/>
      <c r="K756" s="292"/>
      <c r="L756" s="292"/>
      <c r="M756" s="292"/>
      <c r="N756" s="292"/>
    </row>
    <row r="757" spans="1:14" x14ac:dyDescent="0.25">
      <c r="A757" s="297"/>
      <c r="B757" s="298"/>
      <c r="C757" s="291"/>
      <c r="D757" s="291"/>
      <c r="E757" s="291"/>
      <c r="F757" s="291"/>
      <c r="G757" s="291"/>
      <c r="H757" s="291"/>
      <c r="I757" s="291"/>
      <c r="J757" s="295"/>
      <c r="K757" s="292"/>
      <c r="L757" s="292"/>
      <c r="M757" s="292"/>
      <c r="N757" s="292"/>
    </row>
    <row r="758" spans="1:14" x14ac:dyDescent="0.25">
      <c r="A758" s="297"/>
      <c r="B758" s="298"/>
      <c r="C758" s="291"/>
      <c r="D758" s="291"/>
      <c r="E758" s="291"/>
      <c r="F758" s="291"/>
      <c r="G758" s="291"/>
      <c r="H758" s="291"/>
      <c r="I758" s="291"/>
      <c r="J758" s="295"/>
      <c r="K758" s="292"/>
      <c r="L758" s="292"/>
      <c r="M758" s="292"/>
      <c r="N758" s="292"/>
    </row>
    <row r="759" spans="1:14" x14ac:dyDescent="0.25">
      <c r="A759" s="297"/>
      <c r="B759" s="298"/>
      <c r="C759" s="291"/>
      <c r="D759" s="291"/>
      <c r="E759" s="291"/>
      <c r="F759" s="291"/>
      <c r="G759" s="291"/>
      <c r="H759" s="291"/>
      <c r="I759" s="291"/>
      <c r="J759" s="295"/>
      <c r="K759" s="292"/>
      <c r="L759" s="292"/>
      <c r="M759" s="292"/>
      <c r="N759" s="292"/>
    </row>
    <row r="760" spans="1:14" x14ac:dyDescent="0.25">
      <c r="A760" s="297"/>
      <c r="B760" s="298"/>
      <c r="C760" s="291"/>
      <c r="D760" s="291"/>
      <c r="E760" s="291"/>
      <c r="F760" s="291"/>
      <c r="G760" s="291"/>
      <c r="H760" s="291"/>
      <c r="I760" s="291"/>
      <c r="J760" s="295"/>
      <c r="K760" s="292"/>
      <c r="L760" s="292"/>
      <c r="M760" s="292"/>
      <c r="N760" s="292"/>
    </row>
    <row r="761" spans="1:14" x14ac:dyDescent="0.25">
      <c r="A761" s="297"/>
      <c r="B761" s="298"/>
      <c r="C761" s="291"/>
      <c r="D761" s="291"/>
      <c r="E761" s="291"/>
      <c r="F761" s="291"/>
      <c r="G761" s="291"/>
      <c r="H761" s="291"/>
      <c r="I761" s="291"/>
      <c r="J761" s="295"/>
      <c r="K761" s="292"/>
      <c r="L761" s="292"/>
      <c r="M761" s="292"/>
      <c r="N761" s="292"/>
    </row>
    <row r="762" spans="1:14" x14ac:dyDescent="0.25">
      <c r="A762" s="297"/>
      <c r="B762" s="298"/>
      <c r="C762" s="291"/>
      <c r="D762" s="291"/>
      <c r="E762" s="291"/>
      <c r="F762" s="291"/>
      <c r="G762" s="291"/>
      <c r="H762" s="291"/>
      <c r="I762" s="291"/>
      <c r="J762" s="295"/>
      <c r="K762" s="292"/>
      <c r="L762" s="292"/>
      <c r="M762" s="292"/>
      <c r="N762" s="292"/>
    </row>
    <row r="763" spans="1:14" x14ac:dyDescent="0.25">
      <c r="A763" s="297"/>
      <c r="B763" s="298"/>
      <c r="C763" s="291"/>
      <c r="D763" s="291"/>
      <c r="E763" s="291"/>
      <c r="F763" s="291"/>
      <c r="G763" s="291"/>
      <c r="H763" s="291"/>
      <c r="I763" s="291"/>
      <c r="J763" s="295"/>
      <c r="K763" s="292"/>
      <c r="L763" s="292"/>
      <c r="M763" s="292"/>
      <c r="N763" s="292"/>
    </row>
    <row r="764" spans="1:14" x14ac:dyDescent="0.25">
      <c r="A764" s="297"/>
      <c r="B764" s="298"/>
      <c r="C764" s="291"/>
      <c r="D764" s="291"/>
      <c r="E764" s="291"/>
      <c r="F764" s="291"/>
      <c r="G764" s="291"/>
      <c r="H764" s="291"/>
      <c r="I764" s="291"/>
      <c r="J764" s="295"/>
      <c r="K764" s="292"/>
      <c r="L764" s="292"/>
      <c r="M764" s="292"/>
      <c r="N764" s="292"/>
    </row>
    <row r="765" spans="1:14" x14ac:dyDescent="0.25">
      <c r="A765" s="297"/>
      <c r="B765" s="298"/>
      <c r="C765" s="291"/>
      <c r="D765" s="291"/>
      <c r="E765" s="291"/>
      <c r="F765" s="291"/>
      <c r="G765" s="291"/>
      <c r="H765" s="291"/>
      <c r="I765" s="291"/>
      <c r="J765" s="295"/>
      <c r="K765" s="292"/>
      <c r="L765" s="292"/>
      <c r="M765" s="292"/>
      <c r="N765" s="292"/>
    </row>
    <row r="766" spans="1:14" x14ac:dyDescent="0.25">
      <c r="A766" s="297"/>
      <c r="B766" s="298"/>
      <c r="C766" s="291"/>
      <c r="D766" s="291"/>
      <c r="E766" s="291"/>
      <c r="F766" s="291"/>
      <c r="G766" s="291"/>
      <c r="H766" s="291"/>
      <c r="I766" s="291"/>
      <c r="J766" s="295"/>
      <c r="K766" s="292"/>
      <c r="L766" s="292"/>
      <c r="M766" s="292"/>
      <c r="N766" s="292"/>
    </row>
    <row r="767" spans="1:14" x14ac:dyDescent="0.25">
      <c r="A767" s="297"/>
      <c r="B767" s="298"/>
      <c r="C767" s="291"/>
      <c r="D767" s="291"/>
      <c r="E767" s="291"/>
      <c r="F767" s="291"/>
      <c r="G767" s="291"/>
      <c r="H767" s="291"/>
      <c r="I767" s="291"/>
      <c r="J767" s="295"/>
      <c r="K767" s="292"/>
      <c r="L767" s="292"/>
      <c r="M767" s="292"/>
      <c r="N767" s="292"/>
    </row>
    <row r="768" spans="1:14" x14ac:dyDescent="0.25">
      <c r="A768" s="297"/>
      <c r="B768" s="298"/>
      <c r="C768" s="291"/>
      <c r="D768" s="291"/>
      <c r="E768" s="291"/>
      <c r="F768" s="291"/>
      <c r="G768" s="291"/>
      <c r="H768" s="291"/>
      <c r="I768" s="291"/>
      <c r="J768" s="295"/>
      <c r="K768" s="292"/>
      <c r="L768" s="292"/>
      <c r="M768" s="292"/>
      <c r="N768" s="292"/>
    </row>
    <row r="769" spans="1:14" x14ac:dyDescent="0.25">
      <c r="A769" s="297"/>
      <c r="B769" s="298"/>
      <c r="C769" s="291"/>
      <c r="D769" s="291"/>
      <c r="E769" s="291"/>
      <c r="F769" s="291"/>
      <c r="G769" s="291"/>
      <c r="H769" s="291"/>
      <c r="I769" s="291"/>
      <c r="J769" s="295"/>
      <c r="K769" s="292"/>
      <c r="L769" s="292"/>
      <c r="M769" s="292"/>
      <c r="N769" s="292"/>
    </row>
    <row r="770" spans="1:14" x14ac:dyDescent="0.25">
      <c r="A770" s="297"/>
      <c r="B770" s="298"/>
      <c r="C770" s="291"/>
      <c r="D770" s="291"/>
      <c r="E770" s="291"/>
      <c r="F770" s="291"/>
      <c r="G770" s="291"/>
      <c r="H770" s="291"/>
      <c r="I770" s="291"/>
      <c r="J770" s="295"/>
      <c r="K770" s="292"/>
      <c r="L770" s="292"/>
      <c r="M770" s="292"/>
      <c r="N770" s="292"/>
    </row>
    <row r="771" spans="1:14" x14ac:dyDescent="0.25">
      <c r="A771" s="297"/>
      <c r="B771" s="298"/>
      <c r="C771" s="291"/>
      <c r="D771" s="291"/>
      <c r="E771" s="291"/>
      <c r="F771" s="291"/>
      <c r="G771" s="291"/>
      <c r="H771" s="291"/>
      <c r="I771" s="291"/>
      <c r="J771" s="295"/>
      <c r="K771" s="292"/>
      <c r="L771" s="292"/>
      <c r="M771" s="292"/>
      <c r="N771" s="292"/>
    </row>
    <row r="772" spans="1:14" x14ac:dyDescent="0.25">
      <c r="A772" s="297"/>
      <c r="B772" s="298"/>
      <c r="C772" s="291"/>
      <c r="D772" s="291"/>
      <c r="E772" s="291"/>
      <c r="F772" s="291"/>
      <c r="G772" s="291"/>
      <c r="H772" s="291"/>
      <c r="I772" s="291"/>
      <c r="J772" s="295"/>
      <c r="K772" s="292"/>
      <c r="L772" s="292"/>
      <c r="M772" s="292"/>
      <c r="N772" s="292"/>
    </row>
    <row r="773" spans="1:14" x14ac:dyDescent="0.25">
      <c r="A773" s="297"/>
      <c r="B773" s="298"/>
      <c r="C773" s="291"/>
      <c r="D773" s="291"/>
      <c r="E773" s="291"/>
      <c r="F773" s="291"/>
      <c r="G773" s="291"/>
      <c r="H773" s="291"/>
      <c r="I773" s="291"/>
      <c r="J773" s="295"/>
      <c r="K773" s="292"/>
      <c r="L773" s="292"/>
      <c r="M773" s="292"/>
      <c r="N773" s="292"/>
    </row>
    <row r="774" spans="1:14" x14ac:dyDescent="0.25">
      <c r="A774" s="297"/>
      <c r="B774" s="298"/>
      <c r="C774" s="291"/>
      <c r="D774" s="291"/>
      <c r="E774" s="291"/>
      <c r="F774" s="291"/>
      <c r="G774" s="291"/>
      <c r="H774" s="291"/>
      <c r="I774" s="291"/>
      <c r="J774" s="295"/>
      <c r="K774" s="292"/>
      <c r="L774" s="292"/>
      <c r="M774" s="292"/>
      <c r="N774" s="292"/>
    </row>
    <row r="775" spans="1:14" x14ac:dyDescent="0.25">
      <c r="A775" s="297"/>
      <c r="B775" s="298"/>
      <c r="C775" s="291"/>
      <c r="D775" s="291"/>
      <c r="E775" s="291"/>
      <c r="F775" s="291"/>
      <c r="G775" s="291"/>
      <c r="H775" s="291"/>
      <c r="I775" s="291"/>
      <c r="J775" s="295"/>
      <c r="K775" s="292"/>
      <c r="L775" s="292"/>
      <c r="M775" s="292"/>
      <c r="N775" s="292"/>
    </row>
    <row r="776" spans="1:14" x14ac:dyDescent="0.25">
      <c r="A776" s="297"/>
      <c r="B776" s="298"/>
      <c r="C776" s="291"/>
      <c r="D776" s="291"/>
      <c r="E776" s="291"/>
      <c r="F776" s="291"/>
      <c r="G776" s="291"/>
      <c r="H776" s="291"/>
      <c r="I776" s="291"/>
      <c r="J776" s="295"/>
      <c r="K776" s="292"/>
      <c r="L776" s="292"/>
      <c r="M776" s="292"/>
      <c r="N776" s="292"/>
    </row>
    <row r="777" spans="1:14" x14ac:dyDescent="0.25">
      <c r="A777" s="297"/>
      <c r="B777" s="298"/>
      <c r="C777" s="291"/>
      <c r="D777" s="291"/>
      <c r="E777" s="291"/>
      <c r="F777" s="291"/>
      <c r="G777" s="291"/>
      <c r="H777" s="291"/>
      <c r="I777" s="291"/>
      <c r="J777" s="295"/>
      <c r="K777" s="292"/>
      <c r="L777" s="292"/>
      <c r="M777" s="292"/>
      <c r="N777" s="292"/>
    </row>
    <row r="778" spans="1:14" x14ac:dyDescent="0.25">
      <c r="A778" s="297"/>
      <c r="B778" s="298"/>
      <c r="C778" s="291"/>
      <c r="D778" s="291"/>
      <c r="E778" s="291"/>
      <c r="F778" s="291"/>
      <c r="G778" s="291"/>
      <c r="H778" s="291"/>
      <c r="I778" s="291"/>
      <c r="J778" s="295"/>
      <c r="K778" s="292"/>
      <c r="L778" s="292"/>
      <c r="M778" s="292"/>
      <c r="N778" s="292"/>
    </row>
    <row r="779" spans="1:14" x14ac:dyDescent="0.25">
      <c r="A779" s="297"/>
      <c r="B779" s="298"/>
      <c r="C779" s="291"/>
      <c r="D779" s="291"/>
      <c r="E779" s="291"/>
      <c r="F779" s="291"/>
      <c r="G779" s="291"/>
      <c r="H779" s="291"/>
      <c r="I779" s="291"/>
      <c r="J779" s="295"/>
      <c r="K779" s="292"/>
      <c r="L779" s="292"/>
      <c r="M779" s="292"/>
      <c r="N779" s="292"/>
    </row>
    <row r="780" spans="1:14" x14ac:dyDescent="0.25">
      <c r="A780" s="297"/>
      <c r="B780" s="298"/>
      <c r="C780" s="291"/>
      <c r="D780" s="291"/>
      <c r="E780" s="291"/>
      <c r="F780" s="291"/>
      <c r="G780" s="291"/>
      <c r="H780" s="291"/>
      <c r="I780" s="291"/>
      <c r="J780" s="295"/>
      <c r="K780" s="292"/>
      <c r="L780" s="292"/>
      <c r="M780" s="292"/>
      <c r="N780" s="292"/>
    </row>
    <row r="781" spans="1:14" x14ac:dyDescent="0.25">
      <c r="A781" s="297"/>
      <c r="B781" s="298"/>
      <c r="C781" s="291"/>
      <c r="D781" s="291"/>
      <c r="E781" s="291"/>
      <c r="F781" s="291"/>
      <c r="G781" s="291"/>
      <c r="H781" s="291"/>
      <c r="I781" s="291"/>
      <c r="J781" s="295"/>
      <c r="K781" s="292"/>
      <c r="L781" s="292"/>
      <c r="M781" s="292"/>
      <c r="N781" s="292"/>
    </row>
    <row r="782" spans="1:14" x14ac:dyDescent="0.25">
      <c r="A782" s="297"/>
      <c r="B782" s="298"/>
      <c r="C782" s="291"/>
      <c r="D782" s="291"/>
      <c r="E782" s="291"/>
      <c r="F782" s="291"/>
      <c r="G782" s="291"/>
      <c r="H782" s="291"/>
      <c r="I782" s="291"/>
      <c r="J782" s="295"/>
      <c r="K782" s="292"/>
      <c r="L782" s="292"/>
      <c r="M782" s="292"/>
      <c r="N782" s="292"/>
    </row>
    <row r="783" spans="1:14" x14ac:dyDescent="0.25">
      <c r="A783" s="297"/>
      <c r="B783" s="298"/>
      <c r="C783" s="291"/>
      <c r="D783" s="291"/>
      <c r="E783" s="291"/>
      <c r="F783" s="291"/>
      <c r="G783" s="291"/>
      <c r="H783" s="291"/>
      <c r="I783" s="291"/>
      <c r="J783" s="295"/>
      <c r="K783" s="292"/>
      <c r="L783" s="292"/>
      <c r="M783" s="292"/>
      <c r="N783" s="292"/>
    </row>
    <row r="784" spans="1:14" x14ac:dyDescent="0.25">
      <c r="A784" s="297"/>
      <c r="B784" s="298"/>
      <c r="C784" s="291"/>
      <c r="D784" s="291"/>
      <c r="E784" s="291"/>
      <c r="F784" s="291"/>
      <c r="G784" s="291"/>
      <c r="H784" s="291"/>
      <c r="I784" s="291"/>
      <c r="J784" s="295"/>
      <c r="K784" s="292"/>
      <c r="L784" s="292"/>
      <c r="M784" s="292"/>
      <c r="N784" s="292"/>
    </row>
    <row r="785" spans="1:14" x14ac:dyDescent="0.25">
      <c r="A785" s="297"/>
      <c r="B785" s="298"/>
      <c r="C785" s="291"/>
      <c r="D785" s="291"/>
      <c r="E785" s="291"/>
      <c r="F785" s="291"/>
      <c r="G785" s="291"/>
      <c r="H785" s="291"/>
      <c r="I785" s="291"/>
      <c r="J785" s="295"/>
      <c r="K785" s="292"/>
      <c r="L785" s="292"/>
      <c r="M785" s="292"/>
      <c r="N785" s="292"/>
    </row>
    <row r="786" spans="1:14" x14ac:dyDescent="0.25">
      <c r="A786" s="297"/>
      <c r="B786" s="298"/>
      <c r="C786" s="291"/>
      <c r="D786" s="291"/>
      <c r="E786" s="291"/>
      <c r="F786" s="291"/>
      <c r="G786" s="291"/>
      <c r="H786" s="291"/>
      <c r="I786" s="291"/>
      <c r="J786" s="295"/>
      <c r="K786" s="292"/>
      <c r="L786" s="292"/>
      <c r="M786" s="292"/>
      <c r="N786" s="292"/>
    </row>
    <row r="787" spans="1:14" x14ac:dyDescent="0.25">
      <c r="A787" s="297"/>
      <c r="B787" s="298"/>
      <c r="C787" s="291"/>
      <c r="D787" s="291"/>
      <c r="E787" s="291"/>
      <c r="F787" s="291"/>
      <c r="G787" s="291"/>
      <c r="H787" s="291"/>
      <c r="I787" s="291"/>
      <c r="J787" s="295"/>
      <c r="K787" s="292"/>
      <c r="L787" s="292"/>
      <c r="M787" s="292"/>
      <c r="N787" s="292"/>
    </row>
    <row r="788" spans="1:14" x14ac:dyDescent="0.25">
      <c r="A788" s="297"/>
      <c r="B788" s="298"/>
      <c r="C788" s="291"/>
      <c r="D788" s="291"/>
      <c r="E788" s="291"/>
      <c r="F788" s="291"/>
      <c r="G788" s="291"/>
      <c r="H788" s="291"/>
      <c r="I788" s="291"/>
      <c r="J788" s="295"/>
      <c r="K788" s="292"/>
      <c r="L788" s="292"/>
      <c r="M788" s="292"/>
      <c r="N788" s="292"/>
    </row>
    <row r="789" spans="1:14" x14ac:dyDescent="0.25">
      <c r="A789" s="297"/>
      <c r="B789" s="298"/>
      <c r="C789" s="291"/>
      <c r="D789" s="291"/>
      <c r="E789" s="291"/>
      <c r="F789" s="291"/>
      <c r="G789" s="291"/>
      <c r="H789" s="291"/>
      <c r="I789" s="291"/>
      <c r="J789" s="295"/>
      <c r="K789" s="292"/>
      <c r="L789" s="292"/>
      <c r="M789" s="292"/>
      <c r="N789" s="292"/>
    </row>
    <row r="790" spans="1:14" x14ac:dyDescent="0.25">
      <c r="A790" s="297"/>
      <c r="B790" s="298"/>
      <c r="C790" s="291"/>
      <c r="D790" s="291"/>
      <c r="E790" s="291"/>
      <c r="F790" s="291"/>
      <c r="G790" s="291"/>
      <c r="H790" s="291"/>
      <c r="I790" s="291"/>
      <c r="J790" s="295"/>
      <c r="K790" s="292"/>
      <c r="L790" s="292"/>
      <c r="M790" s="292"/>
      <c r="N790" s="292"/>
    </row>
    <row r="791" spans="1:14" x14ac:dyDescent="0.25">
      <c r="A791" s="297"/>
      <c r="B791" s="298"/>
      <c r="C791" s="291"/>
      <c r="D791" s="291"/>
      <c r="E791" s="291"/>
      <c r="F791" s="291"/>
      <c r="G791" s="291"/>
      <c r="H791" s="291"/>
      <c r="I791" s="291"/>
      <c r="J791" s="295"/>
      <c r="K791" s="292"/>
      <c r="L791" s="292"/>
      <c r="M791" s="292"/>
      <c r="N791" s="292"/>
    </row>
    <row r="792" spans="1:14" x14ac:dyDescent="0.25">
      <c r="A792" s="297"/>
      <c r="B792" s="298"/>
      <c r="C792" s="291"/>
      <c r="D792" s="291"/>
      <c r="E792" s="291"/>
      <c r="F792" s="291"/>
      <c r="G792" s="291"/>
      <c r="H792" s="291"/>
      <c r="I792" s="291"/>
      <c r="J792" s="295"/>
      <c r="K792" s="292"/>
      <c r="L792" s="292"/>
      <c r="M792" s="292"/>
      <c r="N792" s="292"/>
    </row>
    <row r="793" spans="1:14" x14ac:dyDescent="0.25">
      <c r="A793" s="297"/>
      <c r="B793" s="298"/>
      <c r="C793" s="291"/>
      <c r="D793" s="291"/>
      <c r="E793" s="291"/>
      <c r="F793" s="291"/>
      <c r="G793" s="291"/>
      <c r="H793" s="291"/>
      <c r="I793" s="291"/>
      <c r="J793" s="295"/>
      <c r="K793" s="292"/>
      <c r="L793" s="292"/>
      <c r="M793" s="292"/>
      <c r="N793" s="292"/>
    </row>
    <row r="794" spans="1:14" x14ac:dyDescent="0.25">
      <c r="A794" s="297"/>
      <c r="B794" s="298"/>
      <c r="C794" s="291"/>
      <c r="D794" s="291"/>
      <c r="E794" s="291"/>
      <c r="F794" s="291"/>
      <c r="G794" s="291"/>
      <c r="H794" s="291"/>
      <c r="I794" s="291"/>
      <c r="J794" s="295"/>
      <c r="K794" s="292"/>
      <c r="L794" s="292"/>
      <c r="M794" s="292"/>
      <c r="N794" s="292"/>
    </row>
    <row r="795" spans="1:14" x14ac:dyDescent="0.25">
      <c r="A795" s="297"/>
      <c r="B795" s="298"/>
      <c r="C795" s="291"/>
      <c r="D795" s="291"/>
      <c r="E795" s="291"/>
      <c r="F795" s="291"/>
      <c r="G795" s="291"/>
      <c r="H795" s="291"/>
      <c r="I795" s="291"/>
      <c r="J795" s="295"/>
      <c r="K795" s="292"/>
      <c r="L795" s="292"/>
      <c r="M795" s="292"/>
      <c r="N795" s="292"/>
    </row>
    <row r="796" spans="1:14" x14ac:dyDescent="0.25">
      <c r="A796" s="297"/>
      <c r="B796" s="298"/>
      <c r="C796" s="291"/>
      <c r="D796" s="291"/>
      <c r="E796" s="291"/>
      <c r="F796" s="291"/>
      <c r="G796" s="291"/>
      <c r="H796" s="291"/>
      <c r="I796" s="291"/>
      <c r="J796" s="295"/>
      <c r="K796" s="292"/>
      <c r="L796" s="292"/>
      <c r="M796" s="292"/>
      <c r="N796" s="292"/>
    </row>
    <row r="797" spans="1:14" x14ac:dyDescent="0.25">
      <c r="A797" s="297"/>
      <c r="B797" s="298"/>
      <c r="C797" s="291"/>
      <c r="D797" s="291"/>
      <c r="E797" s="291"/>
      <c r="F797" s="291"/>
      <c r="G797" s="291"/>
      <c r="H797" s="291"/>
      <c r="I797" s="291"/>
      <c r="J797" s="295"/>
      <c r="K797" s="292"/>
      <c r="L797" s="292"/>
      <c r="M797" s="292"/>
      <c r="N797" s="292"/>
    </row>
    <row r="798" spans="1:14" x14ac:dyDescent="0.25">
      <c r="A798" s="297"/>
      <c r="B798" s="298"/>
      <c r="C798" s="291"/>
      <c r="D798" s="291"/>
      <c r="E798" s="291"/>
      <c r="F798" s="291"/>
      <c r="G798" s="291"/>
      <c r="H798" s="291"/>
      <c r="I798" s="291"/>
      <c r="J798" s="295"/>
      <c r="K798" s="292"/>
      <c r="L798" s="292"/>
      <c r="M798" s="292"/>
      <c r="N798" s="292"/>
    </row>
    <row r="799" spans="1:14" x14ac:dyDescent="0.25">
      <c r="A799" s="297"/>
      <c r="B799" s="298"/>
      <c r="C799" s="291"/>
      <c r="D799" s="291"/>
      <c r="E799" s="291"/>
      <c r="F799" s="291"/>
      <c r="G799" s="291"/>
      <c r="H799" s="291"/>
      <c r="I799" s="291"/>
      <c r="J799" s="295"/>
      <c r="K799" s="292"/>
      <c r="L799" s="292"/>
      <c r="M799" s="292"/>
      <c r="N799" s="292"/>
    </row>
    <row r="800" spans="1:14" x14ac:dyDescent="0.25">
      <c r="A800" s="297"/>
      <c r="B800" s="298"/>
      <c r="C800" s="291"/>
      <c r="D800" s="291"/>
      <c r="E800" s="291"/>
      <c r="F800" s="291"/>
      <c r="G800" s="291"/>
      <c r="H800" s="291"/>
      <c r="I800" s="291"/>
      <c r="J800" s="295"/>
      <c r="K800" s="292"/>
      <c r="L800" s="292"/>
      <c r="M800" s="292"/>
      <c r="N800" s="292"/>
    </row>
    <row r="801" spans="1:14" x14ac:dyDescent="0.25">
      <c r="A801" s="297"/>
      <c r="B801" s="298"/>
      <c r="C801" s="291"/>
      <c r="D801" s="291"/>
      <c r="E801" s="291"/>
      <c r="F801" s="291"/>
      <c r="G801" s="291"/>
      <c r="H801" s="291"/>
      <c r="I801" s="291"/>
      <c r="J801" s="295"/>
      <c r="K801" s="292"/>
      <c r="L801" s="292"/>
      <c r="M801" s="292"/>
      <c r="N801" s="292"/>
    </row>
    <row r="802" spans="1:14" x14ac:dyDescent="0.25">
      <c r="A802" s="297"/>
      <c r="B802" s="298"/>
      <c r="C802" s="291"/>
      <c r="D802" s="291"/>
      <c r="E802" s="291"/>
      <c r="F802" s="291"/>
      <c r="G802" s="291"/>
      <c r="H802" s="291"/>
      <c r="I802" s="291"/>
      <c r="J802" s="295"/>
      <c r="K802" s="292"/>
      <c r="L802" s="292"/>
      <c r="M802" s="292"/>
      <c r="N802" s="292"/>
    </row>
    <row r="803" spans="1:14" x14ac:dyDescent="0.25">
      <c r="A803" s="297"/>
      <c r="B803" s="298"/>
      <c r="C803" s="291"/>
      <c r="D803" s="291"/>
      <c r="E803" s="291"/>
      <c r="F803" s="291"/>
      <c r="G803" s="291"/>
      <c r="H803" s="291"/>
      <c r="I803" s="291"/>
      <c r="J803" s="295"/>
      <c r="K803" s="292"/>
      <c r="L803" s="292"/>
      <c r="M803" s="292"/>
      <c r="N803" s="292"/>
    </row>
    <row r="804" spans="1:14" x14ac:dyDescent="0.25">
      <c r="A804" s="297"/>
      <c r="B804" s="298"/>
      <c r="C804" s="291"/>
      <c r="D804" s="291"/>
      <c r="E804" s="291"/>
      <c r="F804" s="291"/>
      <c r="G804" s="291"/>
      <c r="H804" s="291"/>
      <c r="I804" s="291"/>
      <c r="J804" s="295"/>
      <c r="K804" s="292"/>
      <c r="L804" s="292"/>
      <c r="M804" s="292"/>
      <c r="N804" s="292"/>
    </row>
    <row r="805" spans="1:14" x14ac:dyDescent="0.25">
      <c r="A805" s="297"/>
      <c r="B805" s="298"/>
      <c r="C805" s="291"/>
      <c r="D805" s="291"/>
      <c r="E805" s="291"/>
      <c r="F805" s="291"/>
      <c r="G805" s="291"/>
      <c r="H805" s="291"/>
      <c r="I805" s="291"/>
      <c r="J805" s="295"/>
      <c r="K805" s="292"/>
      <c r="L805" s="292"/>
      <c r="M805" s="292"/>
      <c r="N805" s="292"/>
    </row>
    <row r="806" spans="1:14" x14ac:dyDescent="0.25">
      <c r="A806" s="297"/>
      <c r="B806" s="298"/>
      <c r="C806" s="291"/>
      <c r="D806" s="291"/>
      <c r="E806" s="291"/>
      <c r="F806" s="291"/>
      <c r="G806" s="291"/>
      <c r="H806" s="291"/>
      <c r="I806" s="291"/>
      <c r="J806" s="295"/>
      <c r="K806" s="292"/>
      <c r="L806" s="292"/>
      <c r="M806" s="292"/>
      <c r="N806" s="292"/>
    </row>
    <row r="807" spans="1:14" x14ac:dyDescent="0.25">
      <c r="A807" s="297"/>
      <c r="B807" s="298"/>
      <c r="C807" s="291"/>
      <c r="D807" s="291"/>
      <c r="E807" s="291"/>
      <c r="F807" s="291"/>
      <c r="G807" s="291"/>
      <c r="H807" s="291"/>
      <c r="I807" s="291"/>
      <c r="J807" s="295"/>
      <c r="K807" s="292"/>
      <c r="L807" s="292"/>
      <c r="M807" s="292"/>
      <c r="N807" s="292"/>
    </row>
    <row r="808" spans="1:14" x14ac:dyDescent="0.25">
      <c r="A808" s="297"/>
      <c r="B808" s="298"/>
      <c r="C808" s="291"/>
      <c r="D808" s="291"/>
      <c r="E808" s="291"/>
      <c r="F808" s="291"/>
      <c r="G808" s="291"/>
      <c r="H808" s="291"/>
      <c r="I808" s="291"/>
      <c r="J808" s="295"/>
      <c r="K808" s="292"/>
      <c r="L808" s="292"/>
      <c r="M808" s="292"/>
      <c r="N808" s="292"/>
    </row>
    <row r="809" spans="1:14" x14ac:dyDescent="0.25">
      <c r="A809" s="297"/>
      <c r="B809" s="298"/>
      <c r="C809" s="291"/>
      <c r="D809" s="291"/>
      <c r="E809" s="291"/>
      <c r="F809" s="291"/>
      <c r="G809" s="291"/>
      <c r="H809" s="291"/>
      <c r="I809" s="291"/>
      <c r="J809" s="295"/>
      <c r="K809" s="292"/>
      <c r="L809" s="292"/>
      <c r="M809" s="292"/>
      <c r="N809" s="292"/>
    </row>
    <row r="810" spans="1:14" x14ac:dyDescent="0.25">
      <c r="A810" s="297"/>
      <c r="B810" s="298"/>
      <c r="C810" s="291"/>
      <c r="D810" s="291"/>
      <c r="E810" s="291"/>
      <c r="F810" s="291"/>
      <c r="G810" s="291"/>
      <c r="H810" s="291"/>
      <c r="I810" s="291"/>
      <c r="J810" s="295"/>
      <c r="K810" s="292"/>
      <c r="L810" s="292"/>
      <c r="M810" s="292"/>
      <c r="N810" s="292"/>
    </row>
    <row r="811" spans="1:14" x14ac:dyDescent="0.25">
      <c r="A811" s="297"/>
      <c r="B811" s="298"/>
      <c r="C811" s="291"/>
      <c r="D811" s="291"/>
      <c r="E811" s="291"/>
      <c r="F811" s="291"/>
      <c r="G811" s="291"/>
      <c r="H811" s="291"/>
      <c r="I811" s="291"/>
      <c r="J811" s="295"/>
      <c r="K811" s="292"/>
      <c r="L811" s="292"/>
      <c r="M811" s="292"/>
      <c r="N811" s="292"/>
    </row>
    <row r="812" spans="1:14" x14ac:dyDescent="0.25">
      <c r="A812" s="297"/>
      <c r="B812" s="298"/>
      <c r="C812" s="291"/>
      <c r="D812" s="291"/>
      <c r="E812" s="291"/>
      <c r="F812" s="291"/>
      <c r="G812" s="291"/>
      <c r="H812" s="291"/>
      <c r="I812" s="291"/>
      <c r="J812" s="295"/>
      <c r="K812" s="292"/>
      <c r="L812" s="292"/>
      <c r="M812" s="292"/>
      <c r="N812" s="292"/>
    </row>
    <row r="813" spans="1:14" x14ac:dyDescent="0.25">
      <c r="A813" s="297"/>
      <c r="B813" s="298"/>
      <c r="C813" s="291"/>
      <c r="D813" s="291"/>
      <c r="E813" s="291"/>
      <c r="F813" s="291"/>
      <c r="G813" s="291"/>
      <c r="H813" s="291"/>
      <c r="I813" s="291"/>
      <c r="J813" s="295"/>
      <c r="K813" s="292"/>
      <c r="L813" s="292"/>
      <c r="M813" s="292"/>
      <c r="N813" s="292"/>
    </row>
    <row r="814" spans="1:14" x14ac:dyDescent="0.25">
      <c r="A814" s="297"/>
      <c r="B814" s="298"/>
      <c r="C814" s="291"/>
      <c r="D814" s="291"/>
      <c r="E814" s="291"/>
      <c r="F814" s="291"/>
      <c r="G814" s="291"/>
      <c r="H814" s="291"/>
      <c r="I814" s="291"/>
      <c r="J814" s="295"/>
      <c r="K814" s="292"/>
      <c r="L814" s="292"/>
      <c r="M814" s="292"/>
      <c r="N814" s="292"/>
    </row>
    <row r="815" spans="1:14" x14ac:dyDescent="0.25">
      <c r="A815" s="297"/>
      <c r="B815" s="298"/>
      <c r="C815" s="291"/>
      <c r="D815" s="291"/>
      <c r="E815" s="291"/>
      <c r="F815" s="291"/>
      <c r="G815" s="291"/>
      <c r="H815" s="291"/>
      <c r="I815" s="291"/>
      <c r="J815" s="295"/>
      <c r="K815" s="292"/>
      <c r="L815" s="292"/>
      <c r="M815" s="292"/>
      <c r="N815" s="292"/>
    </row>
    <row r="816" spans="1:14" x14ac:dyDescent="0.25">
      <c r="A816" s="297"/>
      <c r="B816" s="298"/>
      <c r="C816" s="291"/>
      <c r="D816" s="291"/>
      <c r="E816" s="291"/>
      <c r="F816" s="291"/>
      <c r="G816" s="291"/>
      <c r="H816" s="291"/>
      <c r="I816" s="291"/>
      <c r="J816" s="295"/>
      <c r="K816" s="292"/>
      <c r="L816" s="292"/>
      <c r="M816" s="292"/>
      <c r="N816" s="292"/>
    </row>
    <row r="817" spans="1:14" x14ac:dyDescent="0.25">
      <c r="A817" s="297"/>
      <c r="B817" s="298"/>
      <c r="C817" s="291"/>
      <c r="D817" s="291"/>
      <c r="E817" s="291"/>
      <c r="F817" s="291"/>
      <c r="G817" s="291"/>
      <c r="H817" s="291"/>
      <c r="I817" s="291"/>
      <c r="J817" s="295"/>
      <c r="K817" s="292"/>
      <c r="L817" s="292"/>
      <c r="M817" s="292"/>
      <c r="N817" s="292"/>
    </row>
    <row r="818" spans="1:14" x14ac:dyDescent="0.25">
      <c r="A818" s="297"/>
      <c r="B818" s="298"/>
      <c r="C818" s="291"/>
      <c r="D818" s="291"/>
      <c r="E818" s="291"/>
      <c r="F818" s="291"/>
      <c r="G818" s="291"/>
      <c r="H818" s="291"/>
      <c r="I818" s="291"/>
      <c r="J818" s="295"/>
      <c r="K818" s="292"/>
      <c r="L818" s="292"/>
      <c r="M818" s="292"/>
      <c r="N818" s="292"/>
    </row>
    <row r="819" spans="1:14" x14ac:dyDescent="0.25">
      <c r="A819" s="297"/>
      <c r="B819" s="298"/>
      <c r="C819" s="291"/>
      <c r="D819" s="291"/>
      <c r="E819" s="291"/>
      <c r="F819" s="291"/>
      <c r="G819" s="291"/>
      <c r="H819" s="291"/>
      <c r="I819" s="291"/>
      <c r="J819" s="295"/>
      <c r="K819" s="292"/>
      <c r="L819" s="292"/>
      <c r="M819" s="292"/>
      <c r="N819" s="292"/>
    </row>
    <row r="820" spans="1:14" x14ac:dyDescent="0.25">
      <c r="A820" s="297"/>
      <c r="B820" s="298"/>
      <c r="C820" s="291"/>
      <c r="D820" s="291"/>
      <c r="E820" s="291"/>
      <c r="F820" s="291"/>
      <c r="G820" s="291"/>
      <c r="H820" s="291"/>
      <c r="I820" s="291"/>
      <c r="J820" s="295"/>
      <c r="K820" s="292"/>
      <c r="L820" s="292"/>
      <c r="M820" s="292"/>
      <c r="N820" s="292"/>
    </row>
    <row r="821" spans="1:14" x14ac:dyDescent="0.25">
      <c r="A821" s="297"/>
      <c r="B821" s="298"/>
      <c r="C821" s="291"/>
      <c r="D821" s="291"/>
      <c r="E821" s="291"/>
      <c r="F821" s="291"/>
      <c r="G821" s="291"/>
      <c r="H821" s="291"/>
      <c r="I821" s="291"/>
      <c r="J821" s="295"/>
      <c r="K821" s="292"/>
      <c r="L821" s="292"/>
      <c r="M821" s="292"/>
      <c r="N821" s="292"/>
    </row>
    <row r="822" spans="1:14" x14ac:dyDescent="0.25">
      <c r="A822" s="297"/>
      <c r="B822" s="298"/>
      <c r="C822" s="291"/>
      <c r="D822" s="291"/>
      <c r="E822" s="291"/>
      <c r="F822" s="291"/>
      <c r="G822" s="291"/>
      <c r="H822" s="291"/>
      <c r="I822" s="291"/>
      <c r="J822" s="295"/>
      <c r="K822" s="292"/>
      <c r="L822" s="292"/>
      <c r="M822" s="292"/>
      <c r="N822" s="292"/>
    </row>
    <row r="823" spans="1:14" x14ac:dyDescent="0.25">
      <c r="A823" s="297"/>
      <c r="B823" s="298"/>
      <c r="C823" s="291"/>
      <c r="D823" s="291"/>
      <c r="E823" s="291"/>
      <c r="F823" s="291"/>
      <c r="G823" s="291"/>
      <c r="H823" s="291"/>
      <c r="I823" s="291"/>
      <c r="J823" s="295"/>
      <c r="K823" s="292"/>
      <c r="L823" s="292"/>
      <c r="M823" s="292"/>
      <c r="N823" s="292"/>
    </row>
    <row r="824" spans="1:14" x14ac:dyDescent="0.25">
      <c r="A824" s="297"/>
      <c r="B824" s="298"/>
      <c r="C824" s="291"/>
      <c r="D824" s="291"/>
      <c r="E824" s="291"/>
      <c r="F824" s="291"/>
      <c r="G824" s="291"/>
      <c r="H824" s="291"/>
      <c r="I824" s="291"/>
      <c r="J824" s="295"/>
      <c r="K824" s="292"/>
      <c r="L824" s="292"/>
      <c r="M824" s="292"/>
      <c r="N824" s="292"/>
    </row>
    <row r="825" spans="1:14" x14ac:dyDescent="0.25">
      <c r="A825" s="297"/>
      <c r="B825" s="298"/>
      <c r="C825" s="291"/>
      <c r="D825" s="291"/>
      <c r="E825" s="291"/>
      <c r="F825" s="291"/>
      <c r="G825" s="291"/>
      <c r="H825" s="291"/>
      <c r="I825" s="291"/>
      <c r="J825" s="295"/>
      <c r="K825" s="292"/>
      <c r="L825" s="292"/>
      <c r="M825" s="292"/>
      <c r="N825" s="292"/>
    </row>
    <row r="826" spans="1:14" x14ac:dyDescent="0.25">
      <c r="A826" s="297"/>
      <c r="B826" s="298"/>
      <c r="C826" s="291"/>
      <c r="D826" s="291"/>
      <c r="E826" s="291"/>
      <c r="F826" s="291"/>
      <c r="G826" s="291"/>
      <c r="H826" s="291"/>
      <c r="I826" s="291"/>
      <c r="J826" s="295"/>
      <c r="K826" s="292"/>
      <c r="L826" s="292"/>
      <c r="M826" s="292"/>
      <c r="N826" s="292"/>
    </row>
    <row r="827" spans="1:14" x14ac:dyDescent="0.25">
      <c r="A827" s="297"/>
      <c r="B827" s="298"/>
      <c r="C827" s="291"/>
      <c r="D827" s="291"/>
      <c r="E827" s="291"/>
      <c r="F827" s="291"/>
      <c r="G827" s="291"/>
      <c r="H827" s="291"/>
      <c r="I827" s="291"/>
      <c r="J827" s="295"/>
      <c r="K827" s="292"/>
      <c r="L827" s="292"/>
      <c r="M827" s="292"/>
      <c r="N827" s="292"/>
    </row>
    <row r="828" spans="1:14" x14ac:dyDescent="0.25">
      <c r="A828" s="297"/>
      <c r="B828" s="298"/>
      <c r="C828" s="291"/>
      <c r="D828" s="291"/>
      <c r="E828" s="291"/>
      <c r="F828" s="291"/>
      <c r="G828" s="291"/>
      <c r="H828" s="291"/>
      <c r="I828" s="291"/>
      <c r="J828" s="295"/>
      <c r="K828" s="292"/>
      <c r="L828" s="292"/>
      <c r="M828" s="292"/>
      <c r="N828" s="292"/>
    </row>
    <row r="829" spans="1:14" x14ac:dyDescent="0.25">
      <c r="A829" s="297"/>
      <c r="B829" s="298"/>
      <c r="C829" s="291"/>
      <c r="D829" s="291"/>
      <c r="E829" s="291"/>
      <c r="F829" s="291"/>
      <c r="G829" s="291"/>
      <c r="H829" s="291"/>
      <c r="I829" s="291"/>
      <c r="J829" s="295"/>
      <c r="K829" s="292"/>
      <c r="L829" s="292"/>
      <c r="M829" s="292"/>
      <c r="N829" s="292"/>
    </row>
    <row r="830" spans="1:14" x14ac:dyDescent="0.25">
      <c r="A830" s="297"/>
      <c r="B830" s="298"/>
      <c r="C830" s="291"/>
      <c r="D830" s="291"/>
      <c r="E830" s="291"/>
      <c r="F830" s="291"/>
      <c r="G830" s="291"/>
      <c r="H830" s="291"/>
      <c r="I830" s="291"/>
      <c r="J830" s="295"/>
      <c r="K830" s="292"/>
      <c r="L830" s="292"/>
      <c r="M830" s="292"/>
      <c r="N830" s="292"/>
    </row>
    <row r="831" spans="1:14" x14ac:dyDescent="0.25">
      <c r="A831" s="297"/>
      <c r="B831" s="298"/>
      <c r="C831" s="291"/>
      <c r="D831" s="291"/>
      <c r="E831" s="291"/>
      <c r="F831" s="291"/>
      <c r="G831" s="291"/>
      <c r="H831" s="291"/>
      <c r="I831" s="291"/>
      <c r="J831" s="295"/>
      <c r="K831" s="292"/>
      <c r="L831" s="292"/>
      <c r="M831" s="292"/>
      <c r="N831" s="292"/>
    </row>
    <row r="832" spans="1:14" x14ac:dyDescent="0.25">
      <c r="A832" s="297"/>
      <c r="B832" s="298"/>
      <c r="C832" s="291"/>
      <c r="D832" s="291"/>
      <c r="E832" s="291"/>
      <c r="F832" s="291"/>
      <c r="G832" s="291"/>
      <c r="H832" s="291"/>
      <c r="I832" s="291"/>
      <c r="J832" s="295"/>
      <c r="K832" s="292"/>
      <c r="L832" s="292"/>
      <c r="M832" s="292"/>
      <c r="N832" s="292"/>
    </row>
    <row r="833" spans="1:14" x14ac:dyDescent="0.25">
      <c r="A833" s="297"/>
      <c r="B833" s="298"/>
      <c r="C833" s="291"/>
      <c r="D833" s="291"/>
      <c r="E833" s="291"/>
      <c r="F833" s="291"/>
      <c r="G833" s="291"/>
      <c r="H833" s="291"/>
      <c r="I833" s="291"/>
      <c r="J833" s="295"/>
      <c r="K833" s="292"/>
      <c r="L833" s="292"/>
      <c r="M833" s="292"/>
      <c r="N833" s="292"/>
    </row>
    <row r="834" spans="1:14" x14ac:dyDescent="0.25">
      <c r="A834" s="297"/>
      <c r="B834" s="298"/>
      <c r="C834" s="291"/>
      <c r="D834" s="291"/>
      <c r="E834" s="291"/>
      <c r="F834" s="291"/>
      <c r="G834" s="291"/>
      <c r="H834" s="291"/>
      <c r="I834" s="291"/>
      <c r="J834" s="295"/>
      <c r="K834" s="292"/>
      <c r="L834" s="292"/>
      <c r="M834" s="292"/>
      <c r="N834" s="292"/>
    </row>
    <row r="835" spans="1:14" x14ac:dyDescent="0.25">
      <c r="A835" s="297"/>
      <c r="B835" s="298"/>
      <c r="C835" s="291"/>
      <c r="D835" s="291"/>
      <c r="E835" s="291"/>
      <c r="F835" s="291"/>
      <c r="G835" s="291"/>
      <c r="H835" s="291"/>
      <c r="I835" s="291"/>
      <c r="J835" s="295"/>
      <c r="K835" s="292"/>
      <c r="L835" s="292"/>
      <c r="M835" s="292"/>
      <c r="N835" s="292"/>
    </row>
    <row r="836" spans="1:14" x14ac:dyDescent="0.25">
      <c r="A836" s="297"/>
      <c r="B836" s="298"/>
      <c r="C836" s="291"/>
      <c r="D836" s="291"/>
      <c r="E836" s="291"/>
      <c r="F836" s="291"/>
      <c r="G836" s="291"/>
      <c r="H836" s="291"/>
      <c r="I836" s="291"/>
      <c r="J836" s="295"/>
      <c r="K836" s="292"/>
      <c r="L836" s="292"/>
      <c r="M836" s="292"/>
      <c r="N836" s="292"/>
    </row>
    <row r="837" spans="1:14" x14ac:dyDescent="0.25">
      <c r="A837" s="297"/>
      <c r="B837" s="298"/>
      <c r="C837" s="291"/>
      <c r="D837" s="291"/>
      <c r="E837" s="291"/>
      <c r="F837" s="291"/>
      <c r="G837" s="291"/>
      <c r="H837" s="291"/>
      <c r="I837" s="291"/>
      <c r="J837" s="295"/>
      <c r="K837" s="292"/>
      <c r="L837" s="292"/>
      <c r="M837" s="292"/>
      <c r="N837" s="292"/>
    </row>
    <row r="838" spans="1:14" x14ac:dyDescent="0.25">
      <c r="A838" s="297"/>
      <c r="B838" s="298"/>
      <c r="C838" s="291"/>
      <c r="D838" s="291"/>
      <c r="E838" s="291"/>
      <c r="F838" s="291"/>
      <c r="G838" s="291"/>
      <c r="H838" s="291"/>
      <c r="I838" s="291"/>
      <c r="J838" s="295"/>
      <c r="K838" s="292"/>
      <c r="L838" s="292"/>
      <c r="M838" s="292"/>
      <c r="N838" s="292"/>
    </row>
    <row r="839" spans="1:14" x14ac:dyDescent="0.25">
      <c r="A839" s="297"/>
      <c r="B839" s="298"/>
      <c r="C839" s="291"/>
      <c r="D839" s="291"/>
      <c r="E839" s="291"/>
      <c r="F839" s="291"/>
      <c r="G839" s="291"/>
      <c r="H839" s="291"/>
      <c r="I839" s="291"/>
      <c r="J839" s="295"/>
      <c r="K839" s="292"/>
      <c r="L839" s="292"/>
      <c r="M839" s="292"/>
      <c r="N839" s="292"/>
    </row>
    <row r="840" spans="1:14" x14ac:dyDescent="0.25">
      <c r="A840" s="297"/>
      <c r="B840" s="298"/>
      <c r="C840" s="291"/>
      <c r="D840" s="291"/>
      <c r="E840" s="291"/>
      <c r="F840" s="291"/>
      <c r="G840" s="291"/>
      <c r="H840" s="291"/>
      <c r="I840" s="291"/>
      <c r="J840" s="295"/>
      <c r="K840" s="292"/>
      <c r="L840" s="292"/>
      <c r="M840" s="292"/>
      <c r="N840" s="292"/>
    </row>
    <row r="841" spans="1:14" x14ac:dyDescent="0.25">
      <c r="A841" s="297"/>
      <c r="B841" s="298"/>
      <c r="C841" s="291"/>
      <c r="D841" s="291"/>
      <c r="E841" s="291"/>
      <c r="F841" s="291"/>
      <c r="G841" s="291"/>
      <c r="H841" s="291"/>
      <c r="I841" s="291"/>
      <c r="J841" s="295"/>
      <c r="K841" s="292"/>
      <c r="L841" s="292"/>
      <c r="M841" s="292"/>
      <c r="N841" s="292"/>
    </row>
    <row r="842" spans="1:14" x14ac:dyDescent="0.25">
      <c r="A842" s="297"/>
      <c r="B842" s="298"/>
      <c r="C842" s="291"/>
      <c r="D842" s="291"/>
      <c r="E842" s="291"/>
      <c r="F842" s="291"/>
      <c r="G842" s="291"/>
      <c r="H842" s="291"/>
      <c r="I842" s="291"/>
      <c r="J842" s="295"/>
      <c r="K842" s="292"/>
      <c r="L842" s="292"/>
      <c r="M842" s="292"/>
      <c r="N842" s="292"/>
    </row>
    <row r="843" spans="1:14" x14ac:dyDescent="0.25">
      <c r="A843" s="297"/>
      <c r="B843" s="298"/>
      <c r="C843" s="291"/>
      <c r="D843" s="291"/>
      <c r="E843" s="291"/>
      <c r="F843" s="291"/>
      <c r="G843" s="291"/>
      <c r="H843" s="291"/>
      <c r="I843" s="291"/>
      <c r="J843" s="295"/>
      <c r="K843" s="292"/>
      <c r="L843" s="292"/>
      <c r="M843" s="292"/>
      <c r="N843" s="292"/>
    </row>
    <row r="844" spans="1:14" x14ac:dyDescent="0.25">
      <c r="A844" s="297"/>
      <c r="B844" s="298"/>
      <c r="C844" s="291"/>
      <c r="D844" s="291"/>
      <c r="E844" s="291"/>
      <c r="F844" s="291"/>
      <c r="G844" s="291"/>
      <c r="H844" s="291"/>
      <c r="I844" s="291"/>
      <c r="J844" s="295"/>
      <c r="K844" s="292"/>
      <c r="L844" s="292"/>
      <c r="M844" s="292"/>
      <c r="N844" s="292"/>
    </row>
    <row r="845" spans="1:14" x14ac:dyDescent="0.25">
      <c r="A845" s="297"/>
      <c r="B845" s="298"/>
      <c r="C845" s="291"/>
      <c r="D845" s="291"/>
      <c r="E845" s="291"/>
      <c r="F845" s="291"/>
      <c r="G845" s="291"/>
      <c r="H845" s="291"/>
      <c r="I845" s="291"/>
      <c r="J845" s="295"/>
      <c r="K845" s="292"/>
      <c r="L845" s="292"/>
      <c r="M845" s="292"/>
      <c r="N845" s="292"/>
    </row>
    <row r="846" spans="1:14" x14ac:dyDescent="0.25">
      <c r="A846" s="297"/>
      <c r="B846" s="298"/>
      <c r="C846" s="291"/>
      <c r="D846" s="291"/>
      <c r="E846" s="291"/>
      <c r="F846" s="291"/>
      <c r="G846" s="291"/>
      <c r="H846" s="291"/>
      <c r="I846" s="291"/>
      <c r="J846" s="295"/>
      <c r="K846" s="292"/>
      <c r="L846" s="292"/>
      <c r="M846" s="292"/>
      <c r="N846" s="292"/>
    </row>
    <row r="847" spans="1:14" x14ac:dyDescent="0.25">
      <c r="A847" s="297"/>
      <c r="B847" s="298"/>
      <c r="C847" s="291"/>
      <c r="D847" s="291"/>
      <c r="E847" s="291"/>
      <c r="F847" s="291"/>
      <c r="G847" s="291"/>
      <c r="H847" s="291"/>
      <c r="I847" s="291"/>
      <c r="J847" s="295"/>
      <c r="K847" s="292"/>
      <c r="L847" s="292"/>
      <c r="M847" s="292"/>
      <c r="N847" s="292"/>
    </row>
    <row r="848" spans="1:14" x14ac:dyDescent="0.25">
      <c r="A848" s="297"/>
      <c r="B848" s="298"/>
      <c r="C848" s="291"/>
      <c r="D848" s="291"/>
      <c r="E848" s="291"/>
      <c r="F848" s="291"/>
      <c r="G848" s="291"/>
      <c r="H848" s="291"/>
      <c r="I848" s="291"/>
      <c r="J848" s="295"/>
      <c r="K848" s="292"/>
      <c r="L848" s="292"/>
      <c r="M848" s="292"/>
      <c r="N848" s="292"/>
    </row>
    <row r="849" spans="1:14" x14ac:dyDescent="0.25">
      <c r="A849" s="297"/>
      <c r="B849" s="298"/>
      <c r="C849" s="291"/>
      <c r="D849" s="291"/>
      <c r="E849" s="291"/>
      <c r="F849" s="291"/>
      <c r="G849" s="291"/>
      <c r="H849" s="291"/>
      <c r="I849" s="291"/>
      <c r="J849" s="295"/>
      <c r="K849" s="292"/>
      <c r="L849" s="292"/>
      <c r="M849" s="292"/>
      <c r="N849" s="292"/>
    </row>
    <row r="850" spans="1:14" x14ac:dyDescent="0.25">
      <c r="A850" s="297"/>
      <c r="B850" s="298"/>
      <c r="C850" s="291"/>
      <c r="D850" s="291"/>
      <c r="E850" s="291"/>
      <c r="F850" s="291"/>
      <c r="G850" s="291"/>
      <c r="H850" s="291"/>
      <c r="I850" s="291"/>
      <c r="J850" s="295"/>
      <c r="K850" s="292"/>
      <c r="L850" s="292"/>
      <c r="M850" s="292"/>
      <c r="N850" s="292"/>
    </row>
    <row r="851" spans="1:14" x14ac:dyDescent="0.25">
      <c r="A851" s="297"/>
      <c r="B851" s="298"/>
      <c r="C851" s="291"/>
      <c r="D851" s="291"/>
      <c r="E851" s="291"/>
      <c r="F851" s="291"/>
      <c r="G851" s="291"/>
      <c r="H851" s="291"/>
      <c r="I851" s="291"/>
      <c r="J851" s="295"/>
      <c r="K851" s="292"/>
      <c r="L851" s="292"/>
      <c r="M851" s="292"/>
      <c r="N851" s="292"/>
    </row>
    <row r="852" spans="1:14" x14ac:dyDescent="0.25">
      <c r="A852" s="297"/>
      <c r="B852" s="298"/>
      <c r="C852" s="291"/>
      <c r="D852" s="291"/>
      <c r="E852" s="291"/>
      <c r="F852" s="291"/>
      <c r="G852" s="291"/>
      <c r="H852" s="291"/>
      <c r="I852" s="291"/>
      <c r="J852" s="295"/>
      <c r="K852" s="292"/>
      <c r="L852" s="292"/>
      <c r="M852" s="292"/>
      <c r="N852" s="292"/>
    </row>
    <row r="853" spans="1:14" x14ac:dyDescent="0.25">
      <c r="A853" s="297"/>
      <c r="B853" s="298"/>
      <c r="C853" s="291"/>
      <c r="D853" s="291"/>
      <c r="E853" s="291"/>
      <c r="F853" s="291"/>
      <c r="G853" s="291"/>
      <c r="H853" s="291"/>
      <c r="I853" s="291"/>
      <c r="J853" s="295"/>
      <c r="K853" s="292"/>
      <c r="L853" s="292"/>
      <c r="M853" s="292"/>
      <c r="N853" s="292"/>
    </row>
    <row r="854" spans="1:14" x14ac:dyDescent="0.25">
      <c r="A854" s="297"/>
      <c r="B854" s="298"/>
      <c r="C854" s="291"/>
      <c r="D854" s="291"/>
      <c r="E854" s="291"/>
      <c r="F854" s="291"/>
      <c r="G854" s="291"/>
      <c r="H854" s="291"/>
      <c r="I854" s="291"/>
      <c r="J854" s="295"/>
      <c r="K854" s="292"/>
      <c r="L854" s="292"/>
      <c r="M854" s="292"/>
      <c r="N854" s="292"/>
    </row>
    <row r="855" spans="1:14" x14ac:dyDescent="0.25">
      <c r="A855" s="297"/>
      <c r="B855" s="298"/>
      <c r="C855" s="291"/>
      <c r="D855" s="291"/>
      <c r="E855" s="291"/>
      <c r="F855" s="291"/>
      <c r="G855" s="291"/>
      <c r="H855" s="291"/>
      <c r="I855" s="291"/>
      <c r="J855" s="295"/>
      <c r="K855" s="292"/>
      <c r="L855" s="292"/>
      <c r="M855" s="292"/>
      <c r="N855" s="292"/>
    </row>
    <row r="856" spans="1:14" x14ac:dyDescent="0.25">
      <c r="A856" s="297"/>
      <c r="B856" s="298"/>
      <c r="C856" s="291"/>
      <c r="D856" s="291"/>
      <c r="E856" s="291"/>
      <c r="F856" s="291"/>
      <c r="G856" s="291"/>
      <c r="H856" s="291"/>
      <c r="I856" s="291"/>
      <c r="J856" s="295"/>
      <c r="K856" s="292"/>
      <c r="L856" s="292"/>
      <c r="M856" s="292"/>
      <c r="N856" s="292"/>
    </row>
    <row r="857" spans="1:14" x14ac:dyDescent="0.25">
      <c r="A857" s="297"/>
      <c r="B857" s="298"/>
      <c r="C857" s="291"/>
      <c r="D857" s="291"/>
      <c r="E857" s="291"/>
      <c r="F857" s="291"/>
      <c r="G857" s="291"/>
      <c r="H857" s="291"/>
      <c r="I857" s="291"/>
      <c r="J857" s="295"/>
      <c r="K857" s="292"/>
      <c r="L857" s="292"/>
      <c r="M857" s="292"/>
      <c r="N857" s="292"/>
    </row>
    <row r="858" spans="1:14" x14ac:dyDescent="0.25">
      <c r="A858" s="297"/>
      <c r="B858" s="298"/>
      <c r="C858" s="291"/>
      <c r="D858" s="291"/>
      <c r="E858" s="291"/>
      <c r="F858" s="291"/>
      <c r="G858" s="291"/>
      <c r="H858" s="291"/>
      <c r="I858" s="291"/>
      <c r="J858" s="295"/>
      <c r="K858" s="292"/>
      <c r="L858" s="292"/>
      <c r="M858" s="292"/>
      <c r="N858" s="292"/>
    </row>
    <row r="859" spans="1:14" x14ac:dyDescent="0.25">
      <c r="A859" s="297"/>
      <c r="B859" s="298"/>
      <c r="C859" s="291"/>
      <c r="D859" s="291"/>
      <c r="E859" s="291"/>
      <c r="F859" s="291"/>
      <c r="G859" s="291"/>
      <c r="H859" s="291"/>
      <c r="I859" s="291"/>
      <c r="J859" s="295"/>
      <c r="K859" s="292"/>
      <c r="L859" s="292"/>
      <c r="M859" s="292"/>
      <c r="N859" s="292"/>
    </row>
    <row r="860" spans="1:14" x14ac:dyDescent="0.25">
      <c r="A860" s="297"/>
      <c r="B860" s="298"/>
      <c r="C860" s="291"/>
      <c r="D860" s="291"/>
      <c r="E860" s="291"/>
      <c r="F860" s="291"/>
      <c r="G860" s="291"/>
      <c r="H860" s="291"/>
      <c r="I860" s="291"/>
      <c r="J860" s="295"/>
      <c r="K860" s="292"/>
      <c r="L860" s="292"/>
      <c r="M860" s="292"/>
      <c r="N860" s="292"/>
    </row>
    <row r="861" spans="1:14" x14ac:dyDescent="0.25">
      <c r="A861" s="297"/>
      <c r="B861" s="298"/>
      <c r="C861" s="291"/>
      <c r="D861" s="291"/>
      <c r="E861" s="291"/>
      <c r="F861" s="291"/>
      <c r="G861" s="291"/>
      <c r="H861" s="291"/>
      <c r="I861" s="291"/>
      <c r="J861" s="295"/>
      <c r="K861" s="292"/>
      <c r="L861" s="292"/>
      <c r="M861" s="292"/>
      <c r="N861" s="292"/>
    </row>
    <row r="862" spans="1:14" x14ac:dyDescent="0.25">
      <c r="A862" s="297"/>
      <c r="B862" s="298"/>
      <c r="C862" s="291"/>
      <c r="D862" s="291"/>
      <c r="E862" s="291"/>
      <c r="F862" s="291"/>
      <c r="G862" s="291"/>
      <c r="H862" s="291"/>
      <c r="I862" s="291"/>
      <c r="J862" s="295"/>
      <c r="K862" s="292"/>
      <c r="L862" s="292"/>
      <c r="M862" s="292"/>
      <c r="N862" s="292"/>
    </row>
    <row r="863" spans="1:14" x14ac:dyDescent="0.25">
      <c r="A863" s="297"/>
      <c r="B863" s="298"/>
      <c r="C863" s="291"/>
      <c r="D863" s="291"/>
      <c r="E863" s="291"/>
      <c r="F863" s="291"/>
      <c r="G863" s="291"/>
      <c r="H863" s="291"/>
      <c r="I863" s="291"/>
      <c r="J863" s="295"/>
      <c r="K863" s="292"/>
      <c r="L863" s="292"/>
      <c r="M863" s="292"/>
      <c r="N863" s="292"/>
    </row>
    <row r="864" spans="1:14" x14ac:dyDescent="0.25">
      <c r="A864" s="297"/>
      <c r="B864" s="298"/>
      <c r="C864" s="291"/>
      <c r="D864" s="291"/>
      <c r="E864" s="291"/>
      <c r="F864" s="291"/>
      <c r="G864" s="291"/>
      <c r="H864" s="291"/>
      <c r="I864" s="291"/>
      <c r="J864" s="295"/>
      <c r="K864" s="292"/>
      <c r="L864" s="292"/>
      <c r="M864" s="292"/>
      <c r="N864" s="292"/>
    </row>
    <row r="865" spans="1:14" x14ac:dyDescent="0.25">
      <c r="A865" s="297"/>
      <c r="B865" s="298"/>
      <c r="C865" s="291"/>
      <c r="D865" s="291"/>
      <c r="E865" s="291"/>
      <c r="F865" s="291"/>
      <c r="G865" s="291"/>
      <c r="H865" s="291"/>
      <c r="I865" s="291"/>
      <c r="J865" s="295"/>
      <c r="K865" s="292"/>
      <c r="L865" s="292"/>
      <c r="M865" s="292"/>
      <c r="N865" s="292"/>
    </row>
    <row r="866" spans="1:14" x14ac:dyDescent="0.25">
      <c r="A866" s="297"/>
      <c r="B866" s="298"/>
      <c r="C866" s="291"/>
      <c r="D866" s="291"/>
      <c r="E866" s="291"/>
      <c r="F866" s="291"/>
      <c r="G866" s="291"/>
      <c r="H866" s="291"/>
      <c r="I866" s="291"/>
      <c r="J866" s="295"/>
      <c r="K866" s="292"/>
      <c r="L866" s="292"/>
      <c r="M866" s="292"/>
      <c r="N866" s="292"/>
    </row>
    <row r="867" spans="1:14" x14ac:dyDescent="0.25">
      <c r="A867" s="297"/>
      <c r="B867" s="298"/>
      <c r="C867" s="291"/>
      <c r="D867" s="291"/>
      <c r="E867" s="291"/>
      <c r="F867" s="291"/>
      <c r="G867" s="291"/>
      <c r="H867" s="291"/>
      <c r="I867" s="291"/>
      <c r="J867" s="295"/>
      <c r="K867" s="292"/>
      <c r="L867" s="292"/>
      <c r="M867" s="292"/>
      <c r="N867" s="292"/>
    </row>
    <row r="868" spans="1:14" x14ac:dyDescent="0.25">
      <c r="A868" s="297"/>
      <c r="B868" s="298"/>
      <c r="C868" s="291"/>
      <c r="D868" s="291"/>
      <c r="E868" s="291"/>
      <c r="F868" s="291"/>
      <c r="G868" s="291"/>
      <c r="H868" s="291"/>
      <c r="I868" s="291"/>
      <c r="J868" s="295"/>
      <c r="K868" s="292"/>
      <c r="L868" s="292"/>
      <c r="M868" s="292"/>
      <c r="N868" s="292"/>
    </row>
    <row r="869" spans="1:14" x14ac:dyDescent="0.25">
      <c r="A869" s="297"/>
      <c r="B869" s="298"/>
      <c r="C869" s="291"/>
      <c r="D869" s="291"/>
      <c r="E869" s="291"/>
      <c r="F869" s="291"/>
      <c r="G869" s="291"/>
      <c r="H869" s="291"/>
      <c r="I869" s="291"/>
      <c r="J869" s="295"/>
      <c r="K869" s="292"/>
      <c r="L869" s="292"/>
      <c r="M869" s="292"/>
      <c r="N869" s="292"/>
    </row>
    <row r="870" spans="1:14" x14ac:dyDescent="0.25">
      <c r="A870" s="297"/>
      <c r="B870" s="298"/>
      <c r="C870" s="291"/>
      <c r="D870" s="291"/>
      <c r="E870" s="291"/>
      <c r="F870" s="291"/>
      <c r="G870" s="291"/>
      <c r="H870" s="291"/>
      <c r="I870" s="291"/>
      <c r="J870" s="295"/>
      <c r="K870" s="292"/>
      <c r="L870" s="292"/>
      <c r="M870" s="292"/>
      <c r="N870" s="292"/>
    </row>
    <row r="871" spans="1:14" x14ac:dyDescent="0.25">
      <c r="A871" s="297"/>
      <c r="B871" s="298"/>
      <c r="C871" s="291"/>
      <c r="D871" s="291"/>
      <c r="E871" s="291"/>
      <c r="F871" s="291"/>
      <c r="G871" s="291"/>
      <c r="H871" s="291"/>
      <c r="I871" s="291"/>
      <c r="J871" s="295"/>
      <c r="K871" s="292"/>
      <c r="L871" s="292"/>
      <c r="M871" s="292"/>
      <c r="N871" s="292"/>
    </row>
    <row r="872" spans="1:14" x14ac:dyDescent="0.25">
      <c r="A872" s="297"/>
      <c r="B872" s="298"/>
      <c r="C872" s="291"/>
      <c r="D872" s="291"/>
      <c r="E872" s="291"/>
      <c r="F872" s="291"/>
      <c r="G872" s="291"/>
      <c r="H872" s="291"/>
      <c r="I872" s="291"/>
      <c r="J872" s="295"/>
      <c r="K872" s="292"/>
      <c r="L872" s="292"/>
      <c r="M872" s="292"/>
      <c r="N872" s="292"/>
    </row>
    <row r="873" spans="1:14" x14ac:dyDescent="0.25">
      <c r="A873" s="297"/>
      <c r="B873" s="298"/>
      <c r="C873" s="291"/>
      <c r="D873" s="291"/>
      <c r="E873" s="291"/>
      <c r="F873" s="291"/>
      <c r="G873" s="291"/>
      <c r="H873" s="291"/>
      <c r="I873" s="291"/>
      <c r="J873" s="295"/>
      <c r="K873" s="292"/>
      <c r="L873" s="292"/>
      <c r="M873" s="292"/>
      <c r="N873" s="292"/>
    </row>
    <row r="874" spans="1:14" x14ac:dyDescent="0.25">
      <c r="A874" s="297"/>
      <c r="B874" s="298"/>
      <c r="C874" s="291"/>
      <c r="D874" s="291"/>
      <c r="E874" s="291"/>
      <c r="F874" s="291"/>
      <c r="G874" s="291"/>
      <c r="H874" s="291"/>
      <c r="I874" s="291"/>
      <c r="J874" s="295"/>
      <c r="K874" s="292"/>
      <c r="L874" s="292"/>
      <c r="M874" s="292"/>
      <c r="N874" s="292"/>
    </row>
    <row r="875" spans="1:14" x14ac:dyDescent="0.25">
      <c r="A875" s="297"/>
      <c r="B875" s="298"/>
      <c r="C875" s="291"/>
      <c r="D875" s="291"/>
      <c r="E875" s="291"/>
      <c r="F875" s="291"/>
      <c r="G875" s="291"/>
      <c r="H875" s="291"/>
      <c r="I875" s="291"/>
      <c r="J875" s="295"/>
      <c r="K875" s="292"/>
      <c r="L875" s="292"/>
      <c r="M875" s="292"/>
      <c r="N875" s="292"/>
    </row>
    <row r="876" spans="1:14" x14ac:dyDescent="0.25">
      <c r="A876" s="297"/>
      <c r="B876" s="298"/>
      <c r="C876" s="291"/>
      <c r="D876" s="291"/>
      <c r="E876" s="291"/>
      <c r="F876" s="291"/>
      <c r="G876" s="291"/>
      <c r="H876" s="291"/>
      <c r="I876" s="291"/>
      <c r="J876" s="295"/>
      <c r="K876" s="292"/>
      <c r="L876" s="292"/>
      <c r="M876" s="292"/>
      <c r="N876" s="292"/>
    </row>
    <row r="877" spans="1:14" x14ac:dyDescent="0.25">
      <c r="A877" s="297"/>
      <c r="B877" s="298"/>
      <c r="C877" s="291"/>
      <c r="D877" s="291"/>
      <c r="E877" s="291"/>
      <c r="F877" s="291"/>
      <c r="G877" s="291"/>
      <c r="H877" s="291"/>
      <c r="I877" s="291"/>
      <c r="J877" s="295"/>
      <c r="K877" s="292"/>
      <c r="L877" s="292"/>
      <c r="M877" s="292"/>
      <c r="N877" s="292"/>
    </row>
    <row r="878" spans="1:14" x14ac:dyDescent="0.25">
      <c r="A878" s="297"/>
      <c r="B878" s="298"/>
      <c r="C878" s="291"/>
      <c r="D878" s="291"/>
      <c r="E878" s="291"/>
      <c r="F878" s="291"/>
      <c r="G878" s="291"/>
      <c r="H878" s="291"/>
      <c r="I878" s="291"/>
      <c r="J878" s="295"/>
      <c r="K878" s="292"/>
      <c r="L878" s="292"/>
      <c r="M878" s="292"/>
      <c r="N878" s="292"/>
    </row>
    <row r="879" spans="1:14" x14ac:dyDescent="0.25">
      <c r="A879" s="297"/>
      <c r="B879" s="298"/>
      <c r="C879" s="291"/>
      <c r="D879" s="291"/>
      <c r="E879" s="291"/>
      <c r="F879" s="291"/>
      <c r="G879" s="291"/>
      <c r="H879" s="291"/>
      <c r="I879" s="291"/>
      <c r="J879" s="295"/>
      <c r="K879" s="292"/>
      <c r="L879" s="292"/>
      <c r="M879" s="292"/>
      <c r="N879" s="292"/>
    </row>
    <row r="880" spans="1:14" x14ac:dyDescent="0.25">
      <c r="A880" s="297"/>
      <c r="B880" s="298"/>
      <c r="C880" s="291"/>
      <c r="D880" s="291"/>
      <c r="E880" s="291"/>
      <c r="F880" s="291"/>
      <c r="G880" s="291"/>
      <c r="H880" s="291"/>
      <c r="I880" s="291"/>
      <c r="J880" s="295"/>
      <c r="K880" s="292"/>
      <c r="L880" s="292"/>
      <c r="M880" s="292"/>
      <c r="N880" s="292"/>
    </row>
    <row r="881" spans="1:14" x14ac:dyDescent="0.25">
      <c r="A881" s="297"/>
      <c r="B881" s="298"/>
      <c r="C881" s="291"/>
      <c r="D881" s="291"/>
      <c r="E881" s="291"/>
      <c r="F881" s="291"/>
      <c r="G881" s="291"/>
      <c r="H881" s="291"/>
      <c r="I881" s="291"/>
      <c r="J881" s="295"/>
      <c r="K881" s="292"/>
      <c r="L881" s="292"/>
      <c r="M881" s="292"/>
      <c r="N881" s="292"/>
    </row>
    <row r="882" spans="1:14" x14ac:dyDescent="0.25">
      <c r="A882" s="297"/>
      <c r="B882" s="298"/>
      <c r="C882" s="291"/>
      <c r="D882" s="291"/>
      <c r="E882" s="291"/>
      <c r="F882" s="291"/>
      <c r="G882" s="291"/>
      <c r="H882" s="291"/>
      <c r="I882" s="291"/>
      <c r="J882" s="295"/>
      <c r="K882" s="292"/>
      <c r="L882" s="292"/>
      <c r="M882" s="292"/>
      <c r="N882" s="292"/>
    </row>
    <row r="883" spans="1:14" x14ac:dyDescent="0.25">
      <c r="A883" s="297"/>
      <c r="B883" s="298"/>
      <c r="C883" s="291"/>
      <c r="D883" s="291"/>
      <c r="E883" s="291"/>
      <c r="F883" s="291"/>
      <c r="G883" s="291"/>
      <c r="H883" s="291"/>
      <c r="I883" s="291"/>
      <c r="J883" s="295"/>
      <c r="K883" s="292"/>
      <c r="L883" s="292"/>
      <c r="M883" s="292"/>
      <c r="N883" s="292"/>
    </row>
    <row r="884" spans="1:14" x14ac:dyDescent="0.25">
      <c r="A884" s="297"/>
      <c r="B884" s="298"/>
      <c r="C884" s="291"/>
      <c r="D884" s="291"/>
      <c r="E884" s="291"/>
      <c r="F884" s="291"/>
      <c r="G884" s="291"/>
      <c r="H884" s="291"/>
      <c r="I884" s="291"/>
      <c r="J884" s="295"/>
      <c r="K884" s="292"/>
      <c r="L884" s="292"/>
      <c r="M884" s="292"/>
      <c r="N884" s="292"/>
    </row>
    <row r="885" spans="1:14" x14ac:dyDescent="0.25">
      <c r="A885" s="297"/>
      <c r="B885" s="298"/>
      <c r="C885" s="291"/>
      <c r="D885" s="291"/>
      <c r="E885" s="291"/>
      <c r="F885" s="291"/>
      <c r="G885" s="291"/>
      <c r="H885" s="291"/>
      <c r="I885" s="291"/>
      <c r="J885" s="295"/>
      <c r="K885" s="292"/>
      <c r="L885" s="292"/>
      <c r="M885" s="292"/>
      <c r="N885" s="292"/>
    </row>
    <row r="886" spans="1:14" x14ac:dyDescent="0.25">
      <c r="A886" s="297"/>
      <c r="B886" s="298"/>
      <c r="C886" s="291"/>
      <c r="D886" s="291"/>
      <c r="E886" s="291"/>
      <c r="F886" s="291"/>
      <c r="G886" s="291"/>
      <c r="H886" s="291"/>
      <c r="I886" s="291"/>
      <c r="J886" s="295"/>
      <c r="K886" s="292"/>
      <c r="L886" s="292"/>
      <c r="M886" s="292"/>
      <c r="N886" s="292"/>
    </row>
    <row r="887" spans="1:14" x14ac:dyDescent="0.25">
      <c r="A887" s="297"/>
      <c r="B887" s="298"/>
      <c r="C887" s="291"/>
      <c r="D887" s="291"/>
      <c r="E887" s="291"/>
      <c r="F887" s="291"/>
      <c r="G887" s="291"/>
      <c r="H887" s="291"/>
      <c r="I887" s="291"/>
      <c r="J887" s="295"/>
      <c r="K887" s="292"/>
      <c r="L887" s="292"/>
      <c r="M887" s="292"/>
      <c r="N887" s="292"/>
    </row>
    <row r="888" spans="1:14" x14ac:dyDescent="0.25">
      <c r="A888" s="297"/>
      <c r="B888" s="298"/>
      <c r="C888" s="291"/>
      <c r="D888" s="291"/>
      <c r="E888" s="291"/>
      <c r="F888" s="291"/>
      <c r="G888" s="291"/>
      <c r="H888" s="291"/>
      <c r="I888" s="291"/>
      <c r="J888" s="295"/>
      <c r="K888" s="292"/>
      <c r="L888" s="292"/>
      <c r="M888" s="292"/>
      <c r="N888" s="292"/>
    </row>
    <row r="889" spans="1:14" x14ac:dyDescent="0.25">
      <c r="A889" s="297"/>
      <c r="B889" s="298"/>
      <c r="C889" s="291"/>
      <c r="D889" s="291"/>
      <c r="E889" s="291"/>
      <c r="F889" s="291"/>
      <c r="G889" s="291"/>
      <c r="H889" s="291"/>
      <c r="I889" s="291"/>
      <c r="J889" s="295"/>
      <c r="K889" s="292"/>
      <c r="L889" s="292"/>
      <c r="M889" s="292"/>
      <c r="N889" s="292"/>
    </row>
    <row r="890" spans="1:14" x14ac:dyDescent="0.25">
      <c r="A890" s="297"/>
      <c r="B890" s="298"/>
      <c r="C890" s="291"/>
      <c r="D890" s="291"/>
      <c r="E890" s="291"/>
      <c r="F890" s="291"/>
      <c r="G890" s="291"/>
      <c r="H890" s="291"/>
      <c r="I890" s="291"/>
      <c r="J890" s="295"/>
      <c r="K890" s="292"/>
      <c r="L890" s="292"/>
      <c r="M890" s="292"/>
      <c r="N890" s="292"/>
    </row>
    <row r="891" spans="1:14" x14ac:dyDescent="0.25">
      <c r="A891" s="297"/>
      <c r="B891" s="298"/>
      <c r="C891" s="291"/>
      <c r="D891" s="291"/>
      <c r="E891" s="291"/>
      <c r="F891" s="291"/>
      <c r="G891" s="291"/>
      <c r="H891" s="291"/>
      <c r="I891" s="291"/>
      <c r="J891" s="295"/>
      <c r="K891" s="292"/>
      <c r="L891" s="292"/>
      <c r="M891" s="292"/>
      <c r="N891" s="292"/>
    </row>
    <row r="892" spans="1:14" x14ac:dyDescent="0.25">
      <c r="A892" s="297"/>
      <c r="B892" s="298"/>
      <c r="C892" s="291"/>
      <c r="D892" s="291"/>
      <c r="E892" s="291"/>
      <c r="F892" s="291"/>
      <c r="G892" s="291"/>
      <c r="H892" s="291"/>
      <c r="I892" s="291"/>
      <c r="J892" s="295"/>
      <c r="K892" s="292"/>
      <c r="L892" s="292"/>
      <c r="M892" s="292"/>
      <c r="N892" s="292"/>
    </row>
    <row r="893" spans="1:14" x14ac:dyDescent="0.25">
      <c r="A893" s="297"/>
      <c r="B893" s="298"/>
      <c r="C893" s="291"/>
      <c r="D893" s="291"/>
      <c r="E893" s="291"/>
      <c r="F893" s="291"/>
      <c r="G893" s="291"/>
      <c r="H893" s="291"/>
      <c r="I893" s="291"/>
      <c r="J893" s="295"/>
      <c r="K893" s="292"/>
      <c r="L893" s="292"/>
      <c r="M893" s="292"/>
      <c r="N893" s="292"/>
    </row>
    <row r="894" spans="1:14" x14ac:dyDescent="0.25">
      <c r="A894" s="297"/>
      <c r="B894" s="298"/>
      <c r="C894" s="291"/>
      <c r="D894" s="291"/>
      <c r="E894" s="291"/>
      <c r="F894" s="291"/>
      <c r="G894" s="291"/>
      <c r="H894" s="291"/>
      <c r="I894" s="291"/>
      <c r="J894" s="295"/>
      <c r="K894" s="292"/>
      <c r="L894" s="292"/>
      <c r="M894" s="292"/>
      <c r="N894" s="292"/>
    </row>
    <row r="895" spans="1:14" x14ac:dyDescent="0.25">
      <c r="A895" s="297"/>
      <c r="B895" s="298"/>
      <c r="C895" s="291"/>
      <c r="D895" s="291"/>
      <c r="E895" s="291"/>
      <c r="F895" s="291"/>
      <c r="G895" s="291"/>
      <c r="H895" s="291"/>
      <c r="I895" s="291"/>
      <c r="J895" s="295"/>
      <c r="K895" s="292"/>
      <c r="L895" s="292"/>
      <c r="M895" s="292"/>
      <c r="N895" s="292"/>
    </row>
    <row r="896" spans="1:14" x14ac:dyDescent="0.25">
      <c r="A896" s="297"/>
      <c r="B896" s="298"/>
      <c r="C896" s="291"/>
      <c r="D896" s="291"/>
      <c r="E896" s="291"/>
      <c r="F896" s="291"/>
      <c r="G896" s="291"/>
      <c r="H896" s="291"/>
      <c r="I896" s="291"/>
      <c r="J896" s="295"/>
      <c r="K896" s="292"/>
      <c r="L896" s="292"/>
      <c r="M896" s="292"/>
      <c r="N896" s="292"/>
    </row>
    <row r="897" spans="1:14" x14ac:dyDescent="0.25">
      <c r="A897" s="297"/>
      <c r="B897" s="298"/>
      <c r="C897" s="291"/>
      <c r="D897" s="291"/>
      <c r="E897" s="291"/>
      <c r="F897" s="291"/>
      <c r="G897" s="291"/>
      <c r="H897" s="291"/>
      <c r="I897" s="291"/>
      <c r="J897" s="295"/>
      <c r="K897" s="292"/>
      <c r="L897" s="292"/>
      <c r="M897" s="292"/>
      <c r="N897" s="292"/>
    </row>
    <row r="898" spans="1:14" x14ac:dyDescent="0.25">
      <c r="A898" s="297"/>
      <c r="B898" s="298"/>
      <c r="C898" s="291"/>
      <c r="D898" s="291"/>
      <c r="E898" s="291"/>
      <c r="F898" s="291"/>
      <c r="G898" s="291"/>
      <c r="H898" s="291"/>
      <c r="I898" s="291"/>
      <c r="J898" s="295"/>
      <c r="K898" s="292"/>
      <c r="L898" s="292"/>
      <c r="M898" s="292"/>
      <c r="N898" s="292"/>
    </row>
    <row r="899" spans="1:14" x14ac:dyDescent="0.25">
      <c r="A899" s="297"/>
      <c r="B899" s="298"/>
      <c r="C899" s="291"/>
      <c r="D899" s="291"/>
      <c r="E899" s="291"/>
      <c r="F899" s="291"/>
      <c r="G899" s="291"/>
      <c r="H899" s="291"/>
      <c r="I899" s="291"/>
      <c r="J899" s="295"/>
      <c r="K899" s="292"/>
      <c r="L899" s="292"/>
      <c r="M899" s="292"/>
      <c r="N899" s="292"/>
    </row>
    <row r="900" spans="1:14" x14ac:dyDescent="0.25">
      <c r="A900" s="297"/>
      <c r="B900" s="298"/>
      <c r="C900" s="291"/>
      <c r="D900" s="291"/>
      <c r="E900" s="291"/>
      <c r="F900" s="291"/>
      <c r="G900" s="291"/>
      <c r="H900" s="291"/>
      <c r="I900" s="291"/>
      <c r="J900" s="295"/>
      <c r="K900" s="292"/>
      <c r="L900" s="292"/>
      <c r="M900" s="292"/>
      <c r="N900" s="292"/>
    </row>
    <row r="901" spans="1:14" x14ac:dyDescent="0.25">
      <c r="A901" s="297"/>
      <c r="B901" s="298"/>
      <c r="C901" s="291"/>
      <c r="D901" s="291"/>
      <c r="E901" s="291"/>
      <c r="F901" s="291"/>
      <c r="G901" s="291"/>
      <c r="H901" s="291"/>
      <c r="I901" s="291"/>
      <c r="J901" s="295"/>
      <c r="K901" s="292"/>
      <c r="L901" s="292"/>
      <c r="M901" s="292"/>
      <c r="N901" s="292"/>
    </row>
    <row r="902" spans="1:14" x14ac:dyDescent="0.25">
      <c r="A902" s="297"/>
      <c r="B902" s="298"/>
      <c r="C902" s="291"/>
      <c r="D902" s="291"/>
      <c r="E902" s="291"/>
      <c r="F902" s="291"/>
      <c r="G902" s="291"/>
      <c r="H902" s="291"/>
      <c r="I902" s="291"/>
      <c r="J902" s="295"/>
      <c r="K902" s="292"/>
      <c r="L902" s="292"/>
      <c r="M902" s="292"/>
      <c r="N902" s="292"/>
    </row>
    <row r="903" spans="1:14" x14ac:dyDescent="0.25">
      <c r="A903" s="297"/>
      <c r="B903" s="298"/>
      <c r="C903" s="291"/>
      <c r="D903" s="291"/>
      <c r="E903" s="291"/>
      <c r="F903" s="291"/>
      <c r="G903" s="291"/>
      <c r="H903" s="291"/>
      <c r="I903" s="291"/>
      <c r="J903" s="295"/>
      <c r="K903" s="292"/>
      <c r="L903" s="292"/>
      <c r="M903" s="292"/>
      <c r="N903" s="292"/>
    </row>
    <row r="904" spans="1:14" x14ac:dyDescent="0.25">
      <c r="A904" s="297"/>
      <c r="B904" s="298"/>
      <c r="C904" s="291"/>
      <c r="D904" s="291"/>
      <c r="E904" s="291"/>
      <c r="F904" s="291"/>
      <c r="G904" s="291"/>
      <c r="H904" s="291"/>
      <c r="I904" s="291"/>
      <c r="J904" s="295"/>
      <c r="K904" s="292"/>
      <c r="L904" s="292"/>
      <c r="M904" s="292"/>
      <c r="N904" s="292"/>
    </row>
    <row r="905" spans="1:14" x14ac:dyDescent="0.25">
      <c r="A905" s="297"/>
      <c r="B905" s="298"/>
      <c r="C905" s="291"/>
      <c r="D905" s="291"/>
      <c r="E905" s="291"/>
      <c r="F905" s="291"/>
      <c r="G905" s="291"/>
      <c r="H905" s="291"/>
      <c r="I905" s="291"/>
      <c r="J905" s="295"/>
      <c r="K905" s="292"/>
      <c r="L905" s="292"/>
      <c r="M905" s="292"/>
      <c r="N905" s="292"/>
    </row>
    <row r="906" spans="1:14" x14ac:dyDescent="0.25">
      <c r="A906" s="297"/>
      <c r="B906" s="298"/>
      <c r="C906" s="291"/>
      <c r="D906" s="291"/>
      <c r="E906" s="291"/>
      <c r="F906" s="291"/>
      <c r="G906" s="291"/>
      <c r="H906" s="291"/>
      <c r="I906" s="291"/>
      <c r="J906" s="295"/>
      <c r="K906" s="292"/>
      <c r="L906" s="292"/>
      <c r="M906" s="292"/>
      <c r="N906" s="292"/>
    </row>
    <row r="907" spans="1:14" x14ac:dyDescent="0.25">
      <c r="A907" s="297"/>
      <c r="B907" s="298"/>
      <c r="C907" s="291"/>
      <c r="D907" s="291"/>
      <c r="E907" s="291"/>
      <c r="F907" s="291"/>
      <c r="G907" s="291"/>
      <c r="H907" s="291"/>
      <c r="I907" s="291"/>
      <c r="J907" s="295"/>
      <c r="K907" s="292"/>
      <c r="L907" s="292"/>
      <c r="M907" s="292"/>
      <c r="N907" s="292"/>
    </row>
    <row r="908" spans="1:14" x14ac:dyDescent="0.25">
      <c r="A908" s="297"/>
      <c r="B908" s="298"/>
      <c r="C908" s="291"/>
      <c r="D908" s="291"/>
      <c r="E908" s="291"/>
      <c r="F908" s="291"/>
      <c r="G908" s="291"/>
      <c r="H908" s="291"/>
      <c r="I908" s="291"/>
      <c r="J908" s="295"/>
      <c r="K908" s="292"/>
      <c r="L908" s="292"/>
      <c r="M908" s="292"/>
      <c r="N908" s="292"/>
    </row>
    <row r="909" spans="1:14" x14ac:dyDescent="0.25">
      <c r="A909" s="297"/>
      <c r="B909" s="298"/>
      <c r="C909" s="291"/>
      <c r="D909" s="291"/>
      <c r="E909" s="291"/>
      <c r="F909" s="291"/>
      <c r="G909" s="291"/>
      <c r="H909" s="291"/>
      <c r="I909" s="291"/>
      <c r="J909" s="295"/>
      <c r="K909" s="292"/>
      <c r="L909" s="292"/>
      <c r="M909" s="292"/>
      <c r="N909" s="292"/>
    </row>
    <row r="910" spans="1:14" x14ac:dyDescent="0.25">
      <c r="A910" s="297"/>
      <c r="B910" s="298"/>
      <c r="C910" s="291"/>
      <c r="D910" s="291"/>
      <c r="E910" s="291"/>
      <c r="F910" s="291"/>
      <c r="G910" s="291"/>
      <c r="H910" s="291"/>
      <c r="I910" s="291"/>
      <c r="J910" s="295"/>
      <c r="K910" s="292"/>
      <c r="L910" s="292"/>
      <c r="M910" s="292"/>
      <c r="N910" s="292"/>
    </row>
    <row r="911" spans="1:14" x14ac:dyDescent="0.25">
      <c r="A911" s="297"/>
      <c r="B911" s="298"/>
      <c r="C911" s="291"/>
      <c r="D911" s="291"/>
      <c r="E911" s="291"/>
      <c r="F911" s="291"/>
      <c r="G911" s="291"/>
      <c r="H911" s="291"/>
      <c r="I911" s="291"/>
      <c r="J911" s="295"/>
      <c r="K911" s="292"/>
      <c r="L911" s="292"/>
      <c r="M911" s="292"/>
      <c r="N911" s="292"/>
    </row>
    <row r="912" spans="1:14" x14ac:dyDescent="0.25">
      <c r="A912" s="297"/>
      <c r="B912" s="298"/>
      <c r="C912" s="291"/>
      <c r="D912" s="291"/>
      <c r="E912" s="291"/>
      <c r="F912" s="291"/>
      <c r="G912" s="291"/>
      <c r="H912" s="291"/>
      <c r="I912" s="291"/>
      <c r="J912" s="295"/>
      <c r="K912" s="292"/>
      <c r="L912" s="292"/>
      <c r="M912" s="292"/>
      <c r="N912" s="292"/>
    </row>
    <row r="913" spans="1:14" x14ac:dyDescent="0.25">
      <c r="A913" s="297"/>
      <c r="B913" s="298"/>
      <c r="C913" s="291"/>
      <c r="D913" s="291"/>
      <c r="E913" s="291"/>
      <c r="F913" s="291"/>
      <c r="G913" s="291"/>
      <c r="H913" s="291"/>
      <c r="I913" s="291"/>
      <c r="J913" s="295"/>
      <c r="K913" s="292"/>
      <c r="L913" s="292"/>
      <c r="M913" s="292"/>
      <c r="N913" s="292"/>
    </row>
    <row r="914" spans="1:14" x14ac:dyDescent="0.25">
      <c r="A914" s="297"/>
      <c r="B914" s="298"/>
      <c r="C914" s="291"/>
      <c r="D914" s="291"/>
      <c r="E914" s="291"/>
      <c r="F914" s="291"/>
      <c r="G914" s="291"/>
      <c r="H914" s="291"/>
      <c r="I914" s="291"/>
      <c r="J914" s="295"/>
      <c r="K914" s="292"/>
      <c r="L914" s="292"/>
      <c r="M914" s="292"/>
      <c r="N914" s="292"/>
    </row>
    <row r="915" spans="1:14" x14ac:dyDescent="0.25">
      <c r="A915" s="297"/>
      <c r="B915" s="298"/>
      <c r="C915" s="291"/>
      <c r="D915" s="291"/>
      <c r="E915" s="291"/>
      <c r="F915" s="291"/>
      <c r="G915" s="291"/>
      <c r="H915" s="291"/>
      <c r="I915" s="291"/>
      <c r="J915" s="295"/>
      <c r="K915" s="292"/>
      <c r="L915" s="292"/>
      <c r="M915" s="292"/>
      <c r="N915" s="292"/>
    </row>
    <row r="916" spans="1:14" x14ac:dyDescent="0.25">
      <c r="A916" s="297"/>
      <c r="B916" s="298"/>
      <c r="C916" s="291"/>
      <c r="D916" s="291"/>
      <c r="E916" s="291"/>
      <c r="F916" s="291"/>
      <c r="G916" s="291"/>
      <c r="H916" s="291"/>
      <c r="I916" s="291"/>
      <c r="J916" s="295"/>
      <c r="K916" s="292"/>
      <c r="L916" s="292"/>
      <c r="M916" s="292"/>
      <c r="N916" s="292"/>
    </row>
    <row r="917" spans="1:14" x14ac:dyDescent="0.25">
      <c r="A917" s="297"/>
      <c r="B917" s="298"/>
      <c r="C917" s="291"/>
      <c r="D917" s="291"/>
      <c r="E917" s="291"/>
      <c r="F917" s="291"/>
      <c r="G917" s="291"/>
      <c r="H917" s="291"/>
      <c r="I917" s="291"/>
      <c r="J917" s="295"/>
      <c r="K917" s="292"/>
      <c r="L917" s="292"/>
      <c r="M917" s="292"/>
      <c r="N917" s="292"/>
    </row>
    <row r="918" spans="1:14" x14ac:dyDescent="0.25">
      <c r="A918" s="297"/>
      <c r="B918" s="298"/>
      <c r="C918" s="291"/>
      <c r="D918" s="291"/>
      <c r="E918" s="291"/>
      <c r="F918" s="291"/>
      <c r="G918" s="291"/>
      <c r="H918" s="291"/>
      <c r="I918" s="291"/>
      <c r="J918" s="295"/>
      <c r="K918" s="292"/>
      <c r="L918" s="292"/>
      <c r="M918" s="292"/>
      <c r="N918" s="292"/>
    </row>
    <row r="919" spans="1:14" x14ac:dyDescent="0.25">
      <c r="A919" s="297"/>
      <c r="B919" s="298"/>
      <c r="C919" s="291"/>
      <c r="D919" s="291"/>
      <c r="E919" s="291"/>
      <c r="F919" s="291"/>
      <c r="G919" s="291"/>
      <c r="H919" s="291"/>
      <c r="I919" s="291"/>
      <c r="J919" s="295"/>
      <c r="K919" s="292"/>
      <c r="L919" s="292"/>
      <c r="M919" s="292"/>
      <c r="N919" s="292"/>
    </row>
    <row r="920" spans="1:14" x14ac:dyDescent="0.25">
      <c r="A920" s="297"/>
      <c r="B920" s="298"/>
      <c r="C920" s="291"/>
      <c r="D920" s="291"/>
      <c r="E920" s="291"/>
      <c r="F920" s="291"/>
      <c r="G920" s="291"/>
      <c r="H920" s="291"/>
      <c r="I920" s="291"/>
      <c r="J920" s="295"/>
      <c r="K920" s="292"/>
      <c r="L920" s="292"/>
      <c r="M920" s="292"/>
      <c r="N920" s="292"/>
    </row>
    <row r="921" spans="1:14" x14ac:dyDescent="0.25">
      <c r="A921" s="297"/>
      <c r="B921" s="298"/>
      <c r="C921" s="291"/>
      <c r="D921" s="291"/>
      <c r="E921" s="291"/>
      <c r="F921" s="291"/>
      <c r="G921" s="291"/>
      <c r="H921" s="291"/>
      <c r="I921" s="291"/>
      <c r="J921" s="295"/>
      <c r="K921" s="292"/>
      <c r="L921" s="292"/>
      <c r="M921" s="292"/>
      <c r="N921" s="292"/>
    </row>
    <row r="922" spans="1:14" x14ac:dyDescent="0.25">
      <c r="A922" s="297"/>
      <c r="B922" s="298"/>
      <c r="C922" s="291"/>
      <c r="D922" s="291"/>
      <c r="E922" s="291"/>
      <c r="F922" s="291"/>
      <c r="G922" s="291"/>
      <c r="H922" s="291"/>
      <c r="I922" s="291"/>
      <c r="J922" s="295"/>
      <c r="K922" s="292"/>
      <c r="L922" s="292"/>
      <c r="M922" s="292"/>
      <c r="N922" s="292"/>
    </row>
    <row r="923" spans="1:14" x14ac:dyDescent="0.25">
      <c r="A923" s="297"/>
      <c r="B923" s="298"/>
      <c r="C923" s="291"/>
      <c r="D923" s="291"/>
      <c r="E923" s="291"/>
      <c r="F923" s="291"/>
      <c r="G923" s="291"/>
      <c r="H923" s="291"/>
      <c r="I923" s="291"/>
      <c r="J923" s="295"/>
      <c r="K923" s="292"/>
      <c r="L923" s="292"/>
      <c r="M923" s="292"/>
      <c r="N923" s="292"/>
    </row>
    <row r="924" spans="1:14" x14ac:dyDescent="0.25">
      <c r="A924" s="297"/>
      <c r="B924" s="298"/>
      <c r="C924" s="291"/>
      <c r="D924" s="291"/>
      <c r="E924" s="291"/>
      <c r="F924" s="291"/>
      <c r="G924" s="291"/>
      <c r="H924" s="291"/>
      <c r="I924" s="291"/>
      <c r="J924" s="295"/>
      <c r="K924" s="292"/>
      <c r="L924" s="292"/>
      <c r="M924" s="292"/>
      <c r="N924" s="292"/>
    </row>
    <row r="925" spans="1:14" x14ac:dyDescent="0.25">
      <c r="A925" s="297"/>
      <c r="B925" s="298"/>
      <c r="C925" s="291"/>
      <c r="D925" s="291"/>
      <c r="E925" s="291"/>
      <c r="F925" s="291"/>
      <c r="G925" s="291"/>
      <c r="H925" s="291"/>
      <c r="I925" s="291"/>
      <c r="J925" s="295"/>
      <c r="K925" s="292"/>
      <c r="L925" s="292"/>
      <c r="M925" s="292"/>
      <c r="N925" s="292"/>
    </row>
    <row r="926" spans="1:14" x14ac:dyDescent="0.25">
      <c r="A926" s="297"/>
      <c r="B926" s="298"/>
      <c r="C926" s="291"/>
      <c r="D926" s="291"/>
      <c r="E926" s="291"/>
      <c r="F926" s="291"/>
      <c r="G926" s="291"/>
      <c r="H926" s="291"/>
      <c r="I926" s="291"/>
      <c r="J926" s="295"/>
      <c r="K926" s="292"/>
      <c r="L926" s="292"/>
      <c r="M926" s="292"/>
      <c r="N926" s="292"/>
    </row>
    <row r="927" spans="1:14" x14ac:dyDescent="0.25">
      <c r="A927" s="297"/>
      <c r="B927" s="298"/>
      <c r="C927" s="291"/>
      <c r="D927" s="291"/>
      <c r="E927" s="291"/>
      <c r="F927" s="291"/>
      <c r="G927" s="291"/>
      <c r="H927" s="291"/>
      <c r="I927" s="291"/>
      <c r="J927" s="295"/>
      <c r="K927" s="292"/>
      <c r="L927" s="292"/>
      <c r="M927" s="292"/>
      <c r="N927" s="292"/>
    </row>
    <row r="928" spans="1:14" x14ac:dyDescent="0.25">
      <c r="A928" s="297"/>
      <c r="B928" s="298"/>
      <c r="C928" s="291"/>
      <c r="D928" s="291"/>
      <c r="E928" s="291"/>
      <c r="F928" s="291"/>
      <c r="G928" s="291"/>
      <c r="H928" s="291"/>
      <c r="I928" s="291"/>
      <c r="J928" s="295"/>
      <c r="K928" s="292"/>
      <c r="L928" s="292"/>
      <c r="M928" s="292"/>
      <c r="N928" s="292"/>
    </row>
    <row r="929" spans="1:14" x14ac:dyDescent="0.25">
      <c r="A929" s="297"/>
      <c r="B929" s="298"/>
      <c r="C929" s="291"/>
      <c r="D929" s="291"/>
      <c r="E929" s="291"/>
      <c r="F929" s="291"/>
      <c r="G929" s="291"/>
      <c r="H929" s="291"/>
      <c r="I929" s="291"/>
      <c r="J929" s="295"/>
      <c r="K929" s="292"/>
      <c r="L929" s="292"/>
      <c r="M929" s="292"/>
      <c r="N929" s="292"/>
    </row>
    <row r="930" spans="1:14" x14ac:dyDescent="0.25">
      <c r="A930" s="297"/>
      <c r="B930" s="298"/>
      <c r="C930" s="291"/>
      <c r="D930" s="291"/>
      <c r="E930" s="291"/>
      <c r="F930" s="291"/>
      <c r="G930" s="291"/>
      <c r="H930" s="291"/>
      <c r="I930" s="291"/>
      <c r="J930" s="295"/>
      <c r="K930" s="292"/>
      <c r="L930" s="292"/>
      <c r="M930" s="292"/>
      <c r="N930" s="292"/>
    </row>
    <row r="931" spans="1:14" x14ac:dyDescent="0.25">
      <c r="A931" s="297"/>
      <c r="B931" s="298"/>
      <c r="C931" s="291"/>
      <c r="D931" s="291"/>
      <c r="E931" s="291"/>
      <c r="F931" s="291"/>
      <c r="G931" s="291"/>
      <c r="H931" s="291"/>
      <c r="I931" s="291"/>
      <c r="J931" s="295"/>
      <c r="K931" s="292"/>
      <c r="L931" s="292"/>
      <c r="M931" s="292"/>
      <c r="N931" s="292"/>
    </row>
    <row r="932" spans="1:14" x14ac:dyDescent="0.25">
      <c r="A932" s="297"/>
      <c r="B932" s="298"/>
      <c r="C932" s="291"/>
      <c r="D932" s="291"/>
      <c r="E932" s="291"/>
      <c r="F932" s="291"/>
      <c r="G932" s="291"/>
      <c r="H932" s="291"/>
      <c r="I932" s="291"/>
      <c r="J932" s="295"/>
      <c r="K932" s="292"/>
      <c r="L932" s="292"/>
      <c r="M932" s="292"/>
      <c r="N932" s="292"/>
    </row>
    <row r="933" spans="1:14" x14ac:dyDescent="0.25">
      <c r="A933" s="297"/>
      <c r="B933" s="298"/>
      <c r="C933" s="291"/>
      <c r="D933" s="291"/>
      <c r="E933" s="291"/>
      <c r="F933" s="291"/>
      <c r="G933" s="291"/>
      <c r="H933" s="291"/>
      <c r="I933" s="291"/>
      <c r="J933" s="295"/>
      <c r="K933" s="292"/>
      <c r="L933" s="292"/>
      <c r="M933" s="292"/>
      <c r="N933" s="292"/>
    </row>
    <row r="934" spans="1:14" x14ac:dyDescent="0.25">
      <c r="A934" s="297"/>
      <c r="B934" s="298"/>
      <c r="C934" s="291"/>
      <c r="D934" s="291"/>
      <c r="E934" s="291"/>
      <c r="F934" s="291"/>
      <c r="G934" s="291"/>
      <c r="H934" s="291"/>
      <c r="I934" s="291"/>
      <c r="J934" s="295"/>
      <c r="K934" s="292"/>
      <c r="L934" s="292"/>
      <c r="M934" s="292"/>
      <c r="N934" s="292"/>
    </row>
    <row r="935" spans="1:14" x14ac:dyDescent="0.25">
      <c r="A935" s="297"/>
      <c r="B935" s="298"/>
      <c r="C935" s="291"/>
      <c r="D935" s="291"/>
      <c r="E935" s="291"/>
      <c r="F935" s="291"/>
      <c r="G935" s="291"/>
      <c r="H935" s="291"/>
      <c r="I935" s="291"/>
      <c r="J935" s="295"/>
      <c r="K935" s="292"/>
      <c r="L935" s="292"/>
      <c r="M935" s="292"/>
      <c r="N935" s="292"/>
    </row>
    <row r="936" spans="1:14" x14ac:dyDescent="0.25">
      <c r="A936" s="297"/>
      <c r="B936" s="298"/>
      <c r="C936" s="291"/>
      <c r="D936" s="291"/>
      <c r="E936" s="291"/>
      <c r="F936" s="291"/>
      <c r="G936" s="291"/>
      <c r="H936" s="291"/>
      <c r="I936" s="291"/>
      <c r="J936" s="295"/>
      <c r="K936" s="292"/>
      <c r="L936" s="292"/>
      <c r="M936" s="292"/>
      <c r="N936" s="292"/>
    </row>
    <row r="937" spans="1:14" x14ac:dyDescent="0.25">
      <c r="A937" s="297"/>
      <c r="B937" s="298"/>
      <c r="C937" s="291"/>
      <c r="D937" s="291"/>
      <c r="E937" s="291"/>
      <c r="F937" s="291"/>
      <c r="G937" s="291"/>
      <c r="H937" s="291"/>
      <c r="I937" s="291"/>
      <c r="J937" s="295"/>
      <c r="K937" s="292"/>
      <c r="L937" s="292"/>
      <c r="M937" s="292"/>
      <c r="N937" s="292"/>
    </row>
    <row r="938" spans="1:14" x14ac:dyDescent="0.25">
      <c r="A938" s="297"/>
      <c r="B938" s="298"/>
      <c r="C938" s="291"/>
      <c r="D938" s="291"/>
      <c r="E938" s="291"/>
      <c r="F938" s="291"/>
      <c r="G938" s="291"/>
      <c r="H938" s="291"/>
      <c r="I938" s="291"/>
      <c r="J938" s="295"/>
      <c r="K938" s="292"/>
      <c r="L938" s="292"/>
      <c r="M938" s="292"/>
      <c r="N938" s="292"/>
    </row>
    <row r="939" spans="1:14" x14ac:dyDescent="0.25">
      <c r="A939" s="297"/>
      <c r="B939" s="298"/>
      <c r="C939" s="291"/>
      <c r="D939" s="291"/>
      <c r="E939" s="291"/>
      <c r="F939" s="291"/>
      <c r="G939" s="291"/>
      <c r="H939" s="291"/>
      <c r="I939" s="291"/>
      <c r="J939" s="295"/>
      <c r="K939" s="292"/>
      <c r="L939" s="292"/>
      <c r="M939" s="292"/>
      <c r="N939" s="292"/>
    </row>
    <row r="940" spans="1:14" x14ac:dyDescent="0.25">
      <c r="A940" s="297"/>
      <c r="B940" s="298"/>
      <c r="C940" s="291"/>
      <c r="D940" s="291"/>
      <c r="E940" s="291"/>
      <c r="F940" s="291"/>
      <c r="G940" s="291"/>
      <c r="H940" s="291"/>
      <c r="I940" s="291"/>
      <c r="J940" s="295"/>
      <c r="K940" s="292"/>
      <c r="L940" s="292"/>
      <c r="M940" s="292"/>
      <c r="N940" s="292"/>
    </row>
    <row r="941" spans="1:14" x14ac:dyDescent="0.25">
      <c r="A941" s="297"/>
      <c r="B941" s="298"/>
      <c r="C941" s="291"/>
      <c r="D941" s="291"/>
      <c r="E941" s="291"/>
      <c r="F941" s="291"/>
      <c r="G941" s="291"/>
      <c r="H941" s="291"/>
      <c r="I941" s="291"/>
      <c r="J941" s="295"/>
      <c r="K941" s="292"/>
      <c r="L941" s="292"/>
      <c r="M941" s="292"/>
      <c r="N941" s="292"/>
    </row>
    <row r="942" spans="1:14" x14ac:dyDescent="0.25">
      <c r="A942" s="297"/>
      <c r="B942" s="298"/>
      <c r="C942" s="291"/>
      <c r="D942" s="291"/>
      <c r="E942" s="291"/>
      <c r="F942" s="291"/>
      <c r="G942" s="291"/>
      <c r="H942" s="291"/>
      <c r="I942" s="291"/>
      <c r="J942" s="295"/>
      <c r="K942" s="292"/>
      <c r="L942" s="292"/>
      <c r="M942" s="292"/>
      <c r="N942" s="292"/>
    </row>
    <row r="943" spans="1:14" x14ac:dyDescent="0.25">
      <c r="A943" s="297"/>
      <c r="B943" s="298"/>
      <c r="C943" s="291"/>
      <c r="D943" s="291"/>
      <c r="E943" s="291"/>
      <c r="F943" s="291"/>
      <c r="G943" s="291"/>
      <c r="H943" s="291"/>
      <c r="I943" s="291"/>
      <c r="J943" s="295"/>
      <c r="K943" s="292"/>
      <c r="L943" s="292"/>
      <c r="M943" s="292"/>
      <c r="N943" s="292"/>
    </row>
    <row r="944" spans="1:14" x14ac:dyDescent="0.25">
      <c r="A944" s="297"/>
      <c r="B944" s="298"/>
      <c r="C944" s="291"/>
      <c r="D944" s="291"/>
      <c r="E944" s="291"/>
      <c r="F944" s="291"/>
      <c r="G944" s="291"/>
      <c r="H944" s="291"/>
      <c r="I944" s="291"/>
      <c r="J944" s="295"/>
      <c r="K944" s="292"/>
      <c r="L944" s="292"/>
      <c r="M944" s="292"/>
      <c r="N944" s="292"/>
    </row>
    <row r="945" spans="1:14" x14ac:dyDescent="0.25">
      <c r="A945" s="297"/>
      <c r="B945" s="298"/>
      <c r="C945" s="291"/>
      <c r="D945" s="291"/>
      <c r="E945" s="291"/>
      <c r="F945" s="291"/>
      <c r="G945" s="291"/>
      <c r="H945" s="291"/>
      <c r="I945" s="291"/>
      <c r="J945" s="295"/>
      <c r="K945" s="292"/>
      <c r="L945" s="292"/>
      <c r="M945" s="292"/>
      <c r="N945" s="292"/>
    </row>
    <row r="946" spans="1:14" x14ac:dyDescent="0.25">
      <c r="A946" s="297"/>
      <c r="B946" s="298"/>
      <c r="C946" s="291"/>
      <c r="D946" s="291"/>
      <c r="E946" s="291"/>
      <c r="F946" s="291"/>
      <c r="G946" s="291"/>
      <c r="H946" s="291"/>
      <c r="I946" s="291"/>
      <c r="J946" s="295"/>
      <c r="K946" s="292"/>
      <c r="L946" s="292"/>
      <c r="M946" s="292"/>
      <c r="N946" s="292"/>
    </row>
    <row r="947" spans="1:14" x14ac:dyDescent="0.25">
      <c r="A947" s="297"/>
      <c r="B947" s="298"/>
      <c r="C947" s="291"/>
      <c r="D947" s="291"/>
      <c r="E947" s="291"/>
      <c r="F947" s="291"/>
      <c r="G947" s="291"/>
      <c r="H947" s="291"/>
      <c r="I947" s="291"/>
      <c r="J947" s="295"/>
      <c r="K947" s="292"/>
      <c r="L947" s="292"/>
      <c r="M947" s="292"/>
      <c r="N947" s="292"/>
    </row>
    <row r="948" spans="1:14" x14ac:dyDescent="0.25">
      <c r="A948" s="297"/>
      <c r="B948" s="298"/>
      <c r="C948" s="291"/>
      <c r="D948" s="291"/>
      <c r="E948" s="291"/>
      <c r="F948" s="291"/>
      <c r="G948" s="291"/>
      <c r="H948" s="291"/>
      <c r="I948" s="291"/>
      <c r="J948" s="295"/>
      <c r="K948" s="292"/>
      <c r="L948" s="292"/>
      <c r="M948" s="292"/>
      <c r="N948" s="292"/>
    </row>
    <row r="949" spans="1:14" x14ac:dyDescent="0.25">
      <c r="A949" s="297"/>
      <c r="B949" s="298"/>
      <c r="C949" s="291"/>
      <c r="D949" s="291"/>
      <c r="E949" s="291"/>
      <c r="F949" s="291"/>
      <c r="G949" s="291"/>
      <c r="H949" s="291"/>
      <c r="I949" s="291"/>
      <c r="J949" s="295"/>
      <c r="K949" s="292"/>
      <c r="L949" s="292"/>
      <c r="M949" s="292"/>
      <c r="N949" s="292"/>
    </row>
    <row r="950" spans="1:14" x14ac:dyDescent="0.25">
      <c r="A950" s="297"/>
      <c r="B950" s="298"/>
      <c r="C950" s="291"/>
      <c r="D950" s="291"/>
      <c r="E950" s="291"/>
      <c r="F950" s="291"/>
      <c r="G950" s="291"/>
      <c r="H950" s="291"/>
      <c r="I950" s="291"/>
      <c r="J950" s="295"/>
      <c r="K950" s="292"/>
      <c r="L950" s="292"/>
      <c r="M950" s="292"/>
      <c r="N950" s="292"/>
    </row>
    <row r="951" spans="1:14" x14ac:dyDescent="0.25">
      <c r="A951" s="297"/>
      <c r="B951" s="298"/>
      <c r="C951" s="291"/>
      <c r="D951" s="291"/>
      <c r="E951" s="291"/>
      <c r="F951" s="291"/>
      <c r="G951" s="291"/>
      <c r="H951" s="291"/>
      <c r="I951" s="291"/>
      <c r="J951" s="295"/>
      <c r="K951" s="292"/>
      <c r="L951" s="292"/>
      <c r="M951" s="292"/>
      <c r="N951" s="292"/>
    </row>
    <row r="952" spans="1:14" x14ac:dyDescent="0.25">
      <c r="A952" s="297"/>
      <c r="B952" s="298"/>
      <c r="C952" s="291"/>
      <c r="D952" s="291"/>
      <c r="E952" s="291"/>
      <c r="F952" s="291"/>
      <c r="G952" s="291"/>
      <c r="H952" s="291"/>
      <c r="I952" s="291"/>
      <c r="J952" s="295"/>
      <c r="K952" s="292"/>
      <c r="L952" s="292"/>
      <c r="M952" s="292"/>
      <c r="N952" s="292"/>
    </row>
    <row r="953" spans="1:14" x14ac:dyDescent="0.25">
      <c r="A953" s="297"/>
      <c r="B953" s="298"/>
      <c r="C953" s="291"/>
      <c r="D953" s="291"/>
      <c r="E953" s="291"/>
      <c r="F953" s="291"/>
      <c r="G953" s="291"/>
      <c r="H953" s="291"/>
      <c r="I953" s="291"/>
      <c r="J953" s="295"/>
      <c r="K953" s="292"/>
      <c r="L953" s="292"/>
      <c r="M953" s="292"/>
      <c r="N953" s="292"/>
    </row>
    <row r="954" spans="1:14" x14ac:dyDescent="0.25">
      <c r="A954" s="297"/>
      <c r="B954" s="298"/>
      <c r="C954" s="291"/>
      <c r="D954" s="291"/>
      <c r="E954" s="291"/>
      <c r="F954" s="291"/>
      <c r="G954" s="291"/>
      <c r="H954" s="291"/>
      <c r="I954" s="291"/>
      <c r="J954" s="295"/>
      <c r="K954" s="292"/>
      <c r="L954" s="292"/>
      <c r="M954" s="292"/>
      <c r="N954" s="292"/>
    </row>
    <row r="955" spans="1:14" x14ac:dyDescent="0.25">
      <c r="A955" s="297"/>
      <c r="B955" s="298"/>
      <c r="C955" s="291"/>
      <c r="D955" s="291"/>
      <c r="E955" s="291"/>
      <c r="F955" s="291"/>
      <c r="G955" s="291"/>
      <c r="H955" s="291"/>
      <c r="I955" s="291"/>
      <c r="J955" s="295"/>
      <c r="K955" s="292"/>
      <c r="L955" s="292"/>
      <c r="M955" s="292"/>
      <c r="N955" s="292"/>
    </row>
    <row r="956" spans="1:14" x14ac:dyDescent="0.25">
      <c r="A956" s="297"/>
      <c r="B956" s="298"/>
      <c r="C956" s="291"/>
      <c r="D956" s="291"/>
      <c r="E956" s="291"/>
      <c r="F956" s="291"/>
      <c r="G956" s="291"/>
      <c r="H956" s="291"/>
      <c r="I956" s="291"/>
      <c r="J956" s="295"/>
      <c r="K956" s="292"/>
      <c r="L956" s="292"/>
      <c r="M956" s="292"/>
      <c r="N956" s="292"/>
    </row>
    <row r="957" spans="1:14" x14ac:dyDescent="0.25">
      <c r="A957" s="297"/>
      <c r="B957" s="298"/>
      <c r="C957" s="291"/>
      <c r="D957" s="291"/>
      <c r="E957" s="291"/>
      <c r="F957" s="291"/>
      <c r="G957" s="291"/>
      <c r="H957" s="291"/>
      <c r="I957" s="291"/>
      <c r="J957" s="295"/>
      <c r="K957" s="292"/>
      <c r="L957" s="292"/>
      <c r="M957" s="292"/>
      <c r="N957" s="292"/>
    </row>
    <row r="958" spans="1:14" x14ac:dyDescent="0.25">
      <c r="A958" s="297"/>
      <c r="B958" s="298"/>
      <c r="C958" s="291"/>
      <c r="D958" s="291"/>
      <c r="E958" s="291"/>
      <c r="F958" s="291"/>
      <c r="G958" s="291"/>
      <c r="H958" s="291"/>
      <c r="I958" s="291"/>
      <c r="J958" s="295"/>
      <c r="K958" s="292"/>
      <c r="L958" s="292"/>
      <c r="M958" s="292"/>
      <c r="N958" s="292"/>
    </row>
    <row r="959" spans="1:14" x14ac:dyDescent="0.25">
      <c r="A959" s="297"/>
      <c r="B959" s="298"/>
      <c r="C959" s="291"/>
      <c r="D959" s="291"/>
      <c r="E959" s="291"/>
      <c r="F959" s="291"/>
      <c r="G959" s="291"/>
      <c r="H959" s="291"/>
      <c r="I959" s="291"/>
      <c r="J959" s="295"/>
      <c r="K959" s="292"/>
      <c r="L959" s="292"/>
      <c r="M959" s="292"/>
      <c r="N959" s="292"/>
    </row>
    <row r="960" spans="1:14" x14ac:dyDescent="0.25">
      <c r="A960" s="297"/>
      <c r="B960" s="298"/>
      <c r="C960" s="291"/>
      <c r="D960" s="291"/>
      <c r="E960" s="291"/>
      <c r="F960" s="291"/>
      <c r="G960" s="291"/>
      <c r="H960" s="291"/>
      <c r="I960" s="291"/>
      <c r="J960" s="295"/>
      <c r="K960" s="292"/>
      <c r="L960" s="292"/>
      <c r="M960" s="292"/>
      <c r="N960" s="292"/>
    </row>
    <row r="961" spans="1:14" x14ac:dyDescent="0.25">
      <c r="A961" s="297"/>
      <c r="B961" s="298"/>
      <c r="C961" s="291"/>
      <c r="D961" s="291"/>
      <c r="E961" s="291"/>
      <c r="F961" s="291"/>
      <c r="G961" s="291"/>
      <c r="H961" s="291"/>
      <c r="I961" s="291"/>
      <c r="J961" s="295"/>
      <c r="K961" s="292"/>
      <c r="L961" s="292"/>
      <c r="M961" s="292"/>
      <c r="N961" s="292"/>
    </row>
    <row r="962" spans="1:14" x14ac:dyDescent="0.25">
      <c r="A962" s="297"/>
      <c r="B962" s="298"/>
      <c r="C962" s="291"/>
      <c r="D962" s="291"/>
      <c r="E962" s="291"/>
      <c r="F962" s="291"/>
      <c r="G962" s="291"/>
      <c r="H962" s="291"/>
      <c r="I962" s="291"/>
      <c r="J962" s="295"/>
      <c r="K962" s="292"/>
      <c r="L962" s="292"/>
      <c r="M962" s="292"/>
      <c r="N962" s="292"/>
    </row>
    <row r="963" spans="1:14" x14ac:dyDescent="0.25">
      <c r="A963" s="297"/>
      <c r="B963" s="298"/>
      <c r="C963" s="291"/>
      <c r="D963" s="291"/>
      <c r="E963" s="291"/>
      <c r="F963" s="291"/>
      <c r="G963" s="291"/>
      <c r="H963" s="291"/>
      <c r="I963" s="291"/>
      <c r="J963" s="295"/>
      <c r="K963" s="292"/>
      <c r="L963" s="292"/>
      <c r="M963" s="292"/>
      <c r="N963" s="292"/>
    </row>
    <row r="964" spans="1:14" x14ac:dyDescent="0.25">
      <c r="A964" s="297"/>
      <c r="B964" s="298"/>
      <c r="C964" s="291"/>
      <c r="D964" s="291"/>
      <c r="E964" s="291"/>
      <c r="F964" s="291"/>
      <c r="G964" s="291"/>
      <c r="H964" s="291"/>
      <c r="I964" s="291"/>
      <c r="J964" s="295"/>
      <c r="K964" s="292"/>
      <c r="L964" s="292"/>
      <c r="M964" s="292"/>
      <c r="N964" s="292"/>
    </row>
    <row r="965" spans="1:14" x14ac:dyDescent="0.25">
      <c r="A965" s="297"/>
      <c r="B965" s="298"/>
      <c r="C965" s="291"/>
      <c r="D965" s="291"/>
      <c r="E965" s="291"/>
      <c r="F965" s="291"/>
      <c r="G965" s="291"/>
      <c r="H965" s="291"/>
      <c r="I965" s="291"/>
      <c r="J965" s="295"/>
      <c r="K965" s="292"/>
      <c r="L965" s="292"/>
      <c r="M965" s="292"/>
      <c r="N965" s="292"/>
    </row>
    <row r="966" spans="1:14" x14ac:dyDescent="0.25">
      <c r="A966" s="297"/>
      <c r="B966" s="298"/>
      <c r="C966" s="291"/>
      <c r="D966" s="291"/>
      <c r="E966" s="291"/>
      <c r="F966" s="291"/>
      <c r="G966" s="291"/>
      <c r="H966" s="291"/>
      <c r="I966" s="291"/>
      <c r="J966" s="295"/>
      <c r="K966" s="292"/>
      <c r="L966" s="292"/>
      <c r="M966" s="292"/>
      <c r="N966" s="292"/>
    </row>
    <row r="967" spans="1:14" x14ac:dyDescent="0.25">
      <c r="A967" s="297"/>
      <c r="B967" s="298"/>
      <c r="C967" s="291"/>
      <c r="D967" s="291"/>
      <c r="E967" s="291"/>
      <c r="F967" s="291"/>
      <c r="G967" s="291"/>
      <c r="H967" s="291"/>
      <c r="I967" s="291"/>
      <c r="J967" s="295"/>
      <c r="K967" s="292"/>
      <c r="L967" s="292"/>
      <c r="M967" s="292"/>
      <c r="N967" s="292"/>
    </row>
    <row r="968" spans="1:14" x14ac:dyDescent="0.25">
      <c r="A968" s="297"/>
      <c r="B968" s="298"/>
      <c r="C968" s="291"/>
      <c r="D968" s="291"/>
      <c r="E968" s="291"/>
      <c r="F968" s="291"/>
      <c r="G968" s="291"/>
      <c r="H968" s="291"/>
      <c r="I968" s="291"/>
      <c r="J968" s="295"/>
      <c r="K968" s="292"/>
      <c r="L968" s="292"/>
      <c r="M968" s="292"/>
      <c r="N968" s="292"/>
    </row>
    <row r="969" spans="1:14" x14ac:dyDescent="0.25">
      <c r="A969" s="297"/>
      <c r="B969" s="298"/>
      <c r="C969" s="291"/>
      <c r="D969" s="291"/>
      <c r="E969" s="291"/>
      <c r="F969" s="291"/>
      <c r="G969" s="291"/>
      <c r="H969" s="291"/>
      <c r="I969" s="291"/>
      <c r="J969" s="295"/>
      <c r="K969" s="292"/>
      <c r="L969" s="292"/>
      <c r="M969" s="292"/>
      <c r="N969" s="292"/>
    </row>
    <row r="970" spans="1:14" x14ac:dyDescent="0.25">
      <c r="A970" s="297"/>
      <c r="B970" s="298"/>
      <c r="C970" s="291"/>
      <c r="D970" s="291"/>
      <c r="E970" s="291"/>
      <c r="F970" s="291"/>
      <c r="G970" s="291"/>
      <c r="H970" s="291"/>
      <c r="I970" s="291"/>
      <c r="J970" s="295"/>
      <c r="K970" s="292"/>
      <c r="L970" s="292"/>
      <c r="M970" s="292"/>
      <c r="N970" s="292"/>
    </row>
    <row r="971" spans="1:14" x14ac:dyDescent="0.25">
      <c r="A971" s="297"/>
      <c r="B971" s="298"/>
      <c r="C971" s="291"/>
      <c r="D971" s="291"/>
      <c r="E971" s="291"/>
      <c r="F971" s="291"/>
      <c r="G971" s="291"/>
      <c r="H971" s="291"/>
      <c r="I971" s="291"/>
      <c r="J971" s="295"/>
      <c r="K971" s="292"/>
      <c r="L971" s="292"/>
      <c r="M971" s="292"/>
      <c r="N971" s="292"/>
    </row>
    <row r="972" spans="1:14" x14ac:dyDescent="0.25">
      <c r="A972" s="297"/>
      <c r="B972" s="298"/>
      <c r="C972" s="291"/>
      <c r="D972" s="291"/>
      <c r="E972" s="291"/>
      <c r="F972" s="291"/>
      <c r="G972" s="291"/>
      <c r="H972" s="291"/>
      <c r="I972" s="291"/>
      <c r="J972" s="295"/>
      <c r="K972" s="292"/>
      <c r="L972" s="292"/>
      <c r="M972" s="292"/>
      <c r="N972" s="292"/>
    </row>
    <row r="973" spans="1:14" x14ac:dyDescent="0.25">
      <c r="A973" s="297"/>
      <c r="B973" s="298"/>
      <c r="C973" s="291"/>
      <c r="D973" s="291"/>
      <c r="E973" s="291"/>
      <c r="F973" s="291"/>
      <c r="G973" s="291"/>
      <c r="H973" s="291"/>
      <c r="I973" s="291"/>
      <c r="J973" s="295"/>
      <c r="K973" s="292"/>
      <c r="L973" s="292"/>
      <c r="M973" s="292"/>
      <c r="N973" s="292"/>
    </row>
    <row r="974" spans="1:14" x14ac:dyDescent="0.25">
      <c r="A974" s="297"/>
      <c r="B974" s="298"/>
      <c r="C974" s="291"/>
      <c r="D974" s="291"/>
      <c r="E974" s="291"/>
      <c r="F974" s="291"/>
      <c r="G974" s="291"/>
      <c r="H974" s="291"/>
      <c r="I974" s="291"/>
      <c r="J974" s="295"/>
      <c r="K974" s="292"/>
      <c r="L974" s="292"/>
      <c r="M974" s="292"/>
      <c r="N974" s="292"/>
    </row>
    <row r="975" spans="1:14" x14ac:dyDescent="0.25">
      <c r="A975" s="297"/>
      <c r="B975" s="298"/>
      <c r="C975" s="291"/>
      <c r="D975" s="291"/>
      <c r="E975" s="291"/>
      <c r="F975" s="291"/>
      <c r="G975" s="291"/>
      <c r="H975" s="291"/>
      <c r="I975" s="291"/>
      <c r="J975" s="295"/>
      <c r="K975" s="292"/>
      <c r="L975" s="292"/>
      <c r="M975" s="292"/>
      <c r="N975" s="292"/>
    </row>
    <row r="976" spans="1:14" x14ac:dyDescent="0.25">
      <c r="A976" s="297"/>
      <c r="B976" s="298"/>
      <c r="C976" s="291"/>
      <c r="D976" s="291"/>
      <c r="E976" s="291"/>
      <c r="F976" s="291"/>
      <c r="G976" s="291"/>
      <c r="H976" s="291"/>
      <c r="I976" s="291"/>
      <c r="J976" s="295"/>
      <c r="K976" s="292"/>
      <c r="L976" s="292"/>
      <c r="M976" s="292"/>
      <c r="N976" s="292"/>
    </row>
    <row r="977" spans="1:14" x14ac:dyDescent="0.25">
      <c r="A977" s="297"/>
      <c r="B977" s="298"/>
      <c r="C977" s="291"/>
      <c r="D977" s="291"/>
      <c r="E977" s="291"/>
      <c r="F977" s="291"/>
      <c r="G977" s="291"/>
      <c r="H977" s="291"/>
      <c r="I977" s="291"/>
      <c r="J977" s="295"/>
      <c r="K977" s="292"/>
      <c r="L977" s="292"/>
      <c r="M977" s="292"/>
      <c r="N977" s="292"/>
    </row>
    <row r="978" spans="1:14" x14ac:dyDescent="0.25">
      <c r="A978" s="297"/>
      <c r="B978" s="298"/>
      <c r="C978" s="291"/>
      <c r="D978" s="291"/>
      <c r="E978" s="291"/>
      <c r="F978" s="291"/>
      <c r="G978" s="291"/>
      <c r="H978" s="291"/>
      <c r="I978" s="291"/>
      <c r="J978" s="295"/>
      <c r="K978" s="292"/>
      <c r="L978" s="292"/>
      <c r="M978" s="292"/>
      <c r="N978" s="292"/>
    </row>
    <row r="979" spans="1:14" x14ac:dyDescent="0.25">
      <c r="A979" s="297"/>
      <c r="B979" s="298"/>
      <c r="C979" s="291"/>
      <c r="D979" s="291"/>
      <c r="E979" s="291"/>
      <c r="F979" s="291"/>
      <c r="G979" s="291"/>
      <c r="H979" s="291"/>
      <c r="I979" s="291"/>
      <c r="J979" s="295"/>
      <c r="K979" s="292"/>
      <c r="L979" s="292"/>
      <c r="M979" s="292"/>
      <c r="N979" s="292"/>
    </row>
    <row r="980" spans="1:14" x14ac:dyDescent="0.25">
      <c r="A980" s="297"/>
      <c r="B980" s="298"/>
      <c r="C980" s="291"/>
      <c r="D980" s="291"/>
      <c r="E980" s="291"/>
      <c r="F980" s="291"/>
      <c r="G980" s="291"/>
      <c r="H980" s="291"/>
      <c r="I980" s="291"/>
      <c r="J980" s="295"/>
      <c r="K980" s="292"/>
      <c r="L980" s="292"/>
      <c r="M980" s="292"/>
      <c r="N980" s="292"/>
    </row>
    <row r="981" spans="1:14" x14ac:dyDescent="0.25">
      <c r="A981" s="297"/>
      <c r="B981" s="298"/>
      <c r="C981" s="291"/>
      <c r="D981" s="291"/>
      <c r="E981" s="291"/>
      <c r="F981" s="291"/>
      <c r="G981" s="291"/>
      <c r="H981" s="291"/>
      <c r="I981" s="291"/>
      <c r="J981" s="295"/>
      <c r="K981" s="292"/>
      <c r="L981" s="292"/>
      <c r="M981" s="292"/>
      <c r="N981" s="292"/>
    </row>
    <row r="982" spans="1:14" x14ac:dyDescent="0.25">
      <c r="A982" s="297"/>
      <c r="B982" s="298"/>
      <c r="C982" s="291"/>
      <c r="D982" s="291"/>
      <c r="E982" s="291"/>
      <c r="F982" s="291"/>
      <c r="G982" s="291"/>
      <c r="H982" s="291"/>
      <c r="I982" s="291"/>
      <c r="J982" s="295"/>
      <c r="K982" s="292"/>
      <c r="L982" s="292"/>
      <c r="M982" s="292"/>
      <c r="N982" s="292"/>
    </row>
    <row r="983" spans="1:14" x14ac:dyDescent="0.25">
      <c r="A983" s="297"/>
      <c r="B983" s="298"/>
      <c r="C983" s="291"/>
      <c r="D983" s="291"/>
      <c r="E983" s="291"/>
      <c r="F983" s="291"/>
      <c r="G983" s="291"/>
      <c r="H983" s="291"/>
      <c r="I983" s="291"/>
      <c r="J983" s="295"/>
      <c r="K983" s="292"/>
      <c r="L983" s="292"/>
      <c r="M983" s="292"/>
      <c r="N983" s="292"/>
    </row>
    <row r="984" spans="1:14" x14ac:dyDescent="0.25">
      <c r="A984" s="297"/>
      <c r="B984" s="298"/>
      <c r="C984" s="291"/>
      <c r="D984" s="291"/>
      <c r="E984" s="291"/>
      <c r="F984" s="291"/>
      <c r="G984" s="291"/>
      <c r="H984" s="291"/>
      <c r="I984" s="291"/>
      <c r="J984" s="295"/>
      <c r="K984" s="292"/>
      <c r="L984" s="292"/>
      <c r="M984" s="292"/>
      <c r="N984" s="292"/>
    </row>
    <row r="985" spans="1:14" x14ac:dyDescent="0.25">
      <c r="A985" s="297"/>
      <c r="B985" s="298"/>
      <c r="C985" s="291"/>
      <c r="D985" s="291"/>
      <c r="E985" s="291"/>
      <c r="F985" s="291"/>
      <c r="G985" s="291"/>
      <c r="H985" s="291"/>
      <c r="I985" s="291"/>
      <c r="J985" s="295"/>
      <c r="K985" s="292"/>
      <c r="L985" s="292"/>
      <c r="M985" s="292"/>
      <c r="N985" s="292"/>
    </row>
    <row r="986" spans="1:14" x14ac:dyDescent="0.25">
      <c r="A986" s="297"/>
      <c r="B986" s="298"/>
      <c r="C986" s="291"/>
      <c r="D986" s="291"/>
      <c r="E986" s="291"/>
      <c r="F986" s="291"/>
      <c r="G986" s="291"/>
      <c r="H986" s="291"/>
      <c r="I986" s="291"/>
      <c r="J986" s="295"/>
      <c r="K986" s="292"/>
      <c r="L986" s="292"/>
      <c r="M986" s="292"/>
      <c r="N986" s="292"/>
    </row>
    <row r="987" spans="1:14" x14ac:dyDescent="0.25">
      <c r="A987" s="297"/>
      <c r="B987" s="298"/>
      <c r="C987" s="291"/>
      <c r="D987" s="291"/>
      <c r="E987" s="291"/>
      <c r="F987" s="291"/>
      <c r="G987" s="291"/>
      <c r="H987" s="291"/>
      <c r="I987" s="291"/>
      <c r="J987" s="295"/>
      <c r="K987" s="292"/>
      <c r="L987" s="292"/>
      <c r="M987" s="292"/>
      <c r="N987" s="292"/>
    </row>
    <row r="988" spans="1:14" x14ac:dyDescent="0.25">
      <c r="A988" s="297"/>
      <c r="B988" s="298"/>
      <c r="C988" s="291"/>
      <c r="D988" s="291"/>
      <c r="E988" s="291"/>
      <c r="F988" s="291"/>
      <c r="G988" s="291"/>
      <c r="H988" s="291"/>
      <c r="I988" s="291"/>
      <c r="J988" s="295"/>
      <c r="K988" s="292"/>
      <c r="L988" s="292"/>
      <c r="M988" s="292"/>
      <c r="N988" s="292"/>
    </row>
    <row r="989" spans="1:14" x14ac:dyDescent="0.25">
      <c r="A989" s="297"/>
      <c r="B989" s="298"/>
      <c r="C989" s="291"/>
      <c r="D989" s="291"/>
      <c r="E989" s="291"/>
      <c r="F989" s="291"/>
      <c r="G989" s="291"/>
      <c r="H989" s="291"/>
      <c r="I989" s="291"/>
      <c r="J989" s="295"/>
      <c r="K989" s="292"/>
      <c r="L989" s="292"/>
      <c r="M989" s="292"/>
      <c r="N989" s="292"/>
    </row>
    <row r="990" spans="1:14" x14ac:dyDescent="0.25">
      <c r="A990" s="297"/>
      <c r="B990" s="298"/>
      <c r="C990" s="291"/>
      <c r="D990" s="291"/>
      <c r="E990" s="291"/>
      <c r="F990" s="291"/>
      <c r="G990" s="291"/>
      <c r="H990" s="291"/>
      <c r="I990" s="291"/>
      <c r="J990" s="295"/>
      <c r="K990" s="292"/>
      <c r="L990" s="292"/>
      <c r="M990" s="292"/>
      <c r="N990" s="292"/>
    </row>
    <row r="991" spans="1:14" x14ac:dyDescent="0.25">
      <c r="A991" s="297"/>
      <c r="B991" s="298"/>
      <c r="C991" s="291"/>
      <c r="D991" s="291"/>
      <c r="E991" s="291"/>
      <c r="F991" s="291"/>
      <c r="G991" s="291"/>
      <c r="H991" s="291"/>
      <c r="I991" s="291"/>
      <c r="J991" s="295"/>
      <c r="K991" s="292"/>
      <c r="L991" s="292"/>
      <c r="M991" s="292"/>
      <c r="N991" s="292"/>
    </row>
    <row r="992" spans="1:14" x14ac:dyDescent="0.25">
      <c r="A992" s="297"/>
      <c r="B992" s="298"/>
      <c r="C992" s="291"/>
      <c r="D992" s="291"/>
      <c r="E992" s="291"/>
      <c r="F992" s="291"/>
      <c r="G992" s="291"/>
      <c r="H992" s="291"/>
      <c r="I992" s="291"/>
      <c r="J992" s="295"/>
      <c r="K992" s="292"/>
      <c r="L992" s="292"/>
      <c r="M992" s="292"/>
      <c r="N992" s="292"/>
    </row>
    <row r="993" spans="1:14" x14ac:dyDescent="0.25">
      <c r="A993" s="297"/>
      <c r="B993" s="298"/>
      <c r="C993" s="291"/>
      <c r="D993" s="291"/>
      <c r="E993" s="291"/>
      <c r="F993" s="291"/>
      <c r="G993" s="291"/>
      <c r="H993" s="291"/>
      <c r="I993" s="291"/>
      <c r="J993" s="295"/>
      <c r="K993" s="292"/>
      <c r="L993" s="292"/>
      <c r="M993" s="292"/>
      <c r="N993" s="292"/>
    </row>
    <row r="994" spans="1:14" x14ac:dyDescent="0.25">
      <c r="A994" s="297"/>
      <c r="B994" s="298"/>
      <c r="C994" s="291"/>
      <c r="D994" s="291"/>
      <c r="E994" s="291"/>
      <c r="F994" s="291"/>
      <c r="G994" s="291"/>
      <c r="H994" s="291"/>
      <c r="I994" s="291"/>
      <c r="J994" s="295"/>
      <c r="K994" s="292"/>
      <c r="L994" s="292"/>
      <c r="M994" s="292"/>
      <c r="N994" s="292"/>
    </row>
    <row r="995" spans="1:14" x14ac:dyDescent="0.25">
      <c r="A995" s="297"/>
      <c r="B995" s="298"/>
      <c r="C995" s="291"/>
      <c r="D995" s="291"/>
      <c r="E995" s="291"/>
      <c r="F995" s="291"/>
      <c r="G995" s="291"/>
      <c r="H995" s="291"/>
      <c r="I995" s="291"/>
      <c r="J995" s="295"/>
      <c r="K995" s="292"/>
      <c r="L995" s="292"/>
      <c r="M995" s="292"/>
      <c r="N995" s="292"/>
    </row>
    <row r="996" spans="1:14" x14ac:dyDescent="0.25">
      <c r="A996" s="297"/>
      <c r="B996" s="298"/>
      <c r="C996" s="291"/>
      <c r="D996" s="291"/>
      <c r="E996" s="291"/>
      <c r="F996" s="291"/>
      <c r="G996" s="291"/>
      <c r="H996" s="291"/>
      <c r="I996" s="291"/>
      <c r="J996" s="295"/>
      <c r="K996" s="292"/>
      <c r="L996" s="292"/>
      <c r="M996" s="292"/>
      <c r="N996" s="292"/>
    </row>
    <row r="997" spans="1:14" x14ac:dyDescent="0.25">
      <c r="A997" s="297"/>
      <c r="B997" s="298"/>
      <c r="C997" s="291"/>
      <c r="D997" s="291"/>
      <c r="E997" s="291"/>
      <c r="F997" s="291"/>
      <c r="G997" s="291"/>
      <c r="H997" s="291"/>
      <c r="I997" s="291"/>
      <c r="J997" s="295"/>
      <c r="K997" s="292"/>
      <c r="L997" s="292"/>
      <c r="M997" s="292"/>
      <c r="N997" s="292"/>
    </row>
    <row r="998" spans="1:14" x14ac:dyDescent="0.25">
      <c r="A998" s="297"/>
      <c r="B998" s="298"/>
      <c r="C998" s="291"/>
      <c r="D998" s="291"/>
      <c r="E998" s="291"/>
      <c r="F998" s="291"/>
      <c r="G998" s="291"/>
      <c r="H998" s="291"/>
      <c r="I998" s="291"/>
      <c r="J998" s="295"/>
      <c r="K998" s="292"/>
      <c r="L998" s="292"/>
      <c r="M998" s="292"/>
      <c r="N998" s="292"/>
    </row>
    <row r="999" spans="1:14" x14ac:dyDescent="0.25">
      <c r="A999" s="297"/>
      <c r="B999" s="298"/>
      <c r="C999" s="291"/>
      <c r="D999" s="291"/>
      <c r="E999" s="291"/>
      <c r="F999" s="291"/>
      <c r="G999" s="291"/>
      <c r="H999" s="291"/>
      <c r="I999" s="291"/>
      <c r="J999" s="295"/>
      <c r="K999" s="292"/>
      <c r="L999" s="292"/>
      <c r="M999" s="292"/>
      <c r="N999" s="292"/>
    </row>
    <row r="1000" spans="1:14" x14ac:dyDescent="0.25">
      <c r="A1000" s="297"/>
      <c r="B1000" s="298"/>
      <c r="C1000" s="291"/>
      <c r="D1000" s="291"/>
      <c r="E1000" s="291"/>
      <c r="F1000" s="291"/>
      <c r="G1000" s="291"/>
      <c r="H1000" s="291"/>
      <c r="I1000" s="291"/>
      <c r="J1000" s="295"/>
      <c r="K1000" s="292"/>
      <c r="L1000" s="292"/>
      <c r="M1000" s="292"/>
      <c r="N1000" s="292"/>
    </row>
    <row r="1001" spans="1:14" x14ac:dyDescent="0.25">
      <c r="A1001" s="297"/>
      <c r="B1001" s="298"/>
      <c r="C1001" s="291"/>
      <c r="D1001" s="291"/>
      <c r="E1001" s="291"/>
      <c r="F1001" s="291"/>
      <c r="G1001" s="291"/>
      <c r="H1001" s="291"/>
      <c r="I1001" s="291"/>
      <c r="J1001" s="295"/>
      <c r="K1001" s="292"/>
      <c r="L1001" s="292"/>
      <c r="M1001" s="292"/>
      <c r="N1001" s="292"/>
    </row>
    <row r="1002" spans="1:14" x14ac:dyDescent="0.25">
      <c r="A1002" s="297"/>
      <c r="B1002" s="298"/>
      <c r="C1002" s="291"/>
      <c r="D1002" s="291"/>
      <c r="E1002" s="291"/>
      <c r="F1002" s="291"/>
      <c r="G1002" s="291"/>
      <c r="H1002" s="291"/>
      <c r="I1002" s="291"/>
      <c r="J1002" s="295"/>
      <c r="K1002" s="292"/>
      <c r="L1002" s="292"/>
      <c r="M1002" s="292"/>
      <c r="N1002" s="292"/>
    </row>
    <row r="1003" spans="1:14" x14ac:dyDescent="0.25">
      <c r="A1003" s="297"/>
      <c r="B1003" s="298"/>
      <c r="C1003" s="291"/>
      <c r="D1003" s="291"/>
      <c r="E1003" s="291"/>
      <c r="F1003" s="291"/>
      <c r="G1003" s="291"/>
      <c r="H1003" s="291"/>
      <c r="I1003" s="291"/>
      <c r="J1003" s="295"/>
      <c r="K1003" s="292"/>
      <c r="L1003" s="292"/>
      <c r="M1003" s="292"/>
      <c r="N1003" s="292"/>
    </row>
    <row r="1004" spans="1:14" x14ac:dyDescent="0.25">
      <c r="A1004" s="297"/>
      <c r="B1004" s="298"/>
      <c r="C1004" s="291"/>
      <c r="D1004" s="291"/>
      <c r="E1004" s="291"/>
      <c r="F1004" s="291"/>
      <c r="G1004" s="291"/>
      <c r="H1004" s="291"/>
      <c r="I1004" s="291"/>
      <c r="J1004" s="295"/>
      <c r="K1004" s="292"/>
      <c r="L1004" s="292"/>
      <c r="M1004" s="292"/>
      <c r="N1004" s="292"/>
    </row>
    <row r="1005" spans="1:14" x14ac:dyDescent="0.25">
      <c r="A1005" s="297"/>
      <c r="B1005" s="298"/>
      <c r="C1005" s="291"/>
      <c r="D1005" s="291"/>
      <c r="E1005" s="291"/>
      <c r="F1005" s="291"/>
      <c r="G1005" s="291"/>
      <c r="H1005" s="291"/>
      <c r="I1005" s="291"/>
      <c r="J1005" s="295"/>
      <c r="K1005" s="292"/>
      <c r="L1005" s="292"/>
      <c r="M1005" s="292"/>
      <c r="N1005" s="292"/>
    </row>
    <row r="1006" spans="1:14" x14ac:dyDescent="0.25">
      <c r="A1006" s="297"/>
      <c r="B1006" s="298"/>
      <c r="C1006" s="291"/>
      <c r="D1006" s="291"/>
      <c r="E1006" s="291"/>
      <c r="F1006" s="291"/>
      <c r="G1006" s="291"/>
      <c r="H1006" s="291"/>
      <c r="I1006" s="291"/>
      <c r="J1006" s="295"/>
      <c r="K1006" s="292"/>
      <c r="L1006" s="292"/>
      <c r="M1006" s="292"/>
      <c r="N1006" s="292"/>
    </row>
  </sheetData>
  <mergeCells count="25">
    <mergeCell ref="J116:J122"/>
    <mergeCell ref="J123:J124"/>
    <mergeCell ref="J75:J87"/>
    <mergeCell ref="J89:J93"/>
    <mergeCell ref="J95:J96"/>
    <mergeCell ref="J98:J99"/>
    <mergeCell ref="J102:J103"/>
    <mergeCell ref="J108:J113"/>
    <mergeCell ref="J49:J73"/>
    <mergeCell ref="J5:J6"/>
    <mergeCell ref="J15:J16"/>
    <mergeCell ref="J17:J18"/>
    <mergeCell ref="J20:J24"/>
    <mergeCell ref="J26:J29"/>
    <mergeCell ref="J31:J47"/>
    <mergeCell ref="A1:B1"/>
    <mergeCell ref="F1:J1"/>
    <mergeCell ref="A2:J2"/>
    <mergeCell ref="A3:J3"/>
    <mergeCell ref="A5:A6"/>
    <mergeCell ref="B5:B6"/>
    <mergeCell ref="C5:C6"/>
    <mergeCell ref="D5:D6"/>
    <mergeCell ref="E5:E6"/>
    <mergeCell ref="F5:I5"/>
  </mergeCells>
  <pageMargins left="0.31496062992125984" right="0.11811023622047245" top="0.35433070866141736" bottom="0.35433070866141736" header="0.31496062992125984" footer="0.31496062992125984"/>
  <pageSetup paperSize="9" scale="6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4"/>
  <sheetViews>
    <sheetView zoomScale="107" zoomScaleNormal="107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88671875" style="220" customWidth="1"/>
    <col min="2" max="2" width="30.6640625" style="220" customWidth="1"/>
    <col min="3" max="3" width="11.109375" style="220" customWidth="1"/>
    <col min="4" max="4" width="17.5546875" style="220" customWidth="1"/>
    <col min="5" max="5" width="16.6640625" style="220" customWidth="1"/>
    <col min="6" max="9" width="12.21875" style="220" customWidth="1"/>
    <col min="10" max="10" width="8.88671875" style="17" customWidth="1"/>
    <col min="11" max="11" width="17.77734375" style="17" customWidth="1"/>
    <col min="12" max="13" width="8.88671875" style="17" customWidth="1"/>
    <col min="14" max="16384" width="11.21875" style="17"/>
  </cols>
  <sheetData>
    <row r="1" spans="1:17" ht="15" customHeight="1" x14ac:dyDescent="0.25">
      <c r="H1" s="422"/>
      <c r="I1" s="422"/>
    </row>
    <row r="2" spans="1:17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</row>
    <row r="3" spans="1:17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</row>
    <row r="4" spans="1:17" ht="16.5" x14ac:dyDescent="0.25">
      <c r="A4" s="418" t="s">
        <v>144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</row>
    <row r="5" spans="1:17" ht="16.5" x14ac:dyDescent="0.25">
      <c r="A5" s="430" t="str">
        <f>'PL 01'!A3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</row>
    <row r="6" spans="1:17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</row>
    <row r="7" spans="1:17" ht="37.15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09" t="s">
        <v>177</v>
      </c>
      <c r="F7" s="409"/>
      <c r="G7" s="409"/>
      <c r="H7" s="429"/>
      <c r="I7" s="409" t="s">
        <v>138</v>
      </c>
      <c r="J7" s="19"/>
      <c r="K7" s="45" t="s">
        <v>136</v>
      </c>
      <c r="L7" s="64">
        <v>70</v>
      </c>
      <c r="M7" s="22"/>
      <c r="N7" s="46"/>
      <c r="O7" s="46"/>
    </row>
    <row r="8" spans="1:17" ht="37.15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68" t="s">
        <v>179</v>
      </c>
      <c r="I8" s="409"/>
      <c r="J8" s="19"/>
      <c r="K8" s="45" t="s">
        <v>137</v>
      </c>
      <c r="L8" s="64">
        <v>238</v>
      </c>
      <c r="M8" s="22"/>
      <c r="N8" s="46"/>
      <c r="O8" s="46"/>
    </row>
    <row r="9" spans="1:17" s="23" customFormat="1" ht="32.450000000000003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108.93</v>
      </c>
      <c r="E9" s="182">
        <f t="shared" ref="E9:G9" si="0">E13+E28+E37+E43+E46+E67</f>
        <v>147.83000000000001</v>
      </c>
      <c r="F9" s="182">
        <f t="shared" si="0"/>
        <v>108.32000000000001</v>
      </c>
      <c r="G9" s="182">
        <f t="shared" si="0"/>
        <v>108.32000000000001</v>
      </c>
      <c r="H9" s="183">
        <f>F9/E9*100</f>
        <v>73.273354528850703</v>
      </c>
      <c r="I9" s="184"/>
      <c r="J9" s="103"/>
      <c r="K9" s="103"/>
      <c r="L9" s="103"/>
      <c r="M9" s="103"/>
    </row>
    <row r="10" spans="1:17" s="23" customFormat="1" ht="32.450000000000003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30.36</v>
      </c>
      <c r="F10" s="181">
        <f t="shared" si="1"/>
        <v>3.34</v>
      </c>
      <c r="G10" s="181">
        <f t="shared" si="1"/>
        <v>3.34</v>
      </c>
      <c r="H10" s="183">
        <f>F10/E10*100</f>
        <v>11.001317523056652</v>
      </c>
      <c r="I10" s="184"/>
      <c r="J10" s="103"/>
      <c r="K10" s="103"/>
      <c r="L10" s="103"/>
      <c r="M10" s="103"/>
    </row>
    <row r="11" spans="1:17" s="23" customFormat="1" ht="32.450000000000003" customHeight="1" x14ac:dyDescent="0.25">
      <c r="A11" s="2"/>
      <c r="B11" s="225" t="s">
        <v>14</v>
      </c>
      <c r="C11" s="2" t="s">
        <v>15</v>
      </c>
      <c r="D11" s="186">
        <f>D15+D30</f>
        <v>3.6850000000000001</v>
      </c>
      <c r="E11" s="186">
        <f t="shared" ref="E11:G11" si="2">E15+E30</f>
        <v>115.12368000000001</v>
      </c>
      <c r="F11" s="186">
        <f t="shared" si="2"/>
        <v>0</v>
      </c>
      <c r="G11" s="186">
        <f t="shared" si="2"/>
        <v>0</v>
      </c>
      <c r="H11" s="183"/>
      <c r="I11" s="188"/>
      <c r="J11" s="103"/>
      <c r="K11" s="103"/>
      <c r="L11" s="103"/>
      <c r="M11" s="103"/>
    </row>
    <row r="12" spans="1:17" s="23" customFormat="1" ht="32.450000000000003" customHeight="1" x14ac:dyDescent="0.25">
      <c r="A12" s="2"/>
      <c r="B12" s="225" t="s">
        <v>142</v>
      </c>
      <c r="C12" s="2" t="s">
        <v>15</v>
      </c>
      <c r="D12" s="186">
        <f>D15</f>
        <v>0</v>
      </c>
      <c r="E12" s="186">
        <f t="shared" ref="E12:G12" si="3">E15</f>
        <v>111.43368000000001</v>
      </c>
      <c r="F12" s="186">
        <f t="shared" si="3"/>
        <v>0</v>
      </c>
      <c r="G12" s="186">
        <f t="shared" si="3"/>
        <v>0</v>
      </c>
      <c r="H12" s="183"/>
      <c r="I12" s="188"/>
      <c r="J12" s="103"/>
      <c r="K12" s="103"/>
      <c r="L12" s="103"/>
      <c r="M12" s="103"/>
    </row>
    <row r="13" spans="1:17" ht="32.450000000000003" customHeight="1" x14ac:dyDescent="0.25">
      <c r="A13" s="2" t="s">
        <v>3</v>
      </c>
      <c r="B13" s="225" t="s">
        <v>17</v>
      </c>
      <c r="C13" s="2" t="s">
        <v>4</v>
      </c>
      <c r="D13" s="181">
        <f t="shared" ref="D13:G13" si="4">D16+D19</f>
        <v>0</v>
      </c>
      <c r="E13" s="181">
        <f t="shared" si="4"/>
        <v>29.36</v>
      </c>
      <c r="F13" s="181">
        <f t="shared" si="4"/>
        <v>2.34</v>
      </c>
      <c r="G13" s="181">
        <f t="shared" si="4"/>
        <v>2.34</v>
      </c>
      <c r="H13" s="183">
        <f t="shared" ref="H13:H74" si="5">F13/E13*100</f>
        <v>7.9700272479564029</v>
      </c>
      <c r="I13" s="184"/>
      <c r="J13" s="19"/>
      <c r="K13" s="19"/>
      <c r="L13" s="19"/>
      <c r="M13" s="19"/>
    </row>
    <row r="14" spans="1:17" ht="32.450000000000003" customHeight="1" x14ac:dyDescent="0.25">
      <c r="A14" s="2"/>
      <c r="B14" s="227" t="s">
        <v>139</v>
      </c>
      <c r="C14" s="4" t="s">
        <v>140</v>
      </c>
      <c r="D14" s="186"/>
      <c r="E14" s="186">
        <f>E15/E13*10</f>
        <v>37.954250681198914</v>
      </c>
      <c r="F14" s="186">
        <f t="shared" ref="F14:G14" si="6">F15/F13*10</f>
        <v>0</v>
      </c>
      <c r="G14" s="186">
        <f t="shared" si="6"/>
        <v>0</v>
      </c>
      <c r="H14" s="183"/>
      <c r="I14" s="188"/>
      <c r="J14" s="19"/>
      <c r="K14" s="19"/>
      <c r="L14" s="19"/>
      <c r="M14" s="19"/>
    </row>
    <row r="15" spans="1:17" ht="32.450000000000003" customHeight="1" x14ac:dyDescent="0.25">
      <c r="A15" s="2"/>
      <c r="B15" s="227" t="s">
        <v>141</v>
      </c>
      <c r="C15" s="4" t="s">
        <v>15</v>
      </c>
      <c r="D15" s="186">
        <f>D18+D21</f>
        <v>0</v>
      </c>
      <c r="E15" s="186">
        <f t="shared" ref="E15:G15" si="7">E18+E21</f>
        <v>111.43368000000001</v>
      </c>
      <c r="F15" s="186">
        <f t="shared" si="7"/>
        <v>0</v>
      </c>
      <c r="G15" s="186">
        <f t="shared" si="7"/>
        <v>0</v>
      </c>
      <c r="H15" s="183"/>
      <c r="I15" s="188"/>
      <c r="J15" s="19"/>
      <c r="K15" s="19"/>
      <c r="L15" s="19"/>
      <c r="M15" s="19"/>
    </row>
    <row r="16" spans="1:17" ht="32.450000000000003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2.34</v>
      </c>
      <c r="F16" s="181">
        <v>2.34</v>
      </c>
      <c r="G16" s="181">
        <v>2.34</v>
      </c>
      <c r="H16" s="183">
        <f t="shared" si="5"/>
        <v>100</v>
      </c>
      <c r="I16" s="188"/>
      <c r="J16" s="104"/>
      <c r="K16" s="104"/>
      <c r="L16" s="104"/>
      <c r="M16" s="104"/>
      <c r="N16" s="27"/>
      <c r="O16" s="27"/>
      <c r="P16" s="27"/>
      <c r="Q16" s="27"/>
    </row>
    <row r="17" spans="1:24" ht="32.450000000000003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/>
      <c r="G17" s="186">
        <v>0</v>
      </c>
      <c r="H17" s="183"/>
      <c r="I17" s="188"/>
      <c r="J17" s="104"/>
      <c r="K17" s="104"/>
      <c r="L17" s="104"/>
      <c r="M17" s="104"/>
      <c r="N17" s="27"/>
      <c r="O17" s="27"/>
      <c r="P17" s="27"/>
      <c r="Q17" s="27"/>
    </row>
    <row r="18" spans="1:24" ht="32.450000000000003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>E16*E17/10</f>
        <v>7.8390000000000004</v>
      </c>
      <c r="F18" s="186">
        <f t="shared" ref="F18:G18" si="8">F16*F17/10</f>
        <v>0</v>
      </c>
      <c r="G18" s="186">
        <f t="shared" si="8"/>
        <v>0</v>
      </c>
      <c r="H18" s="183"/>
      <c r="I18" s="188"/>
      <c r="J18" s="104"/>
      <c r="K18" s="104"/>
      <c r="L18" s="104"/>
      <c r="M18" s="104"/>
      <c r="N18" s="27"/>
      <c r="O18" s="27"/>
      <c r="P18" s="27"/>
      <c r="Q18" s="27"/>
    </row>
    <row r="19" spans="1:24" ht="32.450000000000003" customHeight="1" x14ac:dyDescent="0.25">
      <c r="A19" s="269" t="s">
        <v>20</v>
      </c>
      <c r="B19" s="270" t="s">
        <v>21</v>
      </c>
      <c r="C19" s="269" t="s">
        <v>4</v>
      </c>
      <c r="D19" s="181">
        <f>D22+D25</f>
        <v>0</v>
      </c>
      <c r="E19" s="181">
        <f>E22+E25</f>
        <v>27.02</v>
      </c>
      <c r="F19" s="181">
        <f t="shared" ref="F19:G19" si="9">F22+F25</f>
        <v>0</v>
      </c>
      <c r="G19" s="181">
        <f t="shared" si="9"/>
        <v>0</v>
      </c>
      <c r="H19" s="183">
        <f t="shared" si="5"/>
        <v>0</v>
      </c>
      <c r="I19" s="184"/>
      <c r="J19" s="20"/>
      <c r="K19" s="20"/>
      <c r="L19" s="20"/>
      <c r="M19" s="113"/>
      <c r="N19" s="25"/>
      <c r="O19" s="25"/>
      <c r="P19" s="25"/>
      <c r="Q19" s="25"/>
      <c r="R19" s="18"/>
      <c r="S19" s="25"/>
      <c r="T19" s="18"/>
    </row>
    <row r="20" spans="1:24" ht="32.450000000000003" customHeight="1" x14ac:dyDescent="0.25">
      <c r="A20" s="269"/>
      <c r="B20" s="227" t="s">
        <v>139</v>
      </c>
      <c r="C20" s="4" t="s">
        <v>140</v>
      </c>
      <c r="D20" s="186"/>
      <c r="E20" s="186">
        <f>E21/E19*10</f>
        <v>38.340000000000003</v>
      </c>
      <c r="F20" s="186"/>
      <c r="G20" s="186"/>
      <c r="H20" s="183">
        <f t="shared" si="5"/>
        <v>0</v>
      </c>
      <c r="I20" s="188"/>
      <c r="J20" s="20"/>
      <c r="K20" s="20"/>
      <c r="L20" s="20"/>
      <c r="M20" s="113"/>
      <c r="N20" s="25"/>
      <c r="O20" s="25"/>
      <c r="P20" s="25"/>
      <c r="Q20" s="25"/>
      <c r="R20" s="18"/>
      <c r="S20" s="25"/>
      <c r="T20" s="18"/>
    </row>
    <row r="21" spans="1:24" ht="32.450000000000003" customHeight="1" x14ac:dyDescent="0.25">
      <c r="A21" s="269"/>
      <c r="B21" s="227" t="s">
        <v>141</v>
      </c>
      <c r="C21" s="4" t="s">
        <v>15</v>
      </c>
      <c r="D21" s="186">
        <f>D24+D27</f>
        <v>0</v>
      </c>
      <c r="E21" s="186">
        <f t="shared" ref="E21:G21" si="10">E24+E27</f>
        <v>103.59468000000001</v>
      </c>
      <c r="F21" s="186">
        <f t="shared" si="10"/>
        <v>0</v>
      </c>
      <c r="G21" s="186">
        <f t="shared" si="10"/>
        <v>0</v>
      </c>
      <c r="H21" s="183">
        <f t="shared" si="5"/>
        <v>0</v>
      </c>
      <c r="I21" s="188"/>
      <c r="J21" s="20"/>
      <c r="K21" s="20"/>
      <c r="L21" s="20"/>
      <c r="M21" s="113"/>
      <c r="N21" s="25"/>
      <c r="O21" s="25"/>
      <c r="P21" s="25"/>
      <c r="Q21" s="25"/>
      <c r="R21" s="18"/>
      <c r="S21" s="25"/>
      <c r="T21" s="18"/>
    </row>
    <row r="22" spans="1:24" ht="32.450000000000003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27.02</v>
      </c>
      <c r="F22" s="186"/>
      <c r="G22" s="181"/>
      <c r="H22" s="183">
        <f t="shared" si="5"/>
        <v>0</v>
      </c>
      <c r="I22" s="188"/>
      <c r="J22" s="104"/>
      <c r="K22" s="104"/>
      <c r="L22" s="104"/>
      <c r="M22" s="144"/>
      <c r="N22" s="28"/>
      <c r="O22" s="28"/>
      <c r="P22" s="28"/>
      <c r="Q22" s="28"/>
      <c r="R22" s="27"/>
      <c r="S22" s="27"/>
      <c r="T22" s="18"/>
    </row>
    <row r="23" spans="1:24" ht="32.450000000000003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3">
        <f t="shared" si="5"/>
        <v>0</v>
      </c>
      <c r="I23" s="188"/>
      <c r="J23" s="104"/>
      <c r="K23" s="104"/>
      <c r="L23" s="104"/>
      <c r="M23" s="144"/>
      <c r="N23" s="28"/>
      <c r="O23" s="28"/>
      <c r="P23" s="28"/>
      <c r="Q23" s="28"/>
      <c r="R23" s="27"/>
      <c r="S23" s="27"/>
      <c r="T23" s="18"/>
    </row>
    <row r="24" spans="1:24" ht="32.450000000000003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>E22*E23/10</f>
        <v>103.59468000000001</v>
      </c>
      <c r="F24" s="186">
        <f t="shared" ref="F24:G24" si="11">F22*F23/10</f>
        <v>0</v>
      </c>
      <c r="G24" s="186">
        <f t="shared" si="11"/>
        <v>0</v>
      </c>
      <c r="H24" s="183">
        <f t="shared" si="5"/>
        <v>0</v>
      </c>
      <c r="I24" s="188"/>
      <c r="J24" s="104"/>
      <c r="K24" s="104"/>
      <c r="L24" s="104"/>
      <c r="M24" s="144"/>
      <c r="N24" s="28"/>
      <c r="O24" s="28"/>
      <c r="P24" s="28"/>
      <c r="Q24" s="28"/>
      <c r="R24" s="27"/>
      <c r="S24" s="27"/>
      <c r="T24" s="18"/>
    </row>
    <row r="25" spans="1:24" ht="32.450000000000003" customHeight="1" x14ac:dyDescent="0.25">
      <c r="A25" s="269" t="s">
        <v>22</v>
      </c>
      <c r="B25" s="270" t="s">
        <v>24</v>
      </c>
      <c r="C25" s="269" t="s">
        <v>4</v>
      </c>
      <c r="D25" s="181"/>
      <c r="E25" s="186"/>
      <c r="F25" s="186">
        <v>0</v>
      </c>
      <c r="G25" s="186">
        <v>0</v>
      </c>
      <c r="H25" s="183"/>
      <c r="I25" s="188"/>
      <c r="J25" s="20"/>
      <c r="K25" s="20"/>
      <c r="L25" s="20"/>
      <c r="M25" s="20"/>
      <c r="N25" s="18"/>
      <c r="O25" s="18"/>
    </row>
    <row r="26" spans="1:24" ht="32.450000000000003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3">
        <f t="shared" si="5"/>
        <v>0</v>
      </c>
      <c r="I26" s="188"/>
      <c r="J26" s="20"/>
      <c r="K26" s="20"/>
      <c r="L26" s="20"/>
      <c r="M26" s="20"/>
      <c r="N26" s="18"/>
      <c r="O26" s="18"/>
    </row>
    <row r="27" spans="1:24" ht="32.450000000000003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>E25*E26/10</f>
        <v>0</v>
      </c>
      <c r="F27" s="186">
        <f t="shared" ref="F27:G27" si="12">F25*F26/10</f>
        <v>0</v>
      </c>
      <c r="G27" s="186">
        <f t="shared" si="12"/>
        <v>0</v>
      </c>
      <c r="H27" s="183"/>
      <c r="I27" s="188"/>
      <c r="J27" s="20"/>
      <c r="K27" s="20"/>
      <c r="L27" s="20"/>
      <c r="M27" s="20"/>
      <c r="N27" s="18"/>
      <c r="O27" s="18"/>
    </row>
    <row r="28" spans="1:24" ht="32.450000000000003" customHeight="1" x14ac:dyDescent="0.25">
      <c r="A28" s="2" t="s">
        <v>5</v>
      </c>
      <c r="B28" s="225" t="s">
        <v>25</v>
      </c>
      <c r="C28" s="2" t="s">
        <v>4</v>
      </c>
      <c r="D28" s="181">
        <f>D31+D34</f>
        <v>1</v>
      </c>
      <c r="E28" s="181">
        <f t="shared" ref="E28:G28" si="13">E31+E34</f>
        <v>1</v>
      </c>
      <c r="F28" s="181">
        <f t="shared" si="13"/>
        <v>1</v>
      </c>
      <c r="G28" s="181">
        <f t="shared" si="13"/>
        <v>1</v>
      </c>
      <c r="H28" s="183">
        <f t="shared" si="5"/>
        <v>100</v>
      </c>
      <c r="I28" s="184"/>
      <c r="J28" s="47"/>
      <c r="K28" s="47"/>
      <c r="L28" s="47"/>
      <c r="M28" s="47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4" ht="32.450000000000003" customHeight="1" x14ac:dyDescent="0.25">
      <c r="A29" s="2"/>
      <c r="B29" s="227" t="s">
        <v>139</v>
      </c>
      <c r="C29" s="4" t="s">
        <v>140</v>
      </c>
      <c r="D29" s="186">
        <f>D30/D28*10</f>
        <v>36.85</v>
      </c>
      <c r="E29" s="186">
        <f>E30/E28*10</f>
        <v>36.9</v>
      </c>
      <c r="F29" s="186"/>
      <c r="G29" s="186"/>
      <c r="H29" s="183">
        <f t="shared" si="5"/>
        <v>0</v>
      </c>
      <c r="I29" s="188"/>
      <c r="J29" s="47"/>
      <c r="K29" s="47"/>
      <c r="L29" s="47"/>
      <c r="M29" s="47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1:24" ht="32.450000000000003" customHeight="1" x14ac:dyDescent="0.25">
      <c r="A30" s="2"/>
      <c r="B30" s="227" t="s">
        <v>141</v>
      </c>
      <c r="C30" s="4" t="s">
        <v>15</v>
      </c>
      <c r="D30" s="186">
        <f>D33+D36</f>
        <v>3.6850000000000001</v>
      </c>
      <c r="E30" s="186">
        <f t="shared" ref="E30:G30" si="14">E33+E36</f>
        <v>3.69</v>
      </c>
      <c r="F30" s="186">
        <f t="shared" si="14"/>
        <v>0</v>
      </c>
      <c r="G30" s="186">
        <f t="shared" si="14"/>
        <v>0</v>
      </c>
      <c r="H30" s="183">
        <f t="shared" si="5"/>
        <v>0</v>
      </c>
      <c r="I30" s="188"/>
      <c r="J30" s="47"/>
      <c r="K30" s="106"/>
      <c r="L30" s="47"/>
      <c r="M30" s="47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  <row r="31" spans="1:24" ht="32.450000000000003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>
        <v>0</v>
      </c>
      <c r="G31" s="181">
        <v>0</v>
      </c>
      <c r="H31" s="183"/>
      <c r="I31" s="184"/>
      <c r="J31" s="47"/>
      <c r="K31" s="47"/>
      <c r="L31" s="47"/>
      <c r="M31" s="47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32.450000000000003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3"/>
      <c r="I32" s="184"/>
      <c r="J32" s="47"/>
      <c r="K32" s="47"/>
      <c r="L32" s="47"/>
      <c r="M32" s="47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</row>
    <row r="33" spans="1:24" ht="32.450000000000003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3"/>
      <c r="I33" s="184"/>
      <c r="J33" s="47"/>
      <c r="K33" s="47"/>
      <c r="L33" s="47"/>
      <c r="M33" s="47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</row>
    <row r="34" spans="1:24" ht="32.450000000000003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3">
        <f t="shared" si="5"/>
        <v>100</v>
      </c>
      <c r="I34" s="188"/>
      <c r="J34" s="47"/>
      <c r="K34" s="47"/>
      <c r="L34" s="47"/>
      <c r="M34" s="47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 ht="32.450000000000003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3">
        <f t="shared" si="5"/>
        <v>0</v>
      </c>
      <c r="I35" s="188"/>
      <c r="J35" s="47"/>
      <c r="K35" s="47"/>
      <c r="L35" s="47"/>
      <c r="M35" s="47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spans="1:24" ht="32.450000000000003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5">E34*E35/10</f>
        <v>3.69</v>
      </c>
      <c r="F36" s="186">
        <f t="shared" si="15"/>
        <v>0</v>
      </c>
      <c r="G36" s="186">
        <f t="shared" si="15"/>
        <v>0</v>
      </c>
      <c r="H36" s="183">
        <f t="shared" si="5"/>
        <v>0</v>
      </c>
      <c r="I36" s="188"/>
      <c r="J36" s="47"/>
      <c r="K36" s="47"/>
      <c r="L36" s="47"/>
      <c r="M36" s="47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32.450000000000003" customHeight="1" x14ac:dyDescent="0.25">
      <c r="A37" s="2">
        <v>2</v>
      </c>
      <c r="B37" s="225" t="s">
        <v>28</v>
      </c>
      <c r="C37" s="2" t="s">
        <v>4</v>
      </c>
      <c r="D37" s="181"/>
      <c r="E37" s="181">
        <v>1.85</v>
      </c>
      <c r="F37" s="181">
        <v>1.9</v>
      </c>
      <c r="G37" s="181">
        <v>1.9</v>
      </c>
      <c r="H37" s="183">
        <f t="shared" si="5"/>
        <v>102.70270270270269</v>
      </c>
      <c r="I37" s="184"/>
      <c r="J37" s="47"/>
      <c r="K37" s="26"/>
      <c r="L37" s="24"/>
      <c r="M37" s="26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ht="32.450000000000003" customHeight="1" x14ac:dyDescent="0.25">
      <c r="A38" s="2"/>
      <c r="B38" s="227" t="s">
        <v>139</v>
      </c>
      <c r="C38" s="4" t="s">
        <v>140</v>
      </c>
      <c r="D38" s="181"/>
      <c r="E38" s="186">
        <v>140</v>
      </c>
      <c r="F38" s="181"/>
      <c r="G38" s="181"/>
      <c r="H38" s="183">
        <f t="shared" si="5"/>
        <v>0</v>
      </c>
      <c r="I38" s="184"/>
      <c r="J38" s="47"/>
      <c r="K38" s="47"/>
      <c r="L38" s="47"/>
      <c r="M38" s="47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spans="1:24" ht="32.450000000000003" customHeight="1" x14ac:dyDescent="0.25">
      <c r="A39" s="2"/>
      <c r="B39" s="227" t="s">
        <v>141</v>
      </c>
      <c r="C39" s="4" t="s">
        <v>15</v>
      </c>
      <c r="D39" s="186">
        <f>D37*D38/10</f>
        <v>0</v>
      </c>
      <c r="E39" s="186">
        <f>E37*E38/10</f>
        <v>25.9</v>
      </c>
      <c r="F39" s="186">
        <f t="shared" ref="F39:G39" si="16">F37*F38/10</f>
        <v>0</v>
      </c>
      <c r="G39" s="186">
        <f t="shared" si="16"/>
        <v>0</v>
      </c>
      <c r="H39" s="183">
        <f t="shared" si="5"/>
        <v>0</v>
      </c>
      <c r="I39" s="184"/>
      <c r="J39" s="47"/>
      <c r="K39" s="47"/>
      <c r="L39" s="47"/>
      <c r="M39" s="47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ht="32.450000000000003" customHeight="1" x14ac:dyDescent="0.25">
      <c r="A40" s="2">
        <v>3</v>
      </c>
      <c r="B40" s="223" t="s">
        <v>162</v>
      </c>
      <c r="C40" s="222" t="s">
        <v>4</v>
      </c>
      <c r="D40" s="184"/>
      <c r="E40" s="184">
        <v>0.5</v>
      </c>
      <c r="F40" s="181">
        <v>0</v>
      </c>
      <c r="G40" s="181"/>
      <c r="H40" s="183">
        <f t="shared" si="5"/>
        <v>0</v>
      </c>
      <c r="I40" s="184"/>
      <c r="J40" s="47"/>
      <c r="K40" s="47"/>
      <c r="L40" s="47"/>
      <c r="M40" s="47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spans="1:24" ht="32.450000000000003" customHeight="1" x14ac:dyDescent="0.25">
      <c r="A41" s="2"/>
      <c r="B41" s="227" t="s">
        <v>139</v>
      </c>
      <c r="C41" s="4" t="s">
        <v>140</v>
      </c>
      <c r="D41" s="188"/>
      <c r="E41" s="188">
        <v>24.1</v>
      </c>
      <c r="F41" s="181"/>
      <c r="G41" s="181"/>
      <c r="H41" s="183">
        <f t="shared" si="5"/>
        <v>0</v>
      </c>
      <c r="I41" s="184"/>
      <c r="J41" s="47"/>
      <c r="K41" s="47"/>
      <c r="L41" s="47"/>
      <c r="M41" s="47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 ht="32.450000000000003" customHeight="1" x14ac:dyDescent="0.25">
      <c r="A42" s="2"/>
      <c r="B42" s="236" t="s">
        <v>141</v>
      </c>
      <c r="C42" s="237" t="s">
        <v>15</v>
      </c>
      <c r="D42" s="188"/>
      <c r="E42" s="188">
        <f>E40*E41/10</f>
        <v>1.2050000000000001</v>
      </c>
      <c r="F42" s="188">
        <f t="shared" ref="F42:G42" si="17">F40*F41/10</f>
        <v>0</v>
      </c>
      <c r="G42" s="188">
        <f t="shared" si="17"/>
        <v>0</v>
      </c>
      <c r="H42" s="183">
        <f t="shared" si="5"/>
        <v>0</v>
      </c>
      <c r="I42" s="184"/>
      <c r="J42" s="47"/>
      <c r="K42" s="47"/>
      <c r="L42" s="47"/>
      <c r="M42" s="47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</row>
    <row r="43" spans="1:24" ht="32.450000000000003" customHeight="1" x14ac:dyDescent="0.25">
      <c r="A43" s="2">
        <v>4</v>
      </c>
      <c r="B43" s="225" t="s">
        <v>163</v>
      </c>
      <c r="C43" s="2" t="s">
        <v>4</v>
      </c>
      <c r="D43" s="181"/>
      <c r="E43" s="181">
        <v>0.5</v>
      </c>
      <c r="F43" s="181">
        <v>0.27</v>
      </c>
      <c r="G43" s="181">
        <f>F43</f>
        <v>0.27</v>
      </c>
      <c r="H43" s="183">
        <f t="shared" si="5"/>
        <v>54</v>
      </c>
      <c r="I43" s="184"/>
      <c r="J43" s="26"/>
      <c r="K43" s="24"/>
      <c r="L43" s="47"/>
      <c r="M43" s="47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spans="1:24" ht="32.450000000000003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3">
        <f t="shared" si="5"/>
        <v>0</v>
      </c>
      <c r="I44" s="188"/>
      <c r="J44" s="47"/>
      <c r="K44" s="47"/>
      <c r="L44" s="47"/>
      <c r="M44" s="47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32.450000000000003" customHeight="1" x14ac:dyDescent="0.25">
      <c r="A45" s="4"/>
      <c r="B45" s="236" t="s">
        <v>141</v>
      </c>
      <c r="C45" s="237" t="s">
        <v>15</v>
      </c>
      <c r="D45" s="186">
        <f>D43*D44/10</f>
        <v>0</v>
      </c>
      <c r="E45" s="186">
        <f>E43*E44/10</f>
        <v>4.9249999999999998</v>
      </c>
      <c r="F45" s="186">
        <f t="shared" ref="F45:G45" si="18">F43*F44/10</f>
        <v>0</v>
      </c>
      <c r="G45" s="186">
        <f t="shared" si="18"/>
        <v>0</v>
      </c>
      <c r="H45" s="183">
        <f t="shared" si="5"/>
        <v>0</v>
      </c>
      <c r="I45" s="188"/>
      <c r="J45" s="47"/>
      <c r="K45" s="47"/>
      <c r="L45" s="47"/>
      <c r="M45" s="47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</row>
    <row r="46" spans="1:24" ht="32.450000000000003" customHeight="1" x14ac:dyDescent="0.25">
      <c r="A46" s="2">
        <v>5</v>
      </c>
      <c r="B46" s="225" t="s">
        <v>30</v>
      </c>
      <c r="C46" s="2" t="s">
        <v>4</v>
      </c>
      <c r="D46" s="181">
        <f>D47+D55+D64</f>
        <v>85.92</v>
      </c>
      <c r="E46" s="181">
        <f t="shared" ref="E46:G46" si="19">E47+E55+E64</f>
        <v>94.820000000000007</v>
      </c>
      <c r="F46" s="181">
        <f t="shared" si="19"/>
        <v>86.22</v>
      </c>
      <c r="G46" s="181">
        <f t="shared" si="19"/>
        <v>86.22</v>
      </c>
      <c r="H46" s="183">
        <f t="shared" si="5"/>
        <v>90.93018350558954</v>
      </c>
      <c r="I46" s="184"/>
      <c r="J46" s="47"/>
      <c r="K46" s="47"/>
      <c r="L46" s="47"/>
      <c r="M46" s="47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32.450000000000003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81.42</v>
      </c>
      <c r="E47" s="181">
        <f>E48+E49</f>
        <v>89.42</v>
      </c>
      <c r="F47" s="181">
        <f t="shared" ref="F47:G47" si="20">F48+F49</f>
        <v>81.42</v>
      </c>
      <c r="G47" s="181">
        <f t="shared" si="20"/>
        <v>81.42</v>
      </c>
      <c r="H47" s="183">
        <f t="shared" si="5"/>
        <v>91.053455602773425</v>
      </c>
      <c r="I47" s="184"/>
      <c r="J47" s="47"/>
      <c r="K47" s="47"/>
      <c r="L47" s="47"/>
      <c r="M47" s="47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 ht="32.450000000000003" customHeight="1" x14ac:dyDescent="0.25">
      <c r="A48" s="5" t="s">
        <v>22</v>
      </c>
      <c r="B48" s="273" t="s">
        <v>117</v>
      </c>
      <c r="C48" s="274" t="s">
        <v>4</v>
      </c>
      <c r="D48" s="186">
        <v>70.05</v>
      </c>
      <c r="E48" s="186">
        <f>D48+D49</f>
        <v>81.42</v>
      </c>
      <c r="F48" s="186">
        <v>81.42</v>
      </c>
      <c r="G48" s="186">
        <v>81.42</v>
      </c>
      <c r="H48" s="215">
        <f t="shared" si="5"/>
        <v>100</v>
      </c>
      <c r="I48" s="188"/>
      <c r="J48" s="8"/>
      <c r="K48" s="8"/>
      <c r="L48" s="8"/>
      <c r="M48" s="8"/>
      <c r="N48" s="11"/>
      <c r="O48" s="11"/>
      <c r="P48" s="11"/>
      <c r="Q48" s="11"/>
      <c r="R48" s="30"/>
      <c r="S48" s="30"/>
      <c r="T48" s="30"/>
      <c r="U48" s="30"/>
      <c r="V48" s="30"/>
      <c r="W48" s="30"/>
      <c r="X48" s="30"/>
    </row>
    <row r="49" spans="1:24" s="23" customFormat="1" ht="32.450000000000003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11.37</v>
      </c>
      <c r="E49" s="181">
        <f>E50+E51</f>
        <v>8</v>
      </c>
      <c r="F49" s="181">
        <f t="shared" ref="F49:G49" si="21">F50+F51</f>
        <v>0</v>
      </c>
      <c r="G49" s="181">
        <f t="shared" si="21"/>
        <v>0</v>
      </c>
      <c r="H49" s="183">
        <f t="shared" si="5"/>
        <v>0</v>
      </c>
      <c r="I49" s="184"/>
      <c r="J49" s="118"/>
      <c r="K49" s="118"/>
      <c r="L49" s="118"/>
      <c r="M49" s="118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 ht="32.450000000000003" customHeight="1" x14ac:dyDescent="0.25">
      <c r="A50" s="274" t="s">
        <v>16</v>
      </c>
      <c r="B50" s="276" t="s">
        <v>115</v>
      </c>
      <c r="C50" s="274" t="s">
        <v>4</v>
      </c>
      <c r="D50" s="186">
        <v>11.37</v>
      </c>
      <c r="E50" s="186">
        <v>8</v>
      </c>
      <c r="F50" s="186">
        <v>0</v>
      </c>
      <c r="G50" s="186">
        <v>0</v>
      </c>
      <c r="H50" s="183">
        <f t="shared" si="5"/>
        <v>0</v>
      </c>
      <c r="I50" s="188"/>
      <c r="J50" s="26"/>
      <c r="K50" s="47"/>
      <c r="L50" s="47"/>
      <c r="M50" s="47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</row>
    <row r="51" spans="1:24" ht="32.450000000000003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3"/>
      <c r="I51" s="188"/>
      <c r="J51" s="47"/>
      <c r="K51" s="47"/>
      <c r="L51" s="47"/>
      <c r="M51" s="47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</row>
    <row r="52" spans="1:24" s="23" customFormat="1" ht="32.450000000000003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36.53</v>
      </c>
      <c r="E52" s="181">
        <f>E53+E54</f>
        <v>59.54</v>
      </c>
      <c r="F52" s="181">
        <f t="shared" ref="F52:G52" si="22">F53+F54</f>
        <v>59.54</v>
      </c>
      <c r="G52" s="181">
        <f t="shared" si="22"/>
        <v>59.54</v>
      </c>
      <c r="H52" s="183">
        <f t="shared" si="5"/>
        <v>100</v>
      </c>
      <c r="I52" s="184"/>
      <c r="J52" s="118"/>
      <c r="K52" s="21"/>
      <c r="L52" s="21"/>
      <c r="M52" s="21"/>
      <c r="N52" s="21"/>
      <c r="O52" s="21"/>
      <c r="P52" s="21"/>
      <c r="Q52" s="35"/>
      <c r="R52" s="35"/>
      <c r="S52" s="35"/>
      <c r="T52" s="35"/>
      <c r="U52" s="35"/>
      <c r="V52" s="35"/>
      <c r="W52" s="35"/>
      <c r="X52" s="35"/>
    </row>
    <row r="53" spans="1:24" ht="32.450000000000003" customHeight="1" x14ac:dyDescent="0.25">
      <c r="A53" s="277" t="s">
        <v>16</v>
      </c>
      <c r="B53" s="276" t="s">
        <v>119</v>
      </c>
      <c r="C53" s="4" t="s">
        <v>4</v>
      </c>
      <c r="D53" s="186">
        <f>45.53-14</f>
        <v>31.53</v>
      </c>
      <c r="E53" s="186">
        <v>59.54</v>
      </c>
      <c r="F53" s="186">
        <v>59.54</v>
      </c>
      <c r="G53" s="186">
        <v>59.54</v>
      </c>
      <c r="H53" s="215">
        <f t="shared" si="5"/>
        <v>100</v>
      </c>
      <c r="I53" s="188"/>
      <c r="J53" s="47"/>
      <c r="K53" s="106"/>
      <c r="L53" s="106"/>
      <c r="M53" s="106"/>
      <c r="N53" s="31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1:24" ht="32.450000000000003" customHeight="1" x14ac:dyDescent="0.25">
      <c r="A54" s="4"/>
      <c r="B54" s="276" t="s">
        <v>120</v>
      </c>
      <c r="C54" s="4" t="s">
        <v>4</v>
      </c>
      <c r="D54" s="186">
        <v>5</v>
      </c>
      <c r="E54" s="186"/>
      <c r="F54" s="186"/>
      <c r="G54" s="186"/>
      <c r="H54" s="183"/>
      <c r="I54" s="188"/>
      <c r="J54" s="47"/>
      <c r="K54" s="47"/>
      <c r="L54" s="47"/>
      <c r="M54" s="47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</row>
    <row r="55" spans="1:24" ht="32.450000000000003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>E56+E57</f>
        <v>5.4</v>
      </c>
      <c r="F55" s="181">
        <f>F56+F57</f>
        <v>4.8</v>
      </c>
      <c r="G55" s="181">
        <f t="shared" ref="G55" si="23">G56+G57</f>
        <v>4.8</v>
      </c>
      <c r="H55" s="183">
        <f t="shared" si="5"/>
        <v>88.888888888888886</v>
      </c>
      <c r="I55" s="184"/>
      <c r="J55" s="47"/>
      <c r="K55" s="47"/>
      <c r="L55" s="47"/>
      <c r="M55" s="47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</row>
    <row r="56" spans="1:24" ht="32.450000000000003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v>4.8</v>
      </c>
      <c r="F56" s="186">
        <v>4.8</v>
      </c>
      <c r="G56" s="186">
        <v>4.8</v>
      </c>
      <c r="H56" s="215">
        <f t="shared" si="5"/>
        <v>100</v>
      </c>
      <c r="I56" s="188"/>
      <c r="J56" s="47"/>
      <c r="K56" s="47"/>
      <c r="L56" s="47"/>
      <c r="M56" s="47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1:24" ht="32.450000000000003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>E58+E61</f>
        <v>0.60000000000000009</v>
      </c>
      <c r="F57" s="186">
        <f t="shared" ref="F57" si="24">F58+F61</f>
        <v>0</v>
      </c>
      <c r="G57" s="186">
        <v>0</v>
      </c>
      <c r="H57" s="183">
        <f t="shared" si="5"/>
        <v>0</v>
      </c>
      <c r="I57" s="188"/>
      <c r="J57" s="47"/>
      <c r="K57" s="47"/>
      <c r="L57" s="47"/>
      <c r="M57" s="47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</row>
    <row r="58" spans="1:24" s="41" customFormat="1" ht="32.450000000000003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5">E59+E60</f>
        <v>0.30000000000000004</v>
      </c>
      <c r="F58" s="189">
        <f t="shared" si="25"/>
        <v>0</v>
      </c>
      <c r="G58" s="189">
        <f t="shared" si="25"/>
        <v>0</v>
      </c>
      <c r="H58" s="183">
        <f t="shared" si="5"/>
        <v>0</v>
      </c>
      <c r="I58" s="191"/>
      <c r="J58" s="34"/>
      <c r="K58" s="34"/>
      <c r="L58" s="34"/>
      <c r="M58" s="34"/>
      <c r="N58" s="34"/>
      <c r="O58" s="48"/>
      <c r="P58" s="48"/>
      <c r="Q58" s="48"/>
      <c r="R58" s="48"/>
      <c r="S58" s="48"/>
      <c r="T58" s="48"/>
      <c r="U58" s="48"/>
      <c r="V58" s="48"/>
      <c r="W58" s="48"/>
      <c r="X58" s="48"/>
    </row>
    <row r="59" spans="1:24" ht="32.450000000000003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3">
        <f t="shared" si="5"/>
        <v>0</v>
      </c>
      <c r="I59" s="188"/>
      <c r="J59" s="6"/>
      <c r="K59" s="6"/>
      <c r="L59" s="6"/>
      <c r="M59" s="6"/>
      <c r="N59" s="6"/>
      <c r="O59" s="30"/>
      <c r="P59" s="30"/>
      <c r="Q59" s="30"/>
      <c r="R59" s="30"/>
      <c r="S59" s="30"/>
      <c r="T59" s="30"/>
      <c r="U59" s="30"/>
      <c r="V59" s="30"/>
      <c r="W59" s="30"/>
      <c r="X59" s="30"/>
    </row>
    <row r="60" spans="1:24" ht="32.450000000000003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3">
        <f t="shared" si="5"/>
        <v>0</v>
      </c>
      <c r="I60" s="188"/>
      <c r="J60" s="6"/>
      <c r="K60" s="6"/>
      <c r="L60" s="6"/>
      <c r="M60" s="6"/>
      <c r="N60" s="6"/>
      <c r="O60" s="30"/>
      <c r="P60" s="30"/>
      <c r="Q60" s="30"/>
      <c r="R60" s="30"/>
      <c r="S60" s="30"/>
      <c r="T60" s="30"/>
      <c r="U60" s="30"/>
      <c r="V60" s="30"/>
      <c r="W60" s="30"/>
      <c r="X60" s="30"/>
    </row>
    <row r="61" spans="1:24" s="41" customFormat="1" ht="32.450000000000003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>E62+E63</f>
        <v>0.30000000000000004</v>
      </c>
      <c r="F61" s="189">
        <f t="shared" ref="F61:G61" si="26">F62+F63</f>
        <v>0</v>
      </c>
      <c r="G61" s="189">
        <f t="shared" si="26"/>
        <v>0</v>
      </c>
      <c r="H61" s="183">
        <f t="shared" si="5"/>
        <v>0</v>
      </c>
      <c r="I61" s="191"/>
      <c r="J61" s="6"/>
      <c r="K61" s="108"/>
      <c r="L61" s="108"/>
      <c r="M61" s="10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</row>
    <row r="62" spans="1:24" ht="32.450000000000003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0.2</v>
      </c>
      <c r="F62" s="186">
        <v>0</v>
      </c>
      <c r="G62" s="186">
        <v>0</v>
      </c>
      <c r="H62" s="183">
        <f t="shared" si="5"/>
        <v>0</v>
      </c>
      <c r="I62" s="188"/>
      <c r="J62" s="6"/>
      <c r="K62" s="6"/>
      <c r="L62" s="6"/>
      <c r="M62" s="6"/>
      <c r="N62" s="6"/>
      <c r="O62" s="30"/>
      <c r="P62" s="30"/>
      <c r="Q62" s="30"/>
      <c r="R62" s="30"/>
      <c r="S62" s="30"/>
      <c r="T62" s="30"/>
      <c r="U62" s="30"/>
      <c r="V62" s="30"/>
      <c r="W62" s="30"/>
      <c r="X62" s="30"/>
    </row>
    <row r="63" spans="1:24" ht="32.450000000000003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3">
        <f t="shared" si="5"/>
        <v>0</v>
      </c>
      <c r="I63" s="188"/>
      <c r="J63" s="6"/>
      <c r="K63" s="6"/>
      <c r="L63" s="6"/>
      <c r="M63" s="6"/>
      <c r="N63" s="6"/>
      <c r="O63" s="30"/>
      <c r="P63" s="30"/>
      <c r="Q63" s="30"/>
      <c r="R63" s="30"/>
      <c r="S63" s="30"/>
      <c r="T63" s="30"/>
      <c r="U63" s="30"/>
      <c r="V63" s="30"/>
      <c r="W63" s="30"/>
      <c r="X63" s="30"/>
    </row>
    <row r="64" spans="1:24" ht="32.450000000000003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>E65+E66</f>
        <v>0</v>
      </c>
      <c r="F64" s="181">
        <f t="shared" ref="F64:G64" si="27">F65+F66</f>
        <v>0</v>
      </c>
      <c r="G64" s="181">
        <f t="shared" si="27"/>
        <v>0</v>
      </c>
      <c r="H64" s="215"/>
      <c r="I64" s="184"/>
      <c r="J64" s="47"/>
      <c r="K64" s="47"/>
      <c r="L64" s="47"/>
      <c r="M64" s="47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</row>
    <row r="65" spans="1:24" ht="32.450000000000003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3"/>
      <c r="I65" s="188"/>
      <c r="J65" s="47"/>
      <c r="K65" s="47"/>
      <c r="L65" s="47"/>
      <c r="M65" s="47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</row>
    <row r="66" spans="1:24" ht="32.450000000000003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3"/>
      <c r="I66" s="188"/>
      <c r="J66" s="47"/>
      <c r="K66" s="47"/>
      <c r="L66" s="47"/>
      <c r="M66" s="47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</row>
    <row r="67" spans="1:24" ht="32.450000000000003" customHeight="1" x14ac:dyDescent="0.25">
      <c r="A67" s="2">
        <v>6</v>
      </c>
      <c r="B67" s="225" t="s">
        <v>36</v>
      </c>
      <c r="C67" s="2" t="s">
        <v>4</v>
      </c>
      <c r="D67" s="181">
        <f>D68+D71</f>
        <v>22.01</v>
      </c>
      <c r="E67" s="181">
        <f t="shared" ref="E67:G67" si="28">E68+E71</f>
        <v>20.300000000000004</v>
      </c>
      <c r="F67" s="181">
        <f>F68+F71</f>
        <v>16.590000000000003</v>
      </c>
      <c r="G67" s="181">
        <f t="shared" si="28"/>
        <v>16.590000000000003</v>
      </c>
      <c r="H67" s="183">
        <f t="shared" si="5"/>
        <v>81.724137931034477</v>
      </c>
      <c r="I67" s="184"/>
      <c r="J67" s="47"/>
      <c r="K67" s="47"/>
      <c r="L67" s="47"/>
      <c r="M67" s="47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</row>
    <row r="68" spans="1:24" ht="32.450000000000003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0.35000000000000003</v>
      </c>
      <c r="E68" s="181">
        <f>E69+E70</f>
        <v>3.35</v>
      </c>
      <c r="F68" s="181">
        <f>F69+F70</f>
        <v>0.35</v>
      </c>
      <c r="G68" s="181">
        <f t="shared" ref="G68" si="29">G69+G70</f>
        <v>0.35</v>
      </c>
      <c r="H68" s="183">
        <f t="shared" si="5"/>
        <v>10.44776119402985</v>
      </c>
      <c r="I68" s="184"/>
      <c r="J68" s="106"/>
      <c r="K68" s="47"/>
      <c r="L68" s="47"/>
      <c r="M68" s="47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</row>
    <row r="69" spans="1:24" ht="32.450000000000003" customHeight="1" x14ac:dyDescent="0.25">
      <c r="A69" s="4" t="s">
        <v>16</v>
      </c>
      <c r="B69" s="273" t="s">
        <v>126</v>
      </c>
      <c r="C69" s="4" t="s">
        <v>4</v>
      </c>
      <c r="D69" s="186">
        <f>0.05+0.23</f>
        <v>0.28000000000000003</v>
      </c>
      <c r="E69" s="186">
        <f>D69+D70</f>
        <v>0.35000000000000003</v>
      </c>
      <c r="F69" s="186">
        <v>0.35</v>
      </c>
      <c r="G69" s="186">
        <v>0.35</v>
      </c>
      <c r="H69" s="215">
        <f t="shared" si="5"/>
        <v>99.999999999999986</v>
      </c>
      <c r="I69" s="188"/>
      <c r="J69" s="47"/>
      <c r="K69" s="47"/>
      <c r="L69" s="47"/>
      <c r="M69" s="47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</row>
    <row r="70" spans="1:24" ht="32.450000000000003" customHeight="1" x14ac:dyDescent="0.25">
      <c r="A70" s="4" t="s">
        <v>16</v>
      </c>
      <c r="B70" s="273" t="s">
        <v>127</v>
      </c>
      <c r="C70" s="4" t="s">
        <v>4</v>
      </c>
      <c r="D70" s="186">
        <v>7.0000000000000007E-2</v>
      </c>
      <c r="E70" s="186">
        <v>3</v>
      </c>
      <c r="F70" s="186"/>
      <c r="G70" s="186"/>
      <c r="H70" s="183">
        <f t="shared" si="5"/>
        <v>0</v>
      </c>
      <c r="I70" s="188"/>
      <c r="J70" s="47"/>
      <c r="K70" s="47"/>
      <c r="L70" s="47"/>
      <c r="M70" s="47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</row>
    <row r="71" spans="1:24" ht="32.450000000000003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21.66</v>
      </c>
      <c r="E71" s="181">
        <f t="shared" ref="E71:G71" si="30">E72+E73</f>
        <v>16.950000000000003</v>
      </c>
      <c r="F71" s="181">
        <f t="shared" si="30"/>
        <v>16.240000000000002</v>
      </c>
      <c r="G71" s="181">
        <f t="shared" si="30"/>
        <v>16.240000000000002</v>
      </c>
      <c r="H71" s="183">
        <f t="shared" si="5"/>
        <v>95.811209439528028</v>
      </c>
      <c r="I71" s="184"/>
      <c r="J71" s="47"/>
      <c r="K71" s="47"/>
      <c r="L71" s="47"/>
      <c r="M71" s="47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</row>
    <row r="72" spans="1:24" ht="32.450000000000003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19.66</v>
      </c>
      <c r="E72" s="192">
        <f t="shared" ref="E72:G72" si="31">E75+E82</f>
        <v>16.240000000000002</v>
      </c>
      <c r="F72" s="192">
        <f t="shared" si="31"/>
        <v>16.240000000000002</v>
      </c>
      <c r="G72" s="192">
        <f t="shared" si="31"/>
        <v>16.240000000000002</v>
      </c>
      <c r="H72" s="183">
        <f t="shared" si="5"/>
        <v>100</v>
      </c>
      <c r="I72" s="193"/>
      <c r="J72" s="47"/>
      <c r="K72" s="47"/>
      <c r="L72" s="47"/>
      <c r="M72" s="47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</row>
    <row r="73" spans="1:24" ht="32.450000000000003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2</v>
      </c>
      <c r="E73" s="181">
        <f>E76+E83</f>
        <v>0.71</v>
      </c>
      <c r="F73" s="181">
        <f t="shared" ref="F73:G73" si="32">F76+F83</f>
        <v>0</v>
      </c>
      <c r="G73" s="181">
        <f t="shared" si="32"/>
        <v>0</v>
      </c>
      <c r="H73" s="183">
        <f t="shared" si="5"/>
        <v>0</v>
      </c>
      <c r="I73" s="184"/>
      <c r="J73" s="118"/>
      <c r="K73" s="118"/>
      <c r="L73" s="118"/>
      <c r="M73" s="118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</row>
    <row r="74" spans="1:24" ht="32.450000000000003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15.74</v>
      </c>
      <c r="E74" s="194">
        <f t="shared" ref="E74:G74" si="33">E75+E76</f>
        <v>15.24</v>
      </c>
      <c r="F74" s="194">
        <f t="shared" si="33"/>
        <v>14.74</v>
      </c>
      <c r="G74" s="194">
        <f t="shared" si="33"/>
        <v>14.74</v>
      </c>
      <c r="H74" s="216">
        <f t="shared" si="5"/>
        <v>96.719160104986884</v>
      </c>
      <c r="I74" s="195"/>
      <c r="J74" s="119"/>
      <c r="K74" s="119"/>
      <c r="L74" s="42"/>
      <c r="M74" s="42"/>
      <c r="N74" s="42"/>
      <c r="O74" s="42"/>
      <c r="P74" s="42"/>
      <c r="Q74" s="42"/>
      <c r="R74" s="30"/>
      <c r="S74" s="30"/>
      <c r="T74" s="30"/>
      <c r="U74" s="30"/>
      <c r="V74" s="30"/>
      <c r="W74" s="30"/>
      <c r="X74" s="30"/>
    </row>
    <row r="75" spans="1:24" ht="32.450000000000003" customHeight="1" x14ac:dyDescent="0.25">
      <c r="A75" s="5" t="s">
        <v>22</v>
      </c>
      <c r="B75" s="281" t="s">
        <v>117</v>
      </c>
      <c r="C75" s="4" t="s">
        <v>4</v>
      </c>
      <c r="D75" s="196">
        <v>15.24</v>
      </c>
      <c r="E75" s="196">
        <v>14.74</v>
      </c>
      <c r="F75" s="186">
        <v>14.74</v>
      </c>
      <c r="G75" s="186">
        <v>14.74</v>
      </c>
      <c r="H75" s="215">
        <f t="shared" ref="H75:H98" si="34">F75/E75*100</f>
        <v>100</v>
      </c>
      <c r="I75" s="188"/>
      <c r="J75" s="47"/>
      <c r="K75" s="47"/>
      <c r="L75" s="24"/>
      <c r="M75" s="125"/>
      <c r="N75" s="39"/>
      <c r="O75" s="39"/>
      <c r="P75" s="39"/>
      <c r="Q75" s="39"/>
      <c r="R75" s="30"/>
      <c r="S75" s="30"/>
      <c r="T75" s="30"/>
      <c r="U75" s="30"/>
      <c r="V75" s="30"/>
      <c r="W75" s="30"/>
      <c r="X75" s="30"/>
    </row>
    <row r="76" spans="1:24" ht="32.450000000000003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0.5</v>
      </c>
      <c r="E76" s="197">
        <f>SUM(E77:E80)</f>
        <v>0.5</v>
      </c>
      <c r="F76" s="197">
        <f t="shared" ref="F76:G76" si="35">SUM(F77:F80)</f>
        <v>0</v>
      </c>
      <c r="G76" s="197">
        <f t="shared" si="35"/>
        <v>0</v>
      </c>
      <c r="H76" s="183">
        <f t="shared" si="34"/>
        <v>0</v>
      </c>
      <c r="I76" s="198"/>
      <c r="J76" s="108"/>
      <c r="K76" s="108"/>
      <c r="L76" s="34"/>
      <c r="M76" s="34"/>
      <c r="N76" s="39"/>
      <c r="O76" s="39"/>
      <c r="P76" s="39"/>
      <c r="Q76" s="39"/>
      <c r="R76" s="30"/>
      <c r="S76" s="30"/>
      <c r="T76" s="30"/>
      <c r="U76" s="30"/>
      <c r="V76" s="30"/>
      <c r="W76" s="30"/>
      <c r="X76" s="30"/>
    </row>
    <row r="77" spans="1:24" ht="32.450000000000003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0.5</v>
      </c>
      <c r="F77" s="186">
        <v>0</v>
      </c>
      <c r="G77" s="186">
        <v>0</v>
      </c>
      <c r="H77" s="183">
        <f t="shared" si="34"/>
        <v>0</v>
      </c>
      <c r="I77" s="188"/>
      <c r="J77" s="137"/>
      <c r="K77" s="108"/>
      <c r="L77" s="34"/>
      <c r="M77" s="120"/>
      <c r="N77" s="49"/>
      <c r="O77" s="49"/>
      <c r="P77" s="49"/>
      <c r="Q77" s="49"/>
      <c r="R77" s="30"/>
      <c r="S77" s="30"/>
      <c r="T77" s="30"/>
      <c r="U77" s="30"/>
      <c r="V77" s="30"/>
      <c r="W77" s="30"/>
      <c r="X77" s="30"/>
    </row>
    <row r="78" spans="1:24" ht="32.450000000000003" customHeight="1" x14ac:dyDescent="0.25">
      <c r="A78" s="3" t="s">
        <v>16</v>
      </c>
      <c r="B78" s="283" t="s">
        <v>110</v>
      </c>
      <c r="C78" s="3" t="s">
        <v>4</v>
      </c>
      <c r="D78" s="186">
        <v>0.5</v>
      </c>
      <c r="E78" s="186">
        <v>0</v>
      </c>
      <c r="F78" s="186"/>
      <c r="G78" s="186"/>
      <c r="H78" s="183"/>
      <c r="I78" s="188"/>
      <c r="J78" s="108"/>
      <c r="K78" s="108"/>
      <c r="L78" s="34"/>
      <c r="M78" s="34"/>
      <c r="N78" s="39"/>
      <c r="O78" s="39"/>
      <c r="P78" s="39"/>
      <c r="Q78" s="39"/>
      <c r="R78" s="30"/>
      <c r="S78" s="30"/>
      <c r="T78" s="30"/>
      <c r="U78" s="30"/>
      <c r="V78" s="30"/>
      <c r="W78" s="30"/>
      <c r="X78" s="30"/>
    </row>
    <row r="79" spans="1:24" ht="32.450000000000003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3"/>
      <c r="I79" s="188"/>
      <c r="J79" s="108"/>
      <c r="K79" s="108"/>
      <c r="L79" s="34"/>
      <c r="M79" s="34"/>
      <c r="N79" s="39"/>
      <c r="O79" s="39"/>
      <c r="P79" s="39"/>
      <c r="Q79" s="39"/>
      <c r="R79" s="30"/>
      <c r="S79" s="30"/>
      <c r="T79" s="30"/>
      <c r="U79" s="30"/>
      <c r="V79" s="30"/>
      <c r="W79" s="30"/>
      <c r="X79" s="30"/>
    </row>
    <row r="80" spans="1:24" ht="32.450000000000003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3"/>
      <c r="I80" s="188"/>
      <c r="J80" s="108"/>
      <c r="K80" s="108"/>
      <c r="L80" s="34"/>
      <c r="M80" s="34"/>
      <c r="N80" s="39"/>
      <c r="O80" s="39"/>
      <c r="P80" s="39"/>
      <c r="Q80" s="39"/>
      <c r="R80" s="30"/>
      <c r="S80" s="30"/>
      <c r="T80" s="30"/>
      <c r="U80" s="30"/>
      <c r="V80" s="30"/>
      <c r="W80" s="30"/>
      <c r="X80" s="30"/>
    </row>
    <row r="81" spans="1:24" s="44" customFormat="1" ht="32.450000000000003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5.92</v>
      </c>
      <c r="E81" s="194">
        <f>E82+E83</f>
        <v>1.71</v>
      </c>
      <c r="F81" s="194">
        <f t="shared" ref="F81:G81" si="36">F82+F83</f>
        <v>1.5</v>
      </c>
      <c r="G81" s="194">
        <f t="shared" si="36"/>
        <v>1.5</v>
      </c>
      <c r="H81" s="216">
        <f t="shared" si="34"/>
        <v>87.719298245614041</v>
      </c>
      <c r="I81" s="195"/>
      <c r="J81" s="119"/>
      <c r="K81" s="119"/>
      <c r="L81" s="42"/>
      <c r="M81" s="42"/>
      <c r="N81" s="42"/>
      <c r="O81" s="42"/>
      <c r="P81" s="42"/>
      <c r="Q81" s="42"/>
      <c r="R81" s="50"/>
      <c r="S81" s="50"/>
      <c r="T81" s="50"/>
      <c r="U81" s="50"/>
      <c r="V81" s="50"/>
      <c r="W81" s="50"/>
      <c r="X81" s="50"/>
    </row>
    <row r="82" spans="1:24" s="41" customFormat="1" ht="32.450000000000003" customHeight="1" x14ac:dyDescent="0.25">
      <c r="A82" s="282" t="s">
        <v>16</v>
      </c>
      <c r="B82" s="283" t="s">
        <v>109</v>
      </c>
      <c r="C82" s="3" t="s">
        <v>4</v>
      </c>
      <c r="D82" s="189">
        <v>4.42</v>
      </c>
      <c r="E82" s="189">
        <v>1.5</v>
      </c>
      <c r="F82" s="189">
        <v>1.5</v>
      </c>
      <c r="G82" s="189">
        <v>1.5</v>
      </c>
      <c r="H82" s="215">
        <f t="shared" si="34"/>
        <v>100</v>
      </c>
      <c r="I82" s="191"/>
      <c r="J82" s="108"/>
      <c r="K82" s="137"/>
      <c r="L82" s="34"/>
      <c r="M82" s="34"/>
      <c r="N82" s="51"/>
      <c r="O82" s="51"/>
      <c r="P82" s="51"/>
      <c r="Q82" s="51"/>
      <c r="R82" s="48"/>
      <c r="S82" s="48"/>
      <c r="T82" s="48"/>
      <c r="U82" s="48"/>
      <c r="V82" s="48"/>
      <c r="W82" s="48"/>
      <c r="X82" s="48"/>
    </row>
    <row r="83" spans="1:24" ht="32.450000000000003" customHeight="1" x14ac:dyDescent="0.25">
      <c r="A83" s="282" t="s">
        <v>13</v>
      </c>
      <c r="B83" s="279" t="s">
        <v>131</v>
      </c>
      <c r="C83" s="4" t="s">
        <v>4</v>
      </c>
      <c r="D83" s="196">
        <f>SUM(D84:D87)</f>
        <v>1.5</v>
      </c>
      <c r="E83" s="196">
        <f>SUM(E84:E87)</f>
        <v>0.21</v>
      </c>
      <c r="F83" s="196">
        <f t="shared" ref="F83:G83" si="37">SUM(F84:F87)</f>
        <v>0</v>
      </c>
      <c r="G83" s="196">
        <f t="shared" si="37"/>
        <v>0</v>
      </c>
      <c r="H83" s="215">
        <f t="shared" si="34"/>
        <v>0</v>
      </c>
      <c r="I83" s="199"/>
      <c r="J83" s="108"/>
      <c r="K83" s="108"/>
      <c r="L83" s="108"/>
      <c r="M83" s="108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</row>
    <row r="84" spans="1:24" ht="32.450000000000003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3"/>
      <c r="I84" s="188"/>
      <c r="J84" s="34"/>
      <c r="K84" s="34"/>
      <c r="L84" s="34"/>
      <c r="M84" s="34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</row>
    <row r="85" spans="1:24" ht="32.450000000000003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3"/>
      <c r="I85" s="188"/>
      <c r="J85" s="34"/>
      <c r="K85" s="34"/>
      <c r="L85" s="34"/>
      <c r="M85" s="34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</row>
    <row r="86" spans="1:24" ht="32.450000000000003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3"/>
      <c r="I86" s="188"/>
      <c r="J86" s="34"/>
      <c r="K86" s="34"/>
      <c r="L86" s="34"/>
      <c r="M86" s="34"/>
      <c r="N86" s="39"/>
      <c r="O86" s="39"/>
      <c r="P86" s="39"/>
      <c r="Q86" s="39"/>
      <c r="R86" s="39"/>
      <c r="S86" s="30"/>
      <c r="T86" s="30"/>
      <c r="U86" s="30"/>
      <c r="V86" s="30"/>
      <c r="W86" s="30"/>
      <c r="X86" s="30"/>
    </row>
    <row r="87" spans="1:24" ht="32.450000000000003" customHeight="1" x14ac:dyDescent="0.25">
      <c r="A87" s="282" t="s">
        <v>16</v>
      </c>
      <c r="B87" s="283" t="s">
        <v>114</v>
      </c>
      <c r="C87" s="3" t="s">
        <v>4</v>
      </c>
      <c r="D87" s="186">
        <v>1.5</v>
      </c>
      <c r="E87" s="186">
        <v>0.21</v>
      </c>
      <c r="F87" s="186">
        <v>0</v>
      </c>
      <c r="G87" s="186">
        <v>0</v>
      </c>
      <c r="H87" s="183">
        <f t="shared" si="34"/>
        <v>0</v>
      </c>
      <c r="I87" s="188"/>
      <c r="J87" s="165"/>
      <c r="K87" s="34"/>
      <c r="L87" s="34"/>
      <c r="M87" s="120"/>
      <c r="N87" s="49"/>
      <c r="O87" s="49"/>
      <c r="P87" s="49"/>
      <c r="Q87" s="49"/>
      <c r="R87" s="49"/>
      <c r="S87" s="49"/>
      <c r="T87" s="30"/>
      <c r="U87" s="30"/>
      <c r="V87" s="30"/>
      <c r="W87" s="30"/>
      <c r="X87" s="30"/>
    </row>
    <row r="88" spans="1:24" ht="32.450000000000003" customHeight="1" x14ac:dyDescent="0.25">
      <c r="A88" s="2" t="s">
        <v>42</v>
      </c>
      <c r="B88" s="224" t="s">
        <v>43</v>
      </c>
      <c r="C88" s="2"/>
      <c r="D88" s="181">
        <f>SUM(D89:D93)</f>
        <v>481</v>
      </c>
      <c r="E88" s="181">
        <f t="shared" ref="E88:G88" si="38">SUM(E89:E93)</f>
        <v>540</v>
      </c>
      <c r="F88" s="181">
        <f t="shared" si="38"/>
        <v>487</v>
      </c>
      <c r="G88" s="181">
        <f t="shared" si="38"/>
        <v>487</v>
      </c>
      <c r="H88" s="183">
        <f t="shared" si="34"/>
        <v>90.18518518518519</v>
      </c>
      <c r="I88" s="184"/>
      <c r="J88" s="24"/>
      <c r="K88" s="24"/>
      <c r="L88" s="81"/>
      <c r="M88" s="81"/>
      <c r="N88" s="42"/>
      <c r="O88" s="42"/>
      <c r="P88" s="42"/>
      <c r="Q88" s="42"/>
      <c r="R88" s="30"/>
      <c r="S88" s="30"/>
      <c r="T88" s="30"/>
      <c r="U88" s="30"/>
      <c r="V88" s="30"/>
      <c r="W88" s="30"/>
      <c r="X88" s="30"/>
    </row>
    <row r="89" spans="1:24" s="84" customFormat="1" ht="32.450000000000003" customHeight="1" x14ac:dyDescent="0.25">
      <c r="A89" s="4">
        <v>1</v>
      </c>
      <c r="B89" s="227" t="s">
        <v>44</v>
      </c>
      <c r="C89" s="4" t="s">
        <v>6</v>
      </c>
      <c r="D89" s="186">
        <f>46-15</f>
        <v>31</v>
      </c>
      <c r="E89" s="186">
        <f>47+25-6</f>
        <v>66</v>
      </c>
      <c r="F89" s="186">
        <v>62</v>
      </c>
      <c r="G89" s="186">
        <f>F89</f>
        <v>62</v>
      </c>
      <c r="H89" s="215">
        <f t="shared" si="34"/>
        <v>93.939393939393938</v>
      </c>
      <c r="I89" s="188"/>
      <c r="J89" s="105"/>
      <c r="K89" s="105"/>
      <c r="L89" s="167"/>
      <c r="M89" s="153"/>
      <c r="N89" s="145"/>
      <c r="O89" s="145"/>
      <c r="P89" s="92"/>
      <c r="Q89" s="92"/>
      <c r="R89" s="92"/>
      <c r="S89" s="92"/>
      <c r="T89" s="92"/>
      <c r="U89" s="92"/>
      <c r="V89" s="92"/>
      <c r="W89" s="92"/>
      <c r="X89" s="92"/>
    </row>
    <row r="90" spans="1:24" s="84" customFormat="1" ht="32.450000000000003" customHeight="1" x14ac:dyDescent="0.25">
      <c r="A90" s="4">
        <v>2</v>
      </c>
      <c r="B90" s="227" t="s">
        <v>45</v>
      </c>
      <c r="C90" s="4" t="s">
        <v>6</v>
      </c>
      <c r="D90" s="186">
        <f>77-5</f>
        <v>72</v>
      </c>
      <c r="E90" s="186">
        <f>77+12+3</f>
        <v>92</v>
      </c>
      <c r="F90" s="186">
        <v>90</v>
      </c>
      <c r="G90" s="186">
        <f>F90</f>
        <v>90</v>
      </c>
      <c r="H90" s="215">
        <f t="shared" si="34"/>
        <v>97.826086956521735</v>
      </c>
      <c r="I90" s="188"/>
      <c r="J90" s="121"/>
      <c r="K90" s="105"/>
      <c r="L90" s="167"/>
      <c r="M90" s="153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</row>
    <row r="91" spans="1:24" s="84" customFormat="1" ht="32.450000000000003" customHeight="1" x14ac:dyDescent="0.25">
      <c r="A91" s="4">
        <v>3</v>
      </c>
      <c r="B91" s="227" t="s">
        <v>46</v>
      </c>
      <c r="C91" s="4" t="s">
        <v>6</v>
      </c>
      <c r="D91" s="186">
        <f>44-5</f>
        <v>39</v>
      </c>
      <c r="E91" s="186">
        <f>45+14</f>
        <v>59</v>
      </c>
      <c r="F91" s="186">
        <v>57</v>
      </c>
      <c r="G91" s="186">
        <f>F91</f>
        <v>57</v>
      </c>
      <c r="H91" s="215">
        <f t="shared" si="34"/>
        <v>96.610169491525426</v>
      </c>
      <c r="I91" s="188"/>
      <c r="J91" s="121"/>
      <c r="K91" s="105"/>
      <c r="L91" s="167"/>
      <c r="M91" s="153"/>
      <c r="N91" s="158"/>
      <c r="O91" s="158"/>
      <c r="P91" s="92"/>
      <c r="Q91" s="92"/>
      <c r="R91" s="92"/>
      <c r="S91" s="92"/>
      <c r="T91" s="92"/>
      <c r="U91" s="92"/>
      <c r="V91" s="92"/>
      <c r="W91" s="92"/>
      <c r="X91" s="92"/>
    </row>
    <row r="92" spans="1:24" s="84" customFormat="1" ht="32.450000000000003" customHeight="1" x14ac:dyDescent="0.25">
      <c r="A92" s="4">
        <v>4</v>
      </c>
      <c r="B92" s="227" t="s">
        <v>47</v>
      </c>
      <c r="C92" s="4" t="s">
        <v>6</v>
      </c>
      <c r="D92" s="186">
        <f>20-5</f>
        <v>15</v>
      </c>
      <c r="E92" s="186">
        <f>22+6</f>
        <v>28</v>
      </c>
      <c r="F92" s="186">
        <v>25</v>
      </c>
      <c r="G92" s="186">
        <f>F92</f>
        <v>25</v>
      </c>
      <c r="H92" s="215">
        <f t="shared" si="34"/>
        <v>89.285714285714292</v>
      </c>
      <c r="I92" s="188"/>
      <c r="J92" s="121"/>
      <c r="K92" s="105"/>
      <c r="L92" s="160"/>
      <c r="M92" s="153"/>
      <c r="N92" s="158"/>
      <c r="O92" s="158"/>
      <c r="P92" s="92"/>
      <c r="Q92" s="92"/>
      <c r="R92" s="92"/>
      <c r="S92" s="92"/>
      <c r="T92" s="92"/>
      <c r="U92" s="92"/>
      <c r="V92" s="92"/>
      <c r="W92" s="92"/>
      <c r="X92" s="92"/>
    </row>
    <row r="93" spans="1:24" s="84" customFormat="1" ht="32.450000000000003" customHeight="1" x14ac:dyDescent="0.25">
      <c r="A93" s="4">
        <v>5</v>
      </c>
      <c r="B93" s="227" t="s">
        <v>48</v>
      </c>
      <c r="C93" s="4" t="s">
        <v>6</v>
      </c>
      <c r="D93" s="186">
        <f>373-49</f>
        <v>324</v>
      </c>
      <c r="E93" s="186">
        <f>326-31</f>
        <v>295</v>
      </c>
      <c r="F93" s="186">
        <v>253</v>
      </c>
      <c r="G93" s="186">
        <f>F93</f>
        <v>253</v>
      </c>
      <c r="H93" s="215">
        <f t="shared" si="34"/>
        <v>85.762711864406782</v>
      </c>
      <c r="I93" s="188"/>
      <c r="J93" s="105"/>
      <c r="K93" s="105"/>
      <c r="L93" s="160"/>
      <c r="M93" s="153"/>
      <c r="N93" s="145"/>
      <c r="O93" s="92"/>
      <c r="P93" s="92"/>
      <c r="Q93" s="92"/>
      <c r="R93" s="92"/>
      <c r="S93" s="92"/>
      <c r="T93" s="92"/>
      <c r="U93" s="92"/>
      <c r="V93" s="92"/>
      <c r="W93" s="92"/>
      <c r="X93" s="92"/>
    </row>
    <row r="94" spans="1:24" s="23" customFormat="1" ht="32.450000000000003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39">E95</f>
        <v>0</v>
      </c>
      <c r="F94" s="181">
        <f t="shared" si="39"/>
        <v>0</v>
      </c>
      <c r="G94" s="181">
        <f t="shared" si="39"/>
        <v>0</v>
      </c>
      <c r="H94" s="183"/>
      <c r="I94" s="184"/>
      <c r="J94" s="21"/>
      <c r="K94" s="21"/>
      <c r="L94" s="160"/>
      <c r="M94" s="153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1:24" ht="32.450000000000003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3"/>
      <c r="I95" s="188"/>
      <c r="J95" s="24"/>
      <c r="K95" s="24"/>
      <c r="L95" s="160"/>
      <c r="M95" s="153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</row>
    <row r="96" spans="1:24" ht="32.450000000000003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5.6</v>
      </c>
      <c r="E96" s="181">
        <f t="shared" ref="E96:G96" si="40">E97+E98</f>
        <v>2.5499999999999998</v>
      </c>
      <c r="F96" s="181">
        <f>F97+F98</f>
        <v>0</v>
      </c>
      <c r="G96" s="181">
        <f t="shared" si="40"/>
        <v>0</v>
      </c>
      <c r="H96" s="183">
        <f t="shared" si="34"/>
        <v>0</v>
      </c>
      <c r="I96" s="184"/>
      <c r="J96" s="24"/>
      <c r="K96" s="24"/>
      <c r="L96" s="24"/>
      <c r="M96" s="24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</row>
    <row r="97" spans="1:24" ht="32.450000000000003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3"/>
      <c r="I97" s="188"/>
      <c r="J97" s="24"/>
      <c r="K97" s="24"/>
      <c r="L97" s="24"/>
      <c r="M97" s="24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</row>
    <row r="98" spans="1:24" ht="32.450000000000003" customHeight="1" x14ac:dyDescent="0.25">
      <c r="A98" s="285" t="s">
        <v>16</v>
      </c>
      <c r="B98" s="281" t="s">
        <v>54</v>
      </c>
      <c r="C98" s="3" t="s">
        <v>4</v>
      </c>
      <c r="D98" s="186">
        <v>5.6</v>
      </c>
      <c r="E98" s="186">
        <f>3.8-1.25</f>
        <v>2.5499999999999998</v>
      </c>
      <c r="F98" s="186"/>
      <c r="G98" s="186"/>
      <c r="H98" s="183">
        <f t="shared" si="34"/>
        <v>0</v>
      </c>
      <c r="I98" s="188"/>
      <c r="J98" s="24"/>
      <c r="K98" s="146"/>
      <c r="L98" s="24"/>
      <c r="M98" s="24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</row>
    <row r="99" spans="1:2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47"/>
      <c r="K99" s="47"/>
      <c r="L99" s="47"/>
      <c r="M99" s="47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</row>
    <row r="100" spans="1:2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47"/>
      <c r="K100" s="47"/>
      <c r="L100" s="47"/>
      <c r="M100" s="47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</row>
    <row r="101" spans="1:2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47"/>
      <c r="K101" s="47"/>
      <c r="L101" s="47"/>
      <c r="M101" s="47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</row>
    <row r="102" spans="1:2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47"/>
      <c r="K102" s="47"/>
      <c r="L102" s="47"/>
      <c r="M102" s="47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</row>
    <row r="103" spans="1:2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</row>
    <row r="104" spans="1:2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</row>
    <row r="105" spans="1:2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</row>
    <row r="106" spans="1:2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</row>
    <row r="107" spans="1:2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</row>
    <row r="108" spans="1:2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</row>
    <row r="109" spans="1:2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</row>
    <row r="110" spans="1:2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</row>
    <row r="111" spans="1:2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</row>
    <row r="112" spans="1:2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</row>
    <row r="113" spans="1:13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</row>
    <row r="114" spans="1:13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</row>
    <row r="115" spans="1:13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</row>
    <row r="116" spans="1:13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</row>
    <row r="117" spans="1:13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</row>
    <row r="118" spans="1:13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</row>
    <row r="119" spans="1:13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</row>
    <row r="120" spans="1:13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</row>
    <row r="121" spans="1:13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</row>
    <row r="122" spans="1:13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</row>
    <row r="123" spans="1:13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</row>
    <row r="124" spans="1:13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</row>
    <row r="125" spans="1:13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</row>
    <row r="126" spans="1:13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</row>
    <row r="127" spans="1:13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</row>
    <row r="128" spans="1:13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</row>
    <row r="129" spans="1:13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</row>
    <row r="130" spans="1:13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</row>
    <row r="131" spans="1:13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</row>
    <row r="132" spans="1:13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</row>
    <row r="133" spans="1:13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</row>
    <row r="134" spans="1:13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</row>
    <row r="135" spans="1:13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</row>
    <row r="136" spans="1:13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</row>
    <row r="137" spans="1:13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</row>
    <row r="138" spans="1:13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</row>
    <row r="139" spans="1:13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</row>
    <row r="140" spans="1:13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</row>
    <row r="141" spans="1:13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</row>
    <row r="142" spans="1:13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</row>
    <row r="143" spans="1:13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</row>
    <row r="144" spans="1:13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</row>
    <row r="145" spans="1:13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</row>
    <row r="146" spans="1:13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</row>
    <row r="147" spans="1:13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</row>
    <row r="148" spans="1:13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</row>
    <row r="149" spans="1:13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</row>
    <row r="150" spans="1:13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</row>
    <row r="151" spans="1:13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</row>
    <row r="152" spans="1:13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</row>
    <row r="153" spans="1:13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</row>
    <row r="154" spans="1:13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</row>
    <row r="155" spans="1:13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</row>
    <row r="156" spans="1:13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</row>
    <row r="157" spans="1:13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</row>
    <row r="158" spans="1:13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</row>
    <row r="159" spans="1:13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</row>
    <row r="160" spans="1:13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</row>
    <row r="161" spans="1:13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</row>
    <row r="162" spans="1:13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</row>
    <row r="163" spans="1:13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</row>
    <row r="164" spans="1:13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</row>
    <row r="165" spans="1:13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</row>
    <row r="166" spans="1:13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</row>
    <row r="167" spans="1:13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</row>
    <row r="168" spans="1:13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</row>
    <row r="169" spans="1:13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</row>
    <row r="170" spans="1:13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</row>
    <row r="171" spans="1:13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</row>
    <row r="172" spans="1:13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</row>
    <row r="173" spans="1:13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</row>
    <row r="174" spans="1:13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</row>
    <row r="175" spans="1:13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</row>
    <row r="176" spans="1:13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</row>
    <row r="177" spans="1:13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</row>
    <row r="178" spans="1:13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</row>
    <row r="179" spans="1:13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</row>
    <row r="180" spans="1:13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</row>
    <row r="181" spans="1:13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</row>
    <row r="182" spans="1:13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</row>
    <row r="183" spans="1:13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</row>
    <row r="184" spans="1:13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</row>
    <row r="185" spans="1:13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</row>
    <row r="186" spans="1:13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</row>
    <row r="187" spans="1:13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</row>
    <row r="188" spans="1:13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</row>
    <row r="189" spans="1:13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</row>
    <row r="190" spans="1:13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</row>
    <row r="191" spans="1:13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</row>
    <row r="192" spans="1:13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</row>
    <row r="193" spans="1:13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</row>
    <row r="194" spans="1:13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</row>
    <row r="195" spans="1:13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</row>
    <row r="196" spans="1:13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</row>
    <row r="197" spans="1:13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</row>
    <row r="198" spans="1:13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</row>
    <row r="199" spans="1:13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</row>
    <row r="200" spans="1:13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</row>
    <row r="201" spans="1:13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</row>
    <row r="202" spans="1:13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</row>
    <row r="203" spans="1:13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</row>
    <row r="204" spans="1:13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</row>
    <row r="205" spans="1:13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</row>
    <row r="206" spans="1:13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</row>
    <row r="207" spans="1:13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</row>
    <row r="208" spans="1:13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</row>
    <row r="209" spans="1:13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</row>
    <row r="210" spans="1:13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</row>
    <row r="211" spans="1:13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</row>
    <row r="212" spans="1:13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</row>
    <row r="213" spans="1:13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</row>
    <row r="214" spans="1:13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</row>
    <row r="215" spans="1:13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</row>
    <row r="216" spans="1:13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</row>
    <row r="217" spans="1:13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</row>
    <row r="218" spans="1:13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</row>
    <row r="219" spans="1:13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</row>
    <row r="220" spans="1:13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</row>
    <row r="221" spans="1:13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</row>
    <row r="222" spans="1:13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</row>
    <row r="223" spans="1:13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</row>
    <row r="224" spans="1:13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</row>
    <row r="225" spans="1:13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</row>
    <row r="226" spans="1:13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</row>
    <row r="227" spans="1:13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</row>
    <row r="228" spans="1:13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</row>
    <row r="229" spans="1:13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</row>
    <row r="230" spans="1:13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</row>
    <row r="231" spans="1:13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</row>
    <row r="232" spans="1:13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</row>
    <row r="233" spans="1:13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</row>
    <row r="234" spans="1:13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</row>
    <row r="235" spans="1:13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</row>
    <row r="236" spans="1:13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</row>
    <row r="237" spans="1:13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</row>
    <row r="238" spans="1:13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</row>
    <row r="239" spans="1:13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</row>
    <row r="240" spans="1:13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</row>
    <row r="241" spans="1:13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</row>
    <row r="242" spans="1:13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</row>
    <row r="243" spans="1:13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</row>
    <row r="244" spans="1:13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</row>
    <row r="245" spans="1:13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</row>
    <row r="246" spans="1:13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</row>
    <row r="247" spans="1:13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</row>
    <row r="248" spans="1:13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</row>
    <row r="249" spans="1:13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</row>
    <row r="250" spans="1:13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</row>
    <row r="251" spans="1:13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</row>
    <row r="252" spans="1:13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</row>
    <row r="253" spans="1:13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</row>
    <row r="254" spans="1:13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</row>
    <row r="255" spans="1:13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</row>
    <row r="256" spans="1:13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</row>
    <row r="257" spans="1:13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</row>
    <row r="258" spans="1:13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</row>
    <row r="259" spans="1:13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</row>
    <row r="260" spans="1:13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</row>
    <row r="261" spans="1:13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</row>
    <row r="262" spans="1:13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</row>
    <row r="263" spans="1:13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</row>
    <row r="264" spans="1:13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</row>
    <row r="265" spans="1:13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</row>
    <row r="266" spans="1:13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</row>
    <row r="267" spans="1:13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</row>
    <row r="268" spans="1:13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</row>
    <row r="269" spans="1:13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</row>
    <row r="270" spans="1:13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</row>
    <row r="271" spans="1:13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</row>
    <row r="272" spans="1:13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</row>
    <row r="273" spans="1:13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</row>
    <row r="274" spans="1:13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</row>
    <row r="275" spans="1:13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</row>
    <row r="276" spans="1:13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</row>
    <row r="277" spans="1:13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</row>
    <row r="278" spans="1:13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</row>
    <row r="279" spans="1:13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</row>
    <row r="280" spans="1:13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</row>
    <row r="281" spans="1:13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</row>
    <row r="282" spans="1:13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</row>
    <row r="283" spans="1:13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</row>
    <row r="284" spans="1:13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</row>
    <row r="285" spans="1:13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</row>
    <row r="286" spans="1:13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</row>
    <row r="287" spans="1:13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</row>
    <row r="288" spans="1:13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</row>
    <row r="289" spans="1:13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</row>
    <row r="290" spans="1:13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</row>
    <row r="291" spans="1:13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</row>
    <row r="292" spans="1:13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</row>
    <row r="293" spans="1:13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</row>
    <row r="294" spans="1:13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</row>
    <row r="295" spans="1:13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</row>
    <row r="296" spans="1:13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</row>
    <row r="297" spans="1:13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</row>
    <row r="298" spans="1:13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</row>
    <row r="299" spans="1:13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</row>
    <row r="300" spans="1:13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</row>
    <row r="301" spans="1:13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</row>
    <row r="302" spans="1:13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</row>
    <row r="303" spans="1:13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</row>
    <row r="304" spans="1:13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</row>
    <row r="305" spans="1:13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</row>
    <row r="306" spans="1:13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</row>
    <row r="307" spans="1:13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</row>
    <row r="308" spans="1:13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</row>
    <row r="309" spans="1:13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</row>
    <row r="310" spans="1:13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</row>
    <row r="311" spans="1:13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</row>
    <row r="312" spans="1:13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</row>
    <row r="313" spans="1:13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</row>
    <row r="314" spans="1:13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</row>
    <row r="315" spans="1:13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</row>
    <row r="316" spans="1:13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</row>
    <row r="317" spans="1:13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</row>
    <row r="318" spans="1:13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</row>
    <row r="319" spans="1:13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</row>
    <row r="320" spans="1:13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</row>
    <row r="321" spans="1:13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</row>
    <row r="322" spans="1:13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</row>
    <row r="323" spans="1:13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</row>
    <row r="324" spans="1:13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</row>
    <row r="325" spans="1:13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</row>
    <row r="326" spans="1:13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</row>
    <row r="327" spans="1:13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</row>
    <row r="328" spans="1:13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</row>
    <row r="329" spans="1:13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</row>
    <row r="330" spans="1:13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</row>
    <row r="331" spans="1:13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</row>
    <row r="332" spans="1:13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</row>
    <row r="333" spans="1:13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</row>
    <row r="334" spans="1:13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</row>
    <row r="335" spans="1:13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</row>
    <row r="336" spans="1:13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</row>
    <row r="337" spans="1:13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</row>
    <row r="338" spans="1:13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</row>
    <row r="339" spans="1:13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</row>
    <row r="340" spans="1:13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</row>
    <row r="341" spans="1:13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</row>
    <row r="342" spans="1:13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</row>
    <row r="343" spans="1:13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</row>
    <row r="344" spans="1:13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</row>
    <row r="345" spans="1:13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</row>
    <row r="346" spans="1:13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</row>
    <row r="347" spans="1:13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</row>
    <row r="348" spans="1:13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</row>
    <row r="349" spans="1:13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</row>
    <row r="350" spans="1:13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</row>
    <row r="351" spans="1:13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</row>
    <row r="352" spans="1:13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</row>
    <row r="353" spans="1:13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</row>
    <row r="354" spans="1:13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</row>
    <row r="355" spans="1:13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</row>
    <row r="356" spans="1:13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</row>
    <row r="357" spans="1:13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</row>
    <row r="358" spans="1:13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</row>
    <row r="359" spans="1:13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</row>
    <row r="360" spans="1:13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</row>
    <row r="361" spans="1:13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</row>
    <row r="362" spans="1:13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</row>
    <row r="363" spans="1:13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</row>
    <row r="364" spans="1:13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</row>
    <row r="365" spans="1:13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</row>
    <row r="366" spans="1:13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</row>
    <row r="367" spans="1:13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</row>
    <row r="368" spans="1:13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</row>
    <row r="369" spans="1:13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</row>
    <row r="370" spans="1:13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</row>
    <row r="371" spans="1:13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</row>
    <row r="372" spans="1:13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</row>
    <row r="373" spans="1:13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</row>
    <row r="374" spans="1:13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</row>
    <row r="375" spans="1:13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</row>
    <row r="376" spans="1:13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</row>
    <row r="377" spans="1:13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</row>
    <row r="378" spans="1:13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</row>
    <row r="379" spans="1:13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</row>
    <row r="380" spans="1:13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</row>
    <row r="381" spans="1:13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</row>
    <row r="382" spans="1:13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</row>
    <row r="383" spans="1:13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</row>
    <row r="384" spans="1:13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</row>
    <row r="385" spans="1:13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</row>
    <row r="386" spans="1:13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</row>
    <row r="387" spans="1:13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</row>
    <row r="388" spans="1:13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</row>
    <row r="389" spans="1:13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</row>
    <row r="390" spans="1:13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</row>
    <row r="391" spans="1:13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</row>
    <row r="392" spans="1:13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</row>
    <row r="393" spans="1:13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</row>
    <row r="394" spans="1:13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</row>
    <row r="395" spans="1:13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</row>
    <row r="396" spans="1:13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</row>
    <row r="397" spans="1:13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</row>
    <row r="398" spans="1:13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</row>
    <row r="399" spans="1:13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</row>
    <row r="400" spans="1:13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</row>
    <row r="401" spans="1:13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</row>
    <row r="402" spans="1:13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</row>
    <row r="403" spans="1:13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</row>
    <row r="404" spans="1:13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</row>
    <row r="405" spans="1:13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</row>
    <row r="406" spans="1:13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</row>
    <row r="407" spans="1:13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</row>
    <row r="408" spans="1:13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</row>
    <row r="409" spans="1:13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</row>
    <row r="410" spans="1:13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</row>
    <row r="411" spans="1:13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</row>
    <row r="412" spans="1:13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</row>
    <row r="413" spans="1:13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</row>
    <row r="414" spans="1:13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</row>
    <row r="415" spans="1:13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</row>
    <row r="416" spans="1:13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</row>
    <row r="417" spans="1:13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</row>
    <row r="418" spans="1:13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</row>
    <row r="419" spans="1:13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</row>
    <row r="420" spans="1:13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</row>
    <row r="421" spans="1:13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</row>
    <row r="422" spans="1:13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</row>
    <row r="423" spans="1:13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</row>
    <row r="424" spans="1:13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</row>
    <row r="425" spans="1:13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</row>
    <row r="426" spans="1:13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</row>
    <row r="427" spans="1:13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</row>
    <row r="428" spans="1:13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</row>
    <row r="429" spans="1:13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</row>
    <row r="430" spans="1:13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</row>
    <row r="431" spans="1:13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</row>
    <row r="432" spans="1:13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</row>
    <row r="433" spans="1:13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</row>
    <row r="434" spans="1:13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</row>
    <row r="435" spans="1:13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</row>
    <row r="436" spans="1:13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</row>
    <row r="437" spans="1:13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</row>
    <row r="438" spans="1:13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</row>
    <row r="439" spans="1:13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</row>
    <row r="440" spans="1:13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</row>
    <row r="441" spans="1:13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</row>
    <row r="442" spans="1:13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</row>
    <row r="443" spans="1:13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</row>
    <row r="444" spans="1:13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</row>
    <row r="445" spans="1:13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</row>
    <row r="446" spans="1:13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</row>
    <row r="447" spans="1:13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</row>
    <row r="448" spans="1:13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</row>
    <row r="449" spans="1:13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</row>
    <row r="450" spans="1:13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</row>
    <row r="451" spans="1:13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</row>
    <row r="452" spans="1:13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</row>
    <row r="453" spans="1:13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</row>
    <row r="454" spans="1:13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</row>
    <row r="455" spans="1:13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</row>
    <row r="456" spans="1:13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</row>
    <row r="457" spans="1:13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</row>
    <row r="458" spans="1:13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</row>
    <row r="459" spans="1:13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</row>
    <row r="460" spans="1:13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</row>
    <row r="461" spans="1:13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</row>
    <row r="462" spans="1:13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</row>
    <row r="463" spans="1:13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</row>
    <row r="464" spans="1:13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</row>
    <row r="465" spans="1:13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</row>
    <row r="466" spans="1:13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</row>
    <row r="467" spans="1:13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</row>
    <row r="468" spans="1:13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</row>
    <row r="469" spans="1:13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</row>
    <row r="470" spans="1:13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</row>
    <row r="471" spans="1:13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</row>
    <row r="472" spans="1:13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</row>
    <row r="473" spans="1:13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</row>
    <row r="474" spans="1:13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</row>
    <row r="475" spans="1:13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</row>
    <row r="476" spans="1:13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</row>
    <row r="477" spans="1:13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</row>
    <row r="478" spans="1:13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</row>
    <row r="479" spans="1:13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</row>
    <row r="480" spans="1:13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</row>
    <row r="481" spans="1:13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</row>
    <row r="482" spans="1:13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</row>
    <row r="483" spans="1:13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</row>
    <row r="484" spans="1:13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</row>
    <row r="485" spans="1:13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</row>
    <row r="486" spans="1:13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</row>
    <row r="487" spans="1:13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</row>
    <row r="488" spans="1:13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</row>
    <row r="489" spans="1:13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</row>
    <row r="490" spans="1:13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</row>
    <row r="491" spans="1:13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</row>
    <row r="492" spans="1:13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</row>
    <row r="493" spans="1:13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</row>
    <row r="494" spans="1:13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</row>
    <row r="495" spans="1:13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</row>
    <row r="496" spans="1:13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</row>
    <row r="497" spans="1:13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</row>
    <row r="498" spans="1:13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</row>
    <row r="499" spans="1:13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</row>
    <row r="500" spans="1:13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</row>
    <row r="501" spans="1:13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</row>
    <row r="502" spans="1:13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</row>
    <row r="503" spans="1:13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</row>
    <row r="504" spans="1:13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</row>
    <row r="505" spans="1:13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</row>
    <row r="506" spans="1:13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</row>
    <row r="507" spans="1:13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</row>
    <row r="508" spans="1:13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</row>
    <row r="509" spans="1:13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</row>
    <row r="510" spans="1:13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</row>
    <row r="511" spans="1:13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</row>
    <row r="512" spans="1:13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</row>
    <row r="513" spans="1:13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</row>
    <row r="514" spans="1:13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</row>
    <row r="515" spans="1:13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</row>
    <row r="516" spans="1:13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</row>
    <row r="517" spans="1:13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</row>
    <row r="518" spans="1:13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</row>
    <row r="519" spans="1:13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</row>
    <row r="520" spans="1:13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</row>
    <row r="521" spans="1:13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</row>
    <row r="522" spans="1:13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</row>
    <row r="523" spans="1:13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</row>
    <row r="524" spans="1:13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</row>
    <row r="525" spans="1:13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</row>
    <row r="526" spans="1:13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</row>
    <row r="527" spans="1:13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</row>
    <row r="528" spans="1:13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</row>
    <row r="529" spans="1:13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</row>
    <row r="530" spans="1:13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</row>
    <row r="531" spans="1:13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</row>
    <row r="532" spans="1:13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</row>
    <row r="533" spans="1:13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</row>
    <row r="534" spans="1:13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</row>
    <row r="535" spans="1:13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</row>
    <row r="536" spans="1:13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</row>
    <row r="537" spans="1:13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</row>
    <row r="538" spans="1:13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</row>
    <row r="539" spans="1:13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</row>
    <row r="540" spans="1:13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</row>
    <row r="541" spans="1:13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</row>
    <row r="542" spans="1:13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</row>
    <row r="543" spans="1:13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</row>
    <row r="544" spans="1:13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</row>
    <row r="545" spans="1:13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</row>
    <row r="546" spans="1:13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</row>
    <row r="547" spans="1:13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</row>
    <row r="548" spans="1:13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</row>
    <row r="549" spans="1:13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</row>
    <row r="550" spans="1:13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</row>
    <row r="551" spans="1:13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</row>
    <row r="552" spans="1:13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</row>
    <row r="553" spans="1:13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</row>
    <row r="554" spans="1:13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</row>
    <row r="555" spans="1:13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</row>
    <row r="556" spans="1:13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</row>
    <row r="557" spans="1:13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</row>
    <row r="558" spans="1:13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</row>
    <row r="559" spans="1:13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</row>
    <row r="560" spans="1:13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</row>
    <row r="561" spans="1:13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</row>
    <row r="562" spans="1:13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</row>
    <row r="563" spans="1:13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</row>
    <row r="564" spans="1:13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</row>
    <row r="565" spans="1:13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</row>
    <row r="566" spans="1:13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</row>
    <row r="567" spans="1:13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</row>
    <row r="568" spans="1:13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</row>
    <row r="569" spans="1:13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</row>
    <row r="570" spans="1:13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</row>
    <row r="571" spans="1:13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</row>
    <row r="572" spans="1:13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</row>
    <row r="573" spans="1:13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</row>
    <row r="574" spans="1:13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</row>
    <row r="575" spans="1:13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</row>
    <row r="576" spans="1:13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</row>
    <row r="577" spans="1:13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</row>
    <row r="578" spans="1:13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</row>
    <row r="579" spans="1:13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</row>
    <row r="580" spans="1:13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</row>
    <row r="581" spans="1:13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</row>
    <row r="582" spans="1:13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</row>
    <row r="583" spans="1:13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</row>
    <row r="584" spans="1:13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</row>
    <row r="585" spans="1:13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</row>
    <row r="586" spans="1:13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</row>
    <row r="587" spans="1:13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</row>
    <row r="588" spans="1:13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</row>
    <row r="589" spans="1:13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</row>
    <row r="590" spans="1:13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</row>
    <row r="591" spans="1:13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</row>
    <row r="592" spans="1:13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</row>
    <row r="593" spans="1:13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</row>
    <row r="594" spans="1:13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</row>
    <row r="595" spans="1:13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</row>
    <row r="596" spans="1:13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</row>
    <row r="597" spans="1:13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</row>
    <row r="598" spans="1:13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</row>
    <row r="599" spans="1:13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</row>
    <row r="600" spans="1:13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</row>
    <row r="601" spans="1:13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</row>
    <row r="602" spans="1:13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</row>
    <row r="603" spans="1:13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</row>
    <row r="604" spans="1:13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</row>
    <row r="605" spans="1:13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</row>
    <row r="606" spans="1:13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</row>
    <row r="607" spans="1:13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</row>
    <row r="608" spans="1:13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</row>
    <row r="609" spans="1:13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</row>
    <row r="610" spans="1:13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</row>
    <row r="611" spans="1:13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</row>
    <row r="612" spans="1:13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</row>
    <row r="613" spans="1:13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</row>
    <row r="614" spans="1:13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</row>
    <row r="615" spans="1:13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</row>
    <row r="616" spans="1:13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</row>
    <row r="617" spans="1:13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</row>
    <row r="618" spans="1:13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</row>
    <row r="619" spans="1:13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</row>
    <row r="620" spans="1:13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</row>
    <row r="621" spans="1:13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</row>
    <row r="622" spans="1:13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</row>
    <row r="623" spans="1:13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</row>
    <row r="624" spans="1:13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</row>
    <row r="625" spans="1:13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</row>
    <row r="626" spans="1:13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</row>
    <row r="627" spans="1:13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</row>
    <row r="628" spans="1:13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</row>
    <row r="629" spans="1:13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</row>
    <row r="630" spans="1:13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</row>
    <row r="631" spans="1:13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</row>
    <row r="632" spans="1:13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</row>
    <row r="633" spans="1:13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</row>
    <row r="634" spans="1:13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</row>
    <row r="635" spans="1:13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</row>
    <row r="636" spans="1:13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</row>
    <row r="637" spans="1:13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</row>
    <row r="638" spans="1:13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</row>
    <row r="639" spans="1:13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</row>
    <row r="640" spans="1:13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</row>
    <row r="641" spans="1:13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</row>
    <row r="642" spans="1:13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</row>
    <row r="643" spans="1:13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</row>
    <row r="644" spans="1:13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</row>
    <row r="645" spans="1:13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</row>
    <row r="646" spans="1:13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</row>
    <row r="647" spans="1:13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</row>
    <row r="648" spans="1:13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</row>
    <row r="649" spans="1:13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</row>
    <row r="650" spans="1:13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</row>
    <row r="651" spans="1:13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</row>
    <row r="652" spans="1:13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</row>
    <row r="653" spans="1:13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</row>
    <row r="654" spans="1:13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</row>
    <row r="655" spans="1:13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</row>
    <row r="656" spans="1:13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</row>
    <row r="657" spans="1:13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</row>
    <row r="658" spans="1:13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</row>
    <row r="659" spans="1:13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</row>
    <row r="660" spans="1:13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</row>
    <row r="661" spans="1:13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</row>
    <row r="662" spans="1:13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</row>
    <row r="663" spans="1:13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</row>
    <row r="664" spans="1:13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</row>
    <row r="665" spans="1:13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</row>
    <row r="666" spans="1:13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</row>
    <row r="667" spans="1:13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</row>
    <row r="668" spans="1:13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</row>
    <row r="669" spans="1:13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</row>
    <row r="670" spans="1:13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</row>
    <row r="671" spans="1:13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</row>
    <row r="672" spans="1:13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</row>
    <row r="673" spans="1:13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</row>
    <row r="674" spans="1:13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</row>
    <row r="675" spans="1:13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</row>
    <row r="676" spans="1:13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</row>
    <row r="677" spans="1:13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</row>
    <row r="678" spans="1:13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</row>
    <row r="679" spans="1:13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</row>
    <row r="680" spans="1:13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</row>
    <row r="681" spans="1:13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</row>
    <row r="682" spans="1:13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</row>
    <row r="683" spans="1:13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</row>
    <row r="684" spans="1:13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</row>
    <row r="685" spans="1:13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</row>
    <row r="686" spans="1:13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</row>
    <row r="687" spans="1:13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</row>
    <row r="688" spans="1:13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</row>
    <row r="689" spans="1:13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</row>
    <row r="690" spans="1:13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</row>
    <row r="691" spans="1:13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</row>
    <row r="692" spans="1:13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</row>
    <row r="693" spans="1:13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</row>
    <row r="694" spans="1:13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</row>
    <row r="695" spans="1:13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</row>
    <row r="696" spans="1:13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</row>
    <row r="697" spans="1:13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</row>
    <row r="698" spans="1:13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</row>
    <row r="699" spans="1:13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</row>
    <row r="700" spans="1:13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</row>
    <row r="701" spans="1:13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</row>
    <row r="702" spans="1:13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</row>
    <row r="703" spans="1:13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</row>
    <row r="704" spans="1:13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</row>
    <row r="705" spans="1:13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</row>
    <row r="706" spans="1:13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</row>
    <row r="707" spans="1:13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</row>
    <row r="708" spans="1:13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</row>
    <row r="709" spans="1:13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</row>
    <row r="710" spans="1:13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</row>
    <row r="711" spans="1:13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</row>
    <row r="712" spans="1:13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</row>
    <row r="713" spans="1:13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</row>
    <row r="714" spans="1:13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</row>
    <row r="715" spans="1:13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</row>
    <row r="716" spans="1:13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</row>
    <row r="717" spans="1:13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</row>
    <row r="718" spans="1:13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</row>
    <row r="719" spans="1:13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</row>
    <row r="720" spans="1:13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</row>
    <row r="721" spans="1:13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</row>
    <row r="722" spans="1:13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</row>
    <row r="723" spans="1:13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</row>
    <row r="724" spans="1:13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</row>
    <row r="725" spans="1:13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</row>
    <row r="726" spans="1:13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</row>
    <row r="727" spans="1:13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</row>
    <row r="728" spans="1:13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</row>
    <row r="729" spans="1:13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</row>
    <row r="730" spans="1:13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</row>
    <row r="731" spans="1:13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</row>
    <row r="732" spans="1:13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</row>
    <row r="733" spans="1:13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</row>
    <row r="734" spans="1:13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</row>
    <row r="735" spans="1:13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</row>
    <row r="736" spans="1:13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</row>
    <row r="737" spans="1:13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</row>
    <row r="738" spans="1:13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</row>
    <row r="739" spans="1:13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</row>
    <row r="740" spans="1:13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</row>
    <row r="741" spans="1:13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</row>
    <row r="742" spans="1:13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</row>
    <row r="743" spans="1:13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</row>
    <row r="744" spans="1:13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</row>
    <row r="745" spans="1:13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</row>
    <row r="746" spans="1:13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</row>
    <row r="747" spans="1:13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</row>
    <row r="748" spans="1:13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</row>
    <row r="749" spans="1:13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</row>
    <row r="750" spans="1:13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</row>
    <row r="751" spans="1:13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</row>
    <row r="752" spans="1:13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</row>
    <row r="753" spans="1:13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</row>
    <row r="754" spans="1:13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</row>
    <row r="755" spans="1:13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</row>
    <row r="756" spans="1:13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</row>
    <row r="757" spans="1:13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</row>
    <row r="758" spans="1:13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</row>
    <row r="759" spans="1:13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</row>
    <row r="760" spans="1:13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</row>
    <row r="761" spans="1:13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</row>
    <row r="762" spans="1:13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</row>
    <row r="763" spans="1:13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</row>
    <row r="764" spans="1:13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</row>
    <row r="765" spans="1:13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</row>
    <row r="766" spans="1:13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</row>
    <row r="767" spans="1:13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</row>
    <row r="768" spans="1:13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</row>
    <row r="769" spans="1:13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</row>
    <row r="770" spans="1:13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</row>
    <row r="771" spans="1:13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</row>
    <row r="772" spans="1:13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</row>
    <row r="773" spans="1:13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</row>
    <row r="774" spans="1:13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</row>
    <row r="775" spans="1:13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</row>
    <row r="776" spans="1:13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</row>
    <row r="777" spans="1:13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</row>
    <row r="778" spans="1:13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</row>
    <row r="779" spans="1:13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</row>
    <row r="780" spans="1:13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</row>
    <row r="781" spans="1:13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</row>
    <row r="782" spans="1:13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</row>
    <row r="783" spans="1:13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</row>
    <row r="784" spans="1:13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</row>
    <row r="785" spans="1:13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</row>
    <row r="786" spans="1:13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</row>
    <row r="787" spans="1:13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</row>
    <row r="788" spans="1:13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</row>
    <row r="789" spans="1:13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</row>
    <row r="790" spans="1:13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</row>
    <row r="791" spans="1:13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</row>
    <row r="792" spans="1:13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</row>
    <row r="793" spans="1:13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</row>
    <row r="794" spans="1:13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</row>
    <row r="795" spans="1:13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</row>
    <row r="796" spans="1:13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</row>
    <row r="797" spans="1:13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</row>
    <row r="798" spans="1:13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</row>
    <row r="799" spans="1:13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</row>
    <row r="800" spans="1:13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</row>
    <row r="801" spans="1:13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</row>
    <row r="802" spans="1:13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</row>
    <row r="803" spans="1:13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</row>
    <row r="804" spans="1:13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</row>
    <row r="805" spans="1:13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</row>
    <row r="806" spans="1:13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</row>
    <row r="807" spans="1:13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</row>
    <row r="808" spans="1:13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</row>
    <row r="809" spans="1:13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</row>
    <row r="810" spans="1:13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</row>
    <row r="811" spans="1:13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</row>
    <row r="812" spans="1:13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</row>
    <row r="813" spans="1:13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</row>
    <row r="814" spans="1:13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</row>
    <row r="815" spans="1:13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</row>
    <row r="816" spans="1:13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</row>
    <row r="817" spans="1:13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</row>
    <row r="818" spans="1:13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</row>
    <row r="819" spans="1:13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</row>
    <row r="820" spans="1:13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</row>
    <row r="821" spans="1:13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</row>
    <row r="822" spans="1:13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</row>
    <row r="823" spans="1:13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</row>
    <row r="824" spans="1:13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</row>
    <row r="825" spans="1:13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</row>
    <row r="826" spans="1:13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</row>
    <row r="827" spans="1:13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</row>
    <row r="828" spans="1:13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</row>
    <row r="829" spans="1:13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</row>
    <row r="830" spans="1:13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</row>
    <row r="831" spans="1:13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</row>
    <row r="832" spans="1:13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</row>
    <row r="833" spans="1:13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</row>
    <row r="834" spans="1:13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</row>
    <row r="835" spans="1:13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</row>
    <row r="836" spans="1:13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</row>
    <row r="837" spans="1:13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</row>
    <row r="838" spans="1:13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</row>
    <row r="839" spans="1:13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</row>
    <row r="840" spans="1:13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</row>
    <row r="841" spans="1:13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</row>
    <row r="842" spans="1:13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</row>
    <row r="843" spans="1:13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</row>
    <row r="844" spans="1:13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</row>
    <row r="845" spans="1:13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</row>
    <row r="846" spans="1:13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</row>
    <row r="847" spans="1:13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</row>
    <row r="848" spans="1:13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</row>
    <row r="849" spans="1:13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</row>
    <row r="850" spans="1:13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</row>
    <row r="851" spans="1:13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</row>
    <row r="852" spans="1:13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</row>
    <row r="853" spans="1:13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</row>
    <row r="854" spans="1:13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</row>
    <row r="855" spans="1:13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</row>
    <row r="856" spans="1:13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</row>
    <row r="857" spans="1:13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</row>
    <row r="858" spans="1:13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</row>
    <row r="859" spans="1:13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</row>
    <row r="860" spans="1:13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</row>
    <row r="861" spans="1:13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</row>
    <row r="862" spans="1:13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</row>
    <row r="863" spans="1:13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</row>
    <row r="864" spans="1:13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</row>
    <row r="865" spans="1:13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</row>
    <row r="866" spans="1:13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</row>
    <row r="867" spans="1:13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</row>
    <row r="868" spans="1:13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</row>
    <row r="869" spans="1:13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</row>
    <row r="870" spans="1:13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</row>
    <row r="871" spans="1:13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</row>
    <row r="872" spans="1:13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</row>
    <row r="873" spans="1:13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</row>
    <row r="874" spans="1:13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</row>
    <row r="875" spans="1:13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</row>
    <row r="876" spans="1:13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</row>
    <row r="877" spans="1:13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</row>
    <row r="878" spans="1:13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</row>
    <row r="879" spans="1:13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</row>
    <row r="880" spans="1:13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</row>
    <row r="881" spans="1:13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</row>
    <row r="882" spans="1:13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</row>
    <row r="883" spans="1:13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</row>
    <row r="884" spans="1:13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</row>
    <row r="885" spans="1:13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</row>
    <row r="886" spans="1:13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</row>
    <row r="887" spans="1:13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</row>
    <row r="888" spans="1:13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</row>
    <row r="889" spans="1:13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</row>
    <row r="890" spans="1:13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</row>
    <row r="891" spans="1:13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</row>
    <row r="892" spans="1:13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</row>
    <row r="893" spans="1:13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</row>
    <row r="894" spans="1:13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</row>
    <row r="895" spans="1:13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</row>
    <row r="896" spans="1:13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</row>
    <row r="897" spans="1:13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</row>
    <row r="898" spans="1:13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</row>
    <row r="899" spans="1:13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</row>
    <row r="900" spans="1:13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</row>
    <row r="901" spans="1:13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</row>
    <row r="902" spans="1:13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</row>
    <row r="903" spans="1:13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</row>
    <row r="904" spans="1:13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</row>
    <row r="905" spans="1:13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</row>
    <row r="906" spans="1:13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</row>
    <row r="907" spans="1:13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</row>
    <row r="908" spans="1:13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</row>
    <row r="909" spans="1:13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</row>
    <row r="910" spans="1:13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</row>
    <row r="911" spans="1:13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</row>
    <row r="912" spans="1:13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</row>
    <row r="913" spans="1:13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</row>
    <row r="914" spans="1:13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</row>
    <row r="915" spans="1:13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</row>
    <row r="916" spans="1:13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</row>
    <row r="917" spans="1:13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</row>
    <row r="918" spans="1:13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</row>
    <row r="919" spans="1:13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</row>
    <row r="920" spans="1:13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</row>
    <row r="921" spans="1:13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</row>
    <row r="922" spans="1:13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</row>
    <row r="923" spans="1:13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</row>
    <row r="924" spans="1:13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</row>
    <row r="925" spans="1:13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</row>
    <row r="926" spans="1:13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</row>
    <row r="927" spans="1:13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</row>
    <row r="928" spans="1:13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</row>
    <row r="929" spans="1:13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</row>
    <row r="930" spans="1:13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</row>
    <row r="931" spans="1:13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</row>
    <row r="932" spans="1:13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</row>
    <row r="933" spans="1:13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</row>
    <row r="934" spans="1:13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</row>
    <row r="935" spans="1:13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</row>
    <row r="936" spans="1:13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</row>
    <row r="937" spans="1:13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</row>
    <row r="938" spans="1:13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</row>
    <row r="939" spans="1:13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</row>
    <row r="940" spans="1:13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</row>
    <row r="941" spans="1:13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</row>
    <row r="942" spans="1:13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</row>
    <row r="943" spans="1:13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</row>
    <row r="944" spans="1:13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</row>
    <row r="945" spans="1:13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</row>
    <row r="946" spans="1:13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</row>
    <row r="947" spans="1:13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</row>
    <row r="948" spans="1:13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</row>
    <row r="949" spans="1:13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</row>
    <row r="950" spans="1:13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</row>
    <row r="951" spans="1:13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</row>
    <row r="952" spans="1:13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</row>
    <row r="953" spans="1:13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</row>
    <row r="954" spans="1:13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</row>
    <row r="955" spans="1:13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</row>
    <row r="956" spans="1:13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</row>
    <row r="957" spans="1:13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</row>
    <row r="958" spans="1:13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</row>
    <row r="959" spans="1:13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</row>
    <row r="960" spans="1:13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</row>
    <row r="961" spans="1:13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</row>
    <row r="962" spans="1:13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</row>
    <row r="963" spans="1:13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</row>
    <row r="964" spans="1:13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</row>
    <row r="965" spans="1:13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</row>
    <row r="966" spans="1:13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</row>
    <row r="967" spans="1:13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</row>
    <row r="968" spans="1:13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</row>
    <row r="969" spans="1:13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</row>
    <row r="970" spans="1:13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</row>
    <row r="971" spans="1:13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</row>
    <row r="972" spans="1:13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</row>
    <row r="973" spans="1:13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</row>
    <row r="974" spans="1:13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</row>
    <row r="975" spans="1:13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</row>
    <row r="976" spans="1:13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</row>
    <row r="977" spans="1:13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</row>
    <row r="978" spans="1:13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</row>
    <row r="979" spans="1:13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</row>
    <row r="980" spans="1:13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</row>
    <row r="981" spans="1:13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</row>
    <row r="982" spans="1:13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</row>
    <row r="983" spans="1:13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</row>
    <row r="984" spans="1:13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23622047244094491" top="0.43307086614173229" bottom="0.35433070866141736" header="0" footer="0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84"/>
  <sheetViews>
    <sheetView zoomScaleNormal="100" workbookViewId="0">
      <pane ySplit="8" topLeftCell="A47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88671875" style="220" customWidth="1"/>
    <col min="2" max="2" width="29" style="220" customWidth="1"/>
    <col min="3" max="3" width="10.33203125" style="220" customWidth="1"/>
    <col min="4" max="4" width="16.21875" style="220" customWidth="1"/>
    <col min="5" max="5" width="17.88671875" style="220" customWidth="1"/>
    <col min="6" max="9" width="12.6640625" style="220" customWidth="1"/>
    <col min="10" max="10" width="8.88671875" style="17" customWidth="1"/>
    <col min="11" max="11" width="19.77734375" style="17" customWidth="1"/>
    <col min="12" max="14" width="8.88671875" style="17" customWidth="1"/>
    <col min="15" max="16384" width="11.21875" style="17"/>
  </cols>
  <sheetData>
    <row r="1" spans="1:23" ht="15" customHeight="1" x14ac:dyDescent="0.25">
      <c r="H1" s="422"/>
      <c r="I1" s="422"/>
    </row>
    <row r="2" spans="1:23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23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23" ht="16.5" x14ac:dyDescent="0.25">
      <c r="A4" s="418" t="s">
        <v>145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23" ht="16.5" x14ac:dyDescent="0.25">
      <c r="A5" s="430" t="str">
        <f>'TUMO RONG (1)'!A5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23" ht="16.5" x14ac:dyDescent="0.25">
      <c r="A6" s="288"/>
      <c r="B6" s="288"/>
      <c r="C6" s="288"/>
      <c r="D6" s="288"/>
      <c r="E6" s="288"/>
      <c r="F6" s="288"/>
      <c r="G6" s="288"/>
      <c r="H6" s="288"/>
      <c r="I6" s="288"/>
      <c r="J6" s="19"/>
      <c r="K6" s="19"/>
      <c r="L6" s="19"/>
      <c r="M6" s="19"/>
      <c r="N6" s="19"/>
    </row>
    <row r="7" spans="1:23" ht="33.6" customHeight="1" x14ac:dyDescent="0.25">
      <c r="A7" s="409" t="s">
        <v>8</v>
      </c>
      <c r="B7" s="409" t="s">
        <v>1</v>
      </c>
      <c r="C7" s="409" t="s">
        <v>9</v>
      </c>
      <c r="D7" s="409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4">
        <v>37</v>
      </c>
      <c r="M7" s="19"/>
      <c r="N7" s="19"/>
    </row>
    <row r="8" spans="1:23" ht="33.6" customHeight="1" x14ac:dyDescent="0.25">
      <c r="A8" s="417"/>
      <c r="B8" s="417"/>
      <c r="C8" s="417"/>
      <c r="D8" s="409"/>
      <c r="E8" s="221" t="s">
        <v>178</v>
      </c>
      <c r="F8" s="221" t="s">
        <v>280</v>
      </c>
      <c r="G8" s="221" t="s">
        <v>281</v>
      </c>
      <c r="H8" s="221" t="s">
        <v>179</v>
      </c>
      <c r="I8" s="421"/>
      <c r="J8" s="47"/>
      <c r="K8" s="52" t="s">
        <v>137</v>
      </c>
      <c r="L8" s="65">
        <v>130</v>
      </c>
      <c r="M8" s="47"/>
      <c r="N8" s="47"/>
      <c r="O8" s="30"/>
      <c r="P8" s="30"/>
      <c r="Q8" s="30"/>
      <c r="R8" s="30"/>
      <c r="S8" s="30"/>
      <c r="T8" s="30"/>
      <c r="U8" s="30"/>
      <c r="V8" s="30"/>
      <c r="W8" s="30"/>
    </row>
    <row r="9" spans="1:23" s="23" customFormat="1" ht="31.9" customHeight="1" x14ac:dyDescent="0.25">
      <c r="A9" s="222" t="s">
        <v>10</v>
      </c>
      <c r="B9" s="223" t="s">
        <v>11</v>
      </c>
      <c r="C9" s="222" t="s">
        <v>4</v>
      </c>
      <c r="D9" s="184">
        <f>D13+D28+D37+D43+D46+D67</f>
        <v>45.59</v>
      </c>
      <c r="E9" s="184">
        <f t="shared" ref="E9:G9" si="0">E13+E28+E37+E43+E46+E67</f>
        <v>64.309999999999988</v>
      </c>
      <c r="F9" s="184">
        <f t="shared" si="0"/>
        <v>49.882999999999996</v>
      </c>
      <c r="G9" s="184">
        <f t="shared" si="0"/>
        <v>49.682999999999993</v>
      </c>
      <c r="H9" s="184">
        <f>F9/E9*100</f>
        <v>77.566474887264818</v>
      </c>
      <c r="I9" s="184"/>
      <c r="J9" s="118"/>
      <c r="K9" s="118"/>
      <c r="L9" s="118"/>
      <c r="M9" s="118"/>
      <c r="N9" s="118"/>
      <c r="O9" s="35"/>
      <c r="P9" s="35"/>
      <c r="Q9" s="35"/>
      <c r="R9" s="35"/>
      <c r="S9" s="35"/>
      <c r="T9" s="35"/>
      <c r="U9" s="35"/>
      <c r="V9" s="35"/>
      <c r="W9" s="35"/>
    </row>
    <row r="10" spans="1:23" s="23" customFormat="1" ht="31.9" customHeight="1" x14ac:dyDescent="0.25">
      <c r="A10" s="222">
        <v>1</v>
      </c>
      <c r="B10" s="223" t="s">
        <v>12</v>
      </c>
      <c r="C10" s="222" t="s">
        <v>4</v>
      </c>
      <c r="D10" s="184">
        <f>D13+D28</f>
        <v>1</v>
      </c>
      <c r="E10" s="184">
        <f t="shared" ref="E10:G10" si="1">E13+E28</f>
        <v>10.82</v>
      </c>
      <c r="F10" s="184">
        <f t="shared" si="1"/>
        <v>2.17</v>
      </c>
      <c r="G10" s="184">
        <f t="shared" si="1"/>
        <v>2.17</v>
      </c>
      <c r="H10" s="184">
        <f t="shared" ref="H10:H73" si="2">F10/E10*100</f>
        <v>20.055452865064694</v>
      </c>
      <c r="I10" s="184"/>
      <c r="J10" s="118"/>
      <c r="K10" s="118"/>
      <c r="L10" s="118"/>
      <c r="M10" s="118"/>
      <c r="N10" s="118"/>
      <c r="O10" s="35"/>
      <c r="P10" s="35"/>
      <c r="Q10" s="35"/>
      <c r="R10" s="35"/>
      <c r="S10" s="35"/>
      <c r="T10" s="35"/>
      <c r="U10" s="35"/>
      <c r="V10" s="35"/>
      <c r="W10" s="35"/>
    </row>
    <row r="11" spans="1:23" s="23" customFormat="1" ht="31.9" customHeight="1" x14ac:dyDescent="0.25">
      <c r="A11" s="222"/>
      <c r="B11" s="224" t="s">
        <v>14</v>
      </c>
      <c r="C11" s="2" t="s">
        <v>15</v>
      </c>
      <c r="D11" s="184">
        <f>D15+D30</f>
        <v>3.6850000000000001</v>
      </c>
      <c r="E11" s="184">
        <f t="shared" ref="E11:G11" si="3">E15+E30</f>
        <v>40.773600000000002</v>
      </c>
      <c r="F11" s="184">
        <f t="shared" si="3"/>
        <v>0</v>
      </c>
      <c r="G11" s="184">
        <f t="shared" si="3"/>
        <v>0</v>
      </c>
      <c r="H11" s="184">
        <f t="shared" si="2"/>
        <v>0</v>
      </c>
      <c r="I11" s="184"/>
      <c r="J11" s="118"/>
      <c r="K11" s="118"/>
      <c r="L11" s="118"/>
      <c r="M11" s="118"/>
      <c r="N11" s="118"/>
      <c r="O11" s="35"/>
      <c r="P11" s="35"/>
      <c r="Q11" s="35"/>
      <c r="R11" s="35"/>
      <c r="S11" s="35"/>
      <c r="T11" s="35"/>
      <c r="U11" s="35"/>
      <c r="V11" s="35"/>
      <c r="W11" s="35"/>
    </row>
    <row r="12" spans="1:23" s="23" customFormat="1" ht="31.9" customHeight="1" x14ac:dyDescent="0.25">
      <c r="A12" s="222"/>
      <c r="B12" s="225" t="s">
        <v>142</v>
      </c>
      <c r="C12" s="2" t="s">
        <v>15</v>
      </c>
      <c r="D12" s="184">
        <f>D15</f>
        <v>0</v>
      </c>
      <c r="E12" s="184">
        <f t="shared" ref="E12:G12" si="4">E15</f>
        <v>37.083600000000004</v>
      </c>
      <c r="F12" s="184">
        <f t="shared" si="4"/>
        <v>0</v>
      </c>
      <c r="G12" s="184">
        <f t="shared" si="4"/>
        <v>0</v>
      </c>
      <c r="H12" s="184">
        <f t="shared" si="2"/>
        <v>0</v>
      </c>
      <c r="I12" s="184"/>
      <c r="J12" s="118"/>
      <c r="K12" s="118"/>
      <c r="L12" s="118"/>
      <c r="M12" s="118"/>
      <c r="N12" s="118"/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31.9" customHeight="1" x14ac:dyDescent="0.25">
      <c r="A13" s="222" t="s">
        <v>3</v>
      </c>
      <c r="B13" s="223" t="s">
        <v>17</v>
      </c>
      <c r="C13" s="222" t="s">
        <v>4</v>
      </c>
      <c r="D13" s="184">
        <f>D16+D19</f>
        <v>0</v>
      </c>
      <c r="E13" s="184">
        <f t="shared" ref="E13:G13" si="5">E16+E19</f>
        <v>9.82</v>
      </c>
      <c r="F13" s="184">
        <f t="shared" si="5"/>
        <v>1.17</v>
      </c>
      <c r="G13" s="184">
        <f t="shared" si="5"/>
        <v>1.17</v>
      </c>
      <c r="H13" s="184">
        <f t="shared" si="2"/>
        <v>11.914460285132382</v>
      </c>
      <c r="I13" s="184"/>
      <c r="J13" s="47"/>
      <c r="K13" s="140"/>
      <c r="L13" s="140"/>
      <c r="M13" s="141"/>
      <c r="N13" s="140"/>
      <c r="O13" s="142"/>
      <c r="P13" s="142"/>
      <c r="Q13" s="142"/>
      <c r="R13" s="142"/>
      <c r="S13" s="49"/>
      <c r="T13" s="33"/>
      <c r="U13" s="30"/>
      <c r="V13" s="30"/>
      <c r="W13" s="30"/>
    </row>
    <row r="14" spans="1:23" ht="31.9" customHeight="1" x14ac:dyDescent="0.25">
      <c r="A14" s="222"/>
      <c r="B14" s="227" t="s">
        <v>139</v>
      </c>
      <c r="C14" s="4" t="s">
        <v>140</v>
      </c>
      <c r="D14" s="188"/>
      <c r="E14" s="188">
        <f t="shared" ref="E14:G14" si="6">E15/E13*10</f>
        <v>37.763340122199594</v>
      </c>
      <c r="F14" s="188">
        <f t="shared" si="6"/>
        <v>0</v>
      </c>
      <c r="G14" s="188">
        <f t="shared" si="6"/>
        <v>0</v>
      </c>
      <c r="H14" s="184">
        <f t="shared" si="2"/>
        <v>0</v>
      </c>
      <c r="I14" s="188"/>
      <c r="J14" s="47"/>
      <c r="K14" s="47"/>
      <c r="L14" s="47"/>
      <c r="M14" s="47"/>
      <c r="N14" s="47"/>
      <c r="O14" s="30"/>
      <c r="P14" s="30"/>
      <c r="Q14" s="30"/>
      <c r="R14" s="30"/>
      <c r="S14" s="30"/>
      <c r="T14" s="30"/>
      <c r="U14" s="30"/>
      <c r="V14" s="30"/>
      <c r="W14" s="30"/>
    </row>
    <row r="15" spans="1:23" ht="31.9" customHeight="1" x14ac:dyDescent="0.25">
      <c r="A15" s="222"/>
      <c r="B15" s="227" t="s">
        <v>141</v>
      </c>
      <c r="C15" s="4" t="s">
        <v>15</v>
      </c>
      <c r="D15" s="188">
        <f>D18+D21</f>
        <v>0</v>
      </c>
      <c r="E15" s="188">
        <f t="shared" ref="E15:G15" si="7">E18+E21</f>
        <v>37.083600000000004</v>
      </c>
      <c r="F15" s="188">
        <f t="shared" si="7"/>
        <v>0</v>
      </c>
      <c r="G15" s="188">
        <f t="shared" si="7"/>
        <v>0</v>
      </c>
      <c r="H15" s="184">
        <f t="shared" si="2"/>
        <v>0</v>
      </c>
      <c r="I15" s="188"/>
      <c r="J15" s="47"/>
      <c r="K15" s="47"/>
      <c r="L15" s="47"/>
      <c r="M15" s="47"/>
      <c r="N15" s="47"/>
      <c r="O15" s="30"/>
      <c r="P15" s="30"/>
      <c r="Q15" s="30"/>
      <c r="R15" s="30"/>
      <c r="S15" s="30"/>
      <c r="T15" s="30"/>
      <c r="U15" s="30"/>
      <c r="V15" s="30"/>
      <c r="W15" s="30"/>
    </row>
    <row r="16" spans="1:23" ht="31.9" customHeight="1" x14ac:dyDescent="0.25">
      <c r="A16" s="222" t="s">
        <v>18</v>
      </c>
      <c r="B16" s="223" t="s">
        <v>19</v>
      </c>
      <c r="C16" s="222" t="s">
        <v>4</v>
      </c>
      <c r="D16" s="184"/>
      <c r="E16" s="184">
        <v>1.17</v>
      </c>
      <c r="F16" s="184">
        <v>1.17</v>
      </c>
      <c r="G16" s="184">
        <v>1.17</v>
      </c>
      <c r="H16" s="184">
        <f t="shared" si="2"/>
        <v>100</v>
      </c>
      <c r="I16" s="184"/>
      <c r="J16" s="26"/>
      <c r="K16" s="26"/>
      <c r="L16" s="26"/>
      <c r="M16" s="26"/>
      <c r="N16" s="26"/>
      <c r="O16" s="53"/>
      <c r="P16" s="53"/>
      <c r="Q16" s="53"/>
      <c r="R16" s="53"/>
      <c r="S16" s="30"/>
      <c r="T16" s="30"/>
      <c r="U16" s="30"/>
      <c r="V16" s="30"/>
      <c r="W16" s="30"/>
    </row>
    <row r="17" spans="1:23" ht="31.9" customHeight="1" x14ac:dyDescent="0.25">
      <c r="A17" s="222"/>
      <c r="B17" s="227" t="s">
        <v>139</v>
      </c>
      <c r="C17" s="4" t="s">
        <v>140</v>
      </c>
      <c r="D17" s="188">
        <v>33.5</v>
      </c>
      <c r="E17" s="188">
        <v>33.5</v>
      </c>
      <c r="F17" s="188"/>
      <c r="G17" s="188">
        <v>0</v>
      </c>
      <c r="H17" s="184">
        <f t="shared" si="2"/>
        <v>0</v>
      </c>
      <c r="I17" s="188"/>
      <c r="J17" s="26"/>
      <c r="K17" s="26"/>
      <c r="L17" s="26"/>
      <c r="M17" s="26"/>
      <c r="N17" s="26"/>
      <c r="O17" s="53"/>
      <c r="P17" s="53"/>
      <c r="Q17" s="53"/>
      <c r="R17" s="53"/>
      <c r="S17" s="30"/>
      <c r="T17" s="30"/>
      <c r="U17" s="30"/>
      <c r="V17" s="30"/>
      <c r="W17" s="30"/>
    </row>
    <row r="18" spans="1:23" ht="31.9" customHeight="1" x14ac:dyDescent="0.25">
      <c r="A18" s="222"/>
      <c r="B18" s="227" t="s">
        <v>141</v>
      </c>
      <c r="C18" s="4" t="s">
        <v>15</v>
      </c>
      <c r="D18" s="184">
        <f>D16*D17/10</f>
        <v>0</v>
      </c>
      <c r="E18" s="188">
        <f t="shared" ref="E18:G18" si="8">E16*E17/10</f>
        <v>3.9195000000000002</v>
      </c>
      <c r="F18" s="188">
        <f t="shared" si="8"/>
        <v>0</v>
      </c>
      <c r="G18" s="188">
        <f t="shared" si="8"/>
        <v>0</v>
      </c>
      <c r="H18" s="184">
        <f t="shared" si="2"/>
        <v>0</v>
      </c>
      <c r="I18" s="188"/>
      <c r="J18" s="26"/>
      <c r="K18" s="26"/>
      <c r="L18" s="26"/>
      <c r="M18" s="26"/>
      <c r="N18" s="26"/>
      <c r="O18" s="53"/>
      <c r="P18" s="53"/>
      <c r="Q18" s="53"/>
      <c r="R18" s="53"/>
      <c r="S18" s="30"/>
      <c r="T18" s="30"/>
      <c r="U18" s="30"/>
      <c r="V18" s="30"/>
      <c r="W18" s="30"/>
    </row>
    <row r="19" spans="1:23" ht="31.9" customHeight="1" x14ac:dyDescent="0.25">
      <c r="A19" s="230" t="s">
        <v>20</v>
      </c>
      <c r="B19" s="231" t="s">
        <v>21</v>
      </c>
      <c r="C19" s="230" t="s">
        <v>4</v>
      </c>
      <c r="D19" s="184">
        <f t="shared" ref="D19:G19" si="9">D22+D25</f>
        <v>0</v>
      </c>
      <c r="E19" s="184">
        <f t="shared" si="9"/>
        <v>8.65</v>
      </c>
      <c r="F19" s="184">
        <f t="shared" si="9"/>
        <v>0</v>
      </c>
      <c r="G19" s="184">
        <f t="shared" si="9"/>
        <v>0</v>
      </c>
      <c r="H19" s="184">
        <f t="shared" si="2"/>
        <v>0</v>
      </c>
      <c r="I19" s="184"/>
      <c r="J19" s="24"/>
      <c r="K19" s="24"/>
      <c r="L19" s="24"/>
      <c r="M19" s="24"/>
      <c r="N19" s="29"/>
      <c r="O19" s="54"/>
      <c r="P19" s="54"/>
      <c r="Q19" s="54"/>
      <c r="R19" s="54"/>
      <c r="S19" s="54"/>
      <c r="T19" s="54"/>
      <c r="U19" s="54"/>
      <c r="V19" s="54"/>
      <c r="W19" s="30"/>
    </row>
    <row r="20" spans="1:23" ht="31.9" customHeight="1" x14ac:dyDescent="0.25">
      <c r="A20" s="230"/>
      <c r="B20" s="227" t="s">
        <v>139</v>
      </c>
      <c r="C20" s="4" t="s">
        <v>140</v>
      </c>
      <c r="D20" s="188"/>
      <c r="E20" s="188">
        <f>E21/E19*10</f>
        <v>38.340000000000003</v>
      </c>
      <c r="F20" s="188"/>
      <c r="G20" s="188"/>
      <c r="H20" s="184">
        <f t="shared" si="2"/>
        <v>0</v>
      </c>
      <c r="I20" s="188"/>
      <c r="J20" s="24"/>
      <c r="K20" s="24"/>
      <c r="L20" s="24"/>
      <c r="M20" s="24"/>
      <c r="N20" s="29"/>
      <c r="O20" s="54"/>
      <c r="P20" s="54"/>
      <c r="Q20" s="54"/>
      <c r="R20" s="54"/>
      <c r="S20" s="54"/>
      <c r="T20" s="54"/>
      <c r="U20" s="54"/>
      <c r="V20" s="54"/>
      <c r="W20" s="30"/>
    </row>
    <row r="21" spans="1:23" ht="31.9" customHeight="1" x14ac:dyDescent="0.25">
      <c r="A21" s="230"/>
      <c r="B21" s="227" t="s">
        <v>141</v>
      </c>
      <c r="C21" s="4" t="s">
        <v>15</v>
      </c>
      <c r="D21" s="188">
        <f>D24+D27</f>
        <v>0</v>
      </c>
      <c r="E21" s="188">
        <f t="shared" ref="E21:G21" si="10">E24+E27</f>
        <v>33.164100000000005</v>
      </c>
      <c r="F21" s="188">
        <f t="shared" si="10"/>
        <v>0</v>
      </c>
      <c r="G21" s="188">
        <f t="shared" si="10"/>
        <v>0</v>
      </c>
      <c r="H21" s="184">
        <f t="shared" si="2"/>
        <v>0</v>
      </c>
      <c r="I21" s="188"/>
      <c r="J21" s="24"/>
      <c r="K21" s="24"/>
      <c r="L21" s="24"/>
      <c r="M21" s="24"/>
      <c r="N21" s="29"/>
      <c r="O21" s="54"/>
      <c r="P21" s="54"/>
      <c r="Q21" s="54"/>
      <c r="R21" s="54"/>
      <c r="S21" s="54"/>
      <c r="T21" s="54"/>
      <c r="U21" s="54"/>
      <c r="V21" s="54"/>
      <c r="W21" s="30"/>
    </row>
    <row r="22" spans="1:23" ht="31.9" customHeight="1" x14ac:dyDescent="0.25">
      <c r="A22" s="230" t="s">
        <v>22</v>
      </c>
      <c r="B22" s="231" t="s">
        <v>23</v>
      </c>
      <c r="C22" s="230" t="s">
        <v>4</v>
      </c>
      <c r="D22" s="184"/>
      <c r="E22" s="184">
        <f>5.33+3.32</f>
        <v>8.65</v>
      </c>
      <c r="F22" s="188"/>
      <c r="G22" s="184">
        <v>0</v>
      </c>
      <c r="H22" s="184">
        <f t="shared" si="2"/>
        <v>0</v>
      </c>
      <c r="I22" s="188"/>
      <c r="J22" s="8"/>
      <c r="K22" s="8"/>
      <c r="L22" s="8"/>
      <c r="M22" s="8"/>
      <c r="N22" s="9"/>
      <c r="O22" s="10"/>
      <c r="P22" s="10"/>
      <c r="Q22" s="10"/>
      <c r="R22" s="10"/>
      <c r="S22" s="10"/>
      <c r="T22" s="10"/>
      <c r="U22" s="54"/>
      <c r="V22" s="54"/>
      <c r="W22" s="30"/>
    </row>
    <row r="23" spans="1:23" ht="31.9" customHeight="1" x14ac:dyDescent="0.25">
      <c r="A23" s="230"/>
      <c r="B23" s="227" t="s">
        <v>139</v>
      </c>
      <c r="C23" s="4" t="s">
        <v>140</v>
      </c>
      <c r="D23" s="188">
        <v>38.299999999999997</v>
      </c>
      <c r="E23" s="188">
        <v>38.340000000000003</v>
      </c>
      <c r="F23" s="188"/>
      <c r="G23" s="188"/>
      <c r="H23" s="184">
        <f t="shared" si="2"/>
        <v>0</v>
      </c>
      <c r="I23" s="188"/>
      <c r="J23" s="8"/>
      <c r="K23" s="8"/>
      <c r="L23" s="8"/>
      <c r="M23" s="8"/>
      <c r="N23" s="9"/>
      <c r="O23" s="10"/>
      <c r="P23" s="10"/>
      <c r="Q23" s="10"/>
      <c r="R23" s="10"/>
      <c r="S23" s="10"/>
      <c r="T23" s="10"/>
      <c r="U23" s="54"/>
      <c r="V23" s="54"/>
      <c r="W23" s="30"/>
    </row>
    <row r="24" spans="1:23" ht="31.9" customHeight="1" x14ac:dyDescent="0.25">
      <c r="A24" s="230"/>
      <c r="B24" s="227" t="s">
        <v>141</v>
      </c>
      <c r="C24" s="4" t="s">
        <v>15</v>
      </c>
      <c r="D24" s="188">
        <f>D22*D23/10</f>
        <v>0</v>
      </c>
      <c r="E24" s="188">
        <f t="shared" ref="E24:G24" si="11">E22*E23/10</f>
        <v>33.164100000000005</v>
      </c>
      <c r="F24" s="188">
        <f t="shared" si="11"/>
        <v>0</v>
      </c>
      <c r="G24" s="188">
        <f t="shared" si="11"/>
        <v>0</v>
      </c>
      <c r="H24" s="184">
        <f t="shared" si="2"/>
        <v>0</v>
      </c>
      <c r="I24" s="188"/>
      <c r="J24" s="8"/>
      <c r="K24" s="8"/>
      <c r="L24" s="8"/>
      <c r="M24" s="8"/>
      <c r="N24" s="9"/>
      <c r="O24" s="10"/>
      <c r="P24" s="10"/>
      <c r="Q24" s="10"/>
      <c r="R24" s="10"/>
      <c r="S24" s="10"/>
      <c r="T24" s="10"/>
      <c r="U24" s="54"/>
      <c r="V24" s="54"/>
      <c r="W24" s="30"/>
    </row>
    <row r="25" spans="1:23" ht="31.9" customHeight="1" x14ac:dyDescent="0.25">
      <c r="A25" s="230" t="s">
        <v>22</v>
      </c>
      <c r="B25" s="231" t="s">
        <v>24</v>
      </c>
      <c r="C25" s="230" t="s">
        <v>4</v>
      </c>
      <c r="D25" s="184"/>
      <c r="E25" s="188"/>
      <c r="F25" s="188"/>
      <c r="G25" s="188">
        <v>0</v>
      </c>
      <c r="H25" s="184"/>
      <c r="I25" s="188"/>
      <c r="J25" s="8"/>
      <c r="K25" s="8"/>
      <c r="L25" s="8"/>
      <c r="M25" s="8"/>
      <c r="N25" s="8"/>
      <c r="O25" s="11"/>
      <c r="P25" s="11"/>
      <c r="Q25" s="7"/>
      <c r="R25" s="7"/>
      <c r="S25" s="7"/>
      <c r="T25" s="7"/>
      <c r="U25" s="30"/>
      <c r="V25" s="30"/>
      <c r="W25" s="30"/>
    </row>
    <row r="26" spans="1:23" ht="31.9" customHeight="1" x14ac:dyDescent="0.25">
      <c r="A26" s="230"/>
      <c r="B26" s="227" t="s">
        <v>139</v>
      </c>
      <c r="C26" s="4" t="s">
        <v>140</v>
      </c>
      <c r="D26" s="188">
        <v>15.2</v>
      </c>
      <c r="E26" s="188">
        <v>0</v>
      </c>
      <c r="F26" s="188"/>
      <c r="G26" s="188"/>
      <c r="H26" s="188"/>
      <c r="I26" s="188"/>
      <c r="J26" s="8"/>
      <c r="K26" s="8"/>
      <c r="L26" s="8"/>
      <c r="M26" s="8"/>
      <c r="N26" s="8"/>
      <c r="O26" s="11"/>
      <c r="P26" s="11"/>
      <c r="Q26" s="7"/>
      <c r="R26" s="7"/>
      <c r="S26" s="7"/>
      <c r="T26" s="7"/>
      <c r="U26" s="30"/>
      <c r="V26" s="30"/>
      <c r="W26" s="30"/>
    </row>
    <row r="27" spans="1:23" ht="31.9" customHeight="1" x14ac:dyDescent="0.25">
      <c r="A27" s="230"/>
      <c r="B27" s="227" t="s">
        <v>141</v>
      </c>
      <c r="C27" s="4" t="s">
        <v>15</v>
      </c>
      <c r="D27" s="184">
        <f>D25*D26/10</f>
        <v>0</v>
      </c>
      <c r="E27" s="184">
        <f t="shared" ref="E27" si="12">E25*E26/10</f>
        <v>0</v>
      </c>
      <c r="F27" s="188"/>
      <c r="G27" s="188"/>
      <c r="H27" s="188"/>
      <c r="I27" s="184"/>
      <c r="J27" s="8"/>
      <c r="K27" s="8"/>
      <c r="L27" s="8"/>
      <c r="M27" s="8"/>
      <c r="N27" s="8"/>
      <c r="O27" s="11"/>
      <c r="P27" s="11"/>
      <c r="Q27" s="7"/>
      <c r="R27" s="7"/>
      <c r="S27" s="7"/>
      <c r="T27" s="7"/>
      <c r="U27" s="30"/>
      <c r="V27" s="30"/>
      <c r="W27" s="30"/>
    </row>
    <row r="28" spans="1:23" ht="31.9" customHeight="1" x14ac:dyDescent="0.25">
      <c r="A28" s="222" t="s">
        <v>5</v>
      </c>
      <c r="B28" s="223" t="s">
        <v>25</v>
      </c>
      <c r="C28" s="222" t="s">
        <v>4</v>
      </c>
      <c r="D28" s="184">
        <f t="shared" ref="D28:G28" si="13">D31+D34</f>
        <v>1</v>
      </c>
      <c r="E28" s="184">
        <f t="shared" si="13"/>
        <v>1</v>
      </c>
      <c r="F28" s="184">
        <f t="shared" si="13"/>
        <v>1</v>
      </c>
      <c r="G28" s="184">
        <f t="shared" si="13"/>
        <v>1</v>
      </c>
      <c r="H28" s="184">
        <f t="shared" si="2"/>
        <v>100</v>
      </c>
      <c r="I28" s="184"/>
      <c r="J28" s="12"/>
      <c r="K28" s="12"/>
      <c r="L28" s="12"/>
      <c r="M28" s="12"/>
      <c r="N28" s="12"/>
      <c r="O28" s="7"/>
      <c r="P28" s="7"/>
      <c r="Q28" s="7"/>
      <c r="R28" s="7"/>
      <c r="S28" s="7"/>
      <c r="T28" s="7"/>
      <c r="U28" s="30"/>
      <c r="V28" s="30"/>
      <c r="W28" s="30"/>
    </row>
    <row r="29" spans="1:23" ht="31.9" customHeight="1" x14ac:dyDescent="0.25">
      <c r="A29" s="222"/>
      <c r="B29" s="227" t="s">
        <v>139</v>
      </c>
      <c r="C29" s="4" t="s">
        <v>140</v>
      </c>
      <c r="D29" s="188">
        <f>D30/D28*10</f>
        <v>36.85</v>
      </c>
      <c r="E29" s="188">
        <f t="shared" ref="E29:G29" si="14">E30/E28*10</f>
        <v>36.9</v>
      </c>
      <c r="F29" s="188"/>
      <c r="G29" s="188">
        <f t="shared" si="14"/>
        <v>0</v>
      </c>
      <c r="H29" s="188">
        <f t="shared" si="2"/>
        <v>0</v>
      </c>
      <c r="I29" s="188"/>
      <c r="J29" s="12"/>
      <c r="K29" s="12"/>
      <c r="L29" s="12"/>
      <c r="M29" s="12"/>
      <c r="N29" s="12"/>
      <c r="O29" s="7"/>
      <c r="P29" s="7"/>
      <c r="Q29" s="7"/>
      <c r="R29" s="7"/>
      <c r="S29" s="7"/>
      <c r="T29" s="7"/>
      <c r="U29" s="30"/>
      <c r="V29" s="30"/>
      <c r="W29" s="30"/>
    </row>
    <row r="30" spans="1:23" ht="31.9" customHeight="1" x14ac:dyDescent="0.25">
      <c r="A30" s="222"/>
      <c r="B30" s="227" t="s">
        <v>141</v>
      </c>
      <c r="C30" s="4" t="s">
        <v>15</v>
      </c>
      <c r="D30" s="188">
        <f>D33+D36</f>
        <v>3.6850000000000001</v>
      </c>
      <c r="E30" s="188">
        <f>E33+E36</f>
        <v>3.69</v>
      </c>
      <c r="F30" s="188">
        <f t="shared" ref="F30:G30" si="15">F33+F36</f>
        <v>0</v>
      </c>
      <c r="G30" s="188">
        <f t="shared" si="15"/>
        <v>0</v>
      </c>
      <c r="H30" s="188">
        <f t="shared" si="2"/>
        <v>0</v>
      </c>
      <c r="I30" s="188"/>
      <c r="J30" s="12"/>
      <c r="K30" s="12"/>
      <c r="L30" s="12"/>
      <c r="M30" s="12"/>
      <c r="N30" s="12"/>
      <c r="O30" s="7"/>
      <c r="P30" s="7"/>
      <c r="Q30" s="7"/>
      <c r="R30" s="7"/>
      <c r="S30" s="7"/>
      <c r="T30" s="7"/>
      <c r="U30" s="30"/>
      <c r="V30" s="30"/>
      <c r="W30" s="30"/>
    </row>
    <row r="31" spans="1:23" ht="31.9" customHeight="1" x14ac:dyDescent="0.25">
      <c r="A31" s="230" t="s">
        <v>18</v>
      </c>
      <c r="B31" s="232" t="s">
        <v>26</v>
      </c>
      <c r="C31" s="230" t="s">
        <v>4</v>
      </c>
      <c r="D31" s="184"/>
      <c r="E31" s="184"/>
      <c r="F31" s="184"/>
      <c r="G31" s="184"/>
      <c r="H31" s="184"/>
      <c r="I31" s="184"/>
      <c r="J31" s="12"/>
      <c r="K31" s="12"/>
      <c r="L31" s="12"/>
      <c r="M31" s="12"/>
      <c r="N31" s="12"/>
      <c r="O31" s="7"/>
      <c r="P31" s="7"/>
      <c r="Q31" s="7"/>
      <c r="R31" s="7"/>
      <c r="S31" s="7"/>
      <c r="T31" s="7"/>
      <c r="U31" s="30"/>
      <c r="V31" s="30"/>
      <c r="W31" s="30"/>
    </row>
    <row r="32" spans="1:23" ht="31.9" customHeight="1" x14ac:dyDescent="0.25">
      <c r="A32" s="230"/>
      <c r="B32" s="227" t="s">
        <v>139</v>
      </c>
      <c r="C32" s="4" t="s">
        <v>140</v>
      </c>
      <c r="D32" s="184"/>
      <c r="E32" s="184"/>
      <c r="F32" s="184"/>
      <c r="G32" s="188"/>
      <c r="H32" s="188"/>
      <c r="I32" s="184"/>
      <c r="J32" s="12"/>
      <c r="K32" s="12"/>
      <c r="L32" s="12"/>
      <c r="M32" s="12"/>
      <c r="N32" s="12"/>
      <c r="O32" s="7"/>
      <c r="P32" s="7"/>
      <c r="Q32" s="7"/>
      <c r="R32" s="7"/>
      <c r="S32" s="7"/>
      <c r="T32" s="7"/>
      <c r="U32" s="30"/>
      <c r="V32" s="30"/>
      <c r="W32" s="30"/>
    </row>
    <row r="33" spans="1:23" ht="31.9" customHeight="1" x14ac:dyDescent="0.25">
      <c r="A33" s="230"/>
      <c r="B33" s="227" t="s">
        <v>141</v>
      </c>
      <c r="C33" s="4" t="s">
        <v>15</v>
      </c>
      <c r="D33" s="184"/>
      <c r="E33" s="184"/>
      <c r="F33" s="184"/>
      <c r="G33" s="188"/>
      <c r="H33" s="188"/>
      <c r="I33" s="184"/>
      <c r="J33" s="12"/>
      <c r="K33" s="12"/>
      <c r="L33" s="12"/>
      <c r="M33" s="12"/>
      <c r="N33" s="12"/>
      <c r="O33" s="7"/>
      <c r="P33" s="7"/>
      <c r="Q33" s="7"/>
      <c r="R33" s="7"/>
      <c r="S33" s="7"/>
      <c r="T33" s="7"/>
      <c r="U33" s="30"/>
      <c r="V33" s="30"/>
      <c r="W33" s="30"/>
    </row>
    <row r="34" spans="1:23" ht="31.9" customHeight="1" x14ac:dyDescent="0.25">
      <c r="A34" s="230" t="s">
        <v>20</v>
      </c>
      <c r="B34" s="231" t="s">
        <v>27</v>
      </c>
      <c r="C34" s="230" t="s">
        <v>4</v>
      </c>
      <c r="D34" s="204">
        <v>1</v>
      </c>
      <c r="E34" s="204">
        <v>1</v>
      </c>
      <c r="F34" s="204">
        <v>1</v>
      </c>
      <c r="G34" s="204">
        <v>1</v>
      </c>
      <c r="H34" s="184">
        <f t="shared" si="2"/>
        <v>100</v>
      </c>
      <c r="I34" s="188"/>
      <c r="J34" s="47"/>
      <c r="K34" s="47"/>
      <c r="L34" s="47"/>
      <c r="M34" s="47"/>
      <c r="N34" s="47"/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31.9" customHeight="1" x14ac:dyDescent="0.25">
      <c r="A35" s="230"/>
      <c r="B35" s="227" t="s">
        <v>139</v>
      </c>
      <c r="C35" s="4" t="s">
        <v>140</v>
      </c>
      <c r="D35" s="188">
        <v>36.85</v>
      </c>
      <c r="E35" s="188">
        <v>36.9</v>
      </c>
      <c r="F35" s="188"/>
      <c r="G35" s="188"/>
      <c r="H35" s="184">
        <f t="shared" si="2"/>
        <v>0</v>
      </c>
      <c r="I35" s="188"/>
      <c r="J35" s="47"/>
      <c r="K35" s="61"/>
      <c r="L35" s="61"/>
      <c r="M35" s="61"/>
      <c r="N35" s="61"/>
      <c r="O35" s="61"/>
      <c r="P35" s="54"/>
      <c r="Q35" s="54"/>
      <c r="R35" s="54"/>
      <c r="S35" s="30"/>
      <c r="T35" s="30"/>
      <c r="U35" s="30"/>
      <c r="V35" s="30"/>
      <c r="W35" s="30"/>
    </row>
    <row r="36" spans="1:23" ht="31.9" customHeight="1" x14ac:dyDescent="0.25">
      <c r="A36" s="230"/>
      <c r="B36" s="227" t="s">
        <v>141</v>
      </c>
      <c r="C36" s="4" t="s">
        <v>15</v>
      </c>
      <c r="D36" s="188">
        <f>D34*D35/10</f>
        <v>3.6850000000000001</v>
      </c>
      <c r="E36" s="188">
        <f t="shared" ref="E36:G36" si="16">E34*E35/10</f>
        <v>3.69</v>
      </c>
      <c r="F36" s="188">
        <f t="shared" si="16"/>
        <v>0</v>
      </c>
      <c r="G36" s="188">
        <f t="shared" si="16"/>
        <v>0</v>
      </c>
      <c r="H36" s="184">
        <f t="shared" si="2"/>
        <v>0</v>
      </c>
      <c r="I36" s="188"/>
      <c r="J36" s="47"/>
      <c r="K36" s="29"/>
      <c r="L36" s="29"/>
      <c r="M36" s="29"/>
      <c r="N36" s="29"/>
      <c r="O36" s="29"/>
      <c r="P36" s="54"/>
      <c r="Q36" s="54"/>
      <c r="R36" s="54"/>
      <c r="S36" s="30"/>
      <c r="T36" s="30"/>
      <c r="U36" s="30"/>
      <c r="V36" s="30"/>
      <c r="W36" s="30"/>
    </row>
    <row r="37" spans="1:23" ht="31.9" customHeight="1" x14ac:dyDescent="0.25">
      <c r="A37" s="222">
        <v>2</v>
      </c>
      <c r="B37" s="223" t="s">
        <v>28</v>
      </c>
      <c r="C37" s="222" t="s">
        <v>4</v>
      </c>
      <c r="D37" s="184"/>
      <c r="E37" s="184">
        <v>6.34</v>
      </c>
      <c r="F37" s="184">
        <v>6.4</v>
      </c>
      <c r="G37" s="184">
        <v>6.4</v>
      </c>
      <c r="H37" s="184">
        <f t="shared" si="2"/>
        <v>100.94637223974765</v>
      </c>
      <c r="I37" s="188"/>
      <c r="J37" s="8"/>
      <c r="K37" s="100"/>
      <c r="L37" s="100"/>
      <c r="M37" s="8"/>
      <c r="N37" s="8"/>
      <c r="O37" s="8"/>
      <c r="P37" s="11"/>
      <c r="Q37" s="11"/>
      <c r="R37" s="11"/>
      <c r="S37" s="11"/>
      <c r="T37" s="11"/>
      <c r="U37" s="11"/>
      <c r="V37" s="30"/>
      <c r="W37" s="30"/>
    </row>
    <row r="38" spans="1:23" ht="31.9" customHeight="1" x14ac:dyDescent="0.25">
      <c r="A38" s="222"/>
      <c r="B38" s="227" t="s">
        <v>139</v>
      </c>
      <c r="C38" s="4" t="s">
        <v>140</v>
      </c>
      <c r="D38" s="184"/>
      <c r="E38" s="188">
        <v>140</v>
      </c>
      <c r="F38" s="188"/>
      <c r="G38" s="188"/>
      <c r="H38" s="184">
        <f t="shared" si="2"/>
        <v>0</v>
      </c>
      <c r="I38" s="188"/>
      <c r="J38" s="8"/>
      <c r="K38" s="8"/>
      <c r="L38" s="8"/>
      <c r="M38" s="8"/>
      <c r="N38" s="8"/>
      <c r="O38" s="8"/>
      <c r="P38" s="11"/>
      <c r="Q38" s="11"/>
      <c r="R38" s="11"/>
      <c r="S38" s="11"/>
      <c r="T38" s="11"/>
      <c r="U38" s="11"/>
      <c r="V38" s="30"/>
      <c r="W38" s="30"/>
    </row>
    <row r="39" spans="1:23" ht="31.9" customHeight="1" x14ac:dyDescent="0.25">
      <c r="A39" s="235"/>
      <c r="B39" s="236" t="s">
        <v>141</v>
      </c>
      <c r="C39" s="237" t="s">
        <v>15</v>
      </c>
      <c r="D39" s="200"/>
      <c r="E39" s="201">
        <f>E37*E38/10</f>
        <v>88.76</v>
      </c>
      <c r="F39" s="201">
        <f t="shared" ref="F39:G39" si="17">F37*F38/10</f>
        <v>0</v>
      </c>
      <c r="G39" s="201">
        <f t="shared" si="17"/>
        <v>0</v>
      </c>
      <c r="H39" s="184">
        <f t="shared" si="2"/>
        <v>0</v>
      </c>
      <c r="I39" s="188"/>
      <c r="J39" s="8"/>
      <c r="K39" s="8"/>
      <c r="L39" s="8"/>
      <c r="M39" s="8"/>
      <c r="N39" s="8"/>
      <c r="O39" s="8"/>
      <c r="P39" s="11"/>
      <c r="Q39" s="11"/>
      <c r="R39" s="11"/>
      <c r="S39" s="11"/>
      <c r="T39" s="11"/>
      <c r="U39" s="11"/>
      <c r="V39" s="30"/>
      <c r="W39" s="30"/>
    </row>
    <row r="40" spans="1:23" ht="31.9" customHeight="1" x14ac:dyDescent="0.25">
      <c r="A40" s="222">
        <v>3</v>
      </c>
      <c r="B40" s="223" t="s">
        <v>162</v>
      </c>
      <c r="C40" s="222" t="s">
        <v>4</v>
      </c>
      <c r="D40" s="184"/>
      <c r="E40" s="184">
        <v>0</v>
      </c>
      <c r="F40" s="184">
        <v>0</v>
      </c>
      <c r="G40" s="184">
        <v>0</v>
      </c>
      <c r="H40" s="184"/>
      <c r="I40" s="188"/>
      <c r="J40" s="8"/>
      <c r="K40" s="8"/>
      <c r="L40" s="8"/>
      <c r="M40" s="8"/>
      <c r="N40" s="8"/>
      <c r="O40" s="8"/>
      <c r="P40" s="11"/>
      <c r="Q40" s="11"/>
      <c r="R40" s="11"/>
      <c r="S40" s="11"/>
      <c r="T40" s="11"/>
      <c r="U40" s="11"/>
      <c r="V40" s="30"/>
      <c r="W40" s="30"/>
    </row>
    <row r="41" spans="1:23" ht="31.9" customHeight="1" x14ac:dyDescent="0.25">
      <c r="A41" s="222"/>
      <c r="B41" s="227" t="s">
        <v>139</v>
      </c>
      <c r="C41" s="4" t="s">
        <v>140</v>
      </c>
      <c r="D41" s="188"/>
      <c r="E41" s="188">
        <v>24.1</v>
      </c>
      <c r="F41" s="188"/>
      <c r="G41" s="188"/>
      <c r="H41" s="184">
        <f t="shared" si="2"/>
        <v>0</v>
      </c>
      <c r="I41" s="188"/>
      <c r="J41" s="8"/>
      <c r="K41" s="8"/>
      <c r="L41" s="8"/>
      <c r="M41" s="8"/>
      <c r="N41" s="8"/>
      <c r="O41" s="8"/>
      <c r="P41" s="11"/>
      <c r="Q41" s="11"/>
      <c r="R41" s="11"/>
      <c r="S41" s="11"/>
      <c r="T41" s="11"/>
      <c r="U41" s="11"/>
      <c r="V41" s="30"/>
      <c r="W41" s="30"/>
    </row>
    <row r="42" spans="1:23" ht="31.9" customHeight="1" x14ac:dyDescent="0.25">
      <c r="A42" s="222"/>
      <c r="B42" s="236" t="s">
        <v>141</v>
      </c>
      <c r="C42" s="237" t="s">
        <v>15</v>
      </c>
      <c r="D42" s="188"/>
      <c r="E42" s="188">
        <f>E40*E41/10</f>
        <v>0</v>
      </c>
      <c r="F42" s="188">
        <f t="shared" ref="F42:G42" si="18">F40*F41/10</f>
        <v>0</v>
      </c>
      <c r="G42" s="188">
        <f t="shared" si="18"/>
        <v>0</v>
      </c>
      <c r="H42" s="184"/>
      <c r="I42" s="188"/>
      <c r="J42" s="8"/>
      <c r="K42" s="8"/>
      <c r="L42" s="8"/>
      <c r="M42" s="8"/>
      <c r="N42" s="8"/>
      <c r="O42" s="8"/>
      <c r="P42" s="11"/>
      <c r="Q42" s="11"/>
      <c r="R42" s="11"/>
      <c r="S42" s="11"/>
      <c r="T42" s="11"/>
      <c r="U42" s="11"/>
      <c r="V42" s="30"/>
      <c r="W42" s="30"/>
    </row>
    <row r="43" spans="1:23" ht="31.9" customHeight="1" x14ac:dyDescent="0.25">
      <c r="A43" s="222">
        <v>4</v>
      </c>
      <c r="B43" s="225" t="s">
        <v>163</v>
      </c>
      <c r="C43" s="2" t="s">
        <v>4</v>
      </c>
      <c r="D43" s="184">
        <v>0.5</v>
      </c>
      <c r="E43" s="184">
        <v>0.5</v>
      </c>
      <c r="F43" s="184">
        <v>0.27300000000000002</v>
      </c>
      <c r="G43" s="184">
        <f>F43</f>
        <v>0.27300000000000002</v>
      </c>
      <c r="H43" s="184">
        <f t="shared" si="2"/>
        <v>54.6</v>
      </c>
      <c r="I43" s="184"/>
      <c r="J43" s="47"/>
      <c r="K43" s="105"/>
      <c r="L43" s="105"/>
      <c r="M43" s="105"/>
      <c r="N43" s="105"/>
      <c r="O43" s="105"/>
      <c r="P43" s="30"/>
      <c r="Q43" s="30"/>
      <c r="R43" s="30"/>
      <c r="S43" s="30"/>
      <c r="T43" s="30"/>
      <c r="U43" s="30"/>
      <c r="V43" s="30"/>
      <c r="W43" s="30"/>
    </row>
    <row r="44" spans="1:23" ht="31.9" customHeight="1" x14ac:dyDescent="0.25">
      <c r="A44" s="233"/>
      <c r="B44" s="227" t="s">
        <v>139</v>
      </c>
      <c r="C44" s="4" t="s">
        <v>140</v>
      </c>
      <c r="D44" s="186">
        <v>100</v>
      </c>
      <c r="E44" s="186">
        <v>98.5</v>
      </c>
      <c r="F44" s="188"/>
      <c r="G44" s="188"/>
      <c r="H44" s="184">
        <f t="shared" si="2"/>
        <v>0</v>
      </c>
      <c r="I44" s="188"/>
      <c r="J44" s="47"/>
      <c r="K44" s="139"/>
      <c r="L44" s="47"/>
      <c r="M44" s="47"/>
      <c r="N44" s="47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31.9" customHeight="1" x14ac:dyDescent="0.25">
      <c r="A45" s="233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4">
        <f t="shared" si="2"/>
        <v>0</v>
      </c>
      <c r="I45" s="188"/>
      <c r="J45" s="47"/>
      <c r="K45" s="47"/>
      <c r="L45" s="47"/>
      <c r="M45" s="47"/>
      <c r="N45" s="47"/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31.9" customHeight="1" x14ac:dyDescent="0.25">
      <c r="A46" s="222">
        <v>5</v>
      </c>
      <c r="B46" s="223" t="s">
        <v>30</v>
      </c>
      <c r="C46" s="222" t="s">
        <v>4</v>
      </c>
      <c r="D46" s="184">
        <f>D47+D55+D64</f>
        <v>29.52</v>
      </c>
      <c r="E46" s="184">
        <f t="shared" ref="E46:G46" si="20">E47+E55+E64</f>
        <v>35.519999999999996</v>
      </c>
      <c r="F46" s="184">
        <f t="shared" si="20"/>
        <v>30.02</v>
      </c>
      <c r="G46" s="184">
        <f t="shared" si="20"/>
        <v>29.82</v>
      </c>
      <c r="H46" s="184">
        <f t="shared" si="2"/>
        <v>84.515765765765778</v>
      </c>
      <c r="I46" s="184"/>
      <c r="J46" s="47"/>
      <c r="K46" s="47"/>
      <c r="L46" s="47"/>
      <c r="M46" s="47"/>
      <c r="N46" s="47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31.9" customHeight="1" x14ac:dyDescent="0.25">
      <c r="A47" s="240" t="s">
        <v>31</v>
      </c>
      <c r="B47" s="223" t="s">
        <v>32</v>
      </c>
      <c r="C47" s="222" t="s">
        <v>4</v>
      </c>
      <c r="D47" s="184">
        <f>D48+D49</f>
        <v>25.02</v>
      </c>
      <c r="E47" s="184">
        <f t="shared" ref="E47:G47" si="21">E48+E49</f>
        <v>30.02</v>
      </c>
      <c r="F47" s="184">
        <f t="shared" si="21"/>
        <v>25.22</v>
      </c>
      <c r="G47" s="184">
        <f t="shared" si="21"/>
        <v>25.02</v>
      </c>
      <c r="H47" s="184">
        <f t="shared" si="2"/>
        <v>84.010659560293135</v>
      </c>
      <c r="I47" s="184"/>
      <c r="J47" s="47"/>
      <c r="K47" s="47"/>
      <c r="L47" s="47"/>
      <c r="M47" s="47"/>
      <c r="N47" s="47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31.9" customHeight="1" x14ac:dyDescent="0.25">
      <c r="A48" s="241" t="s">
        <v>22</v>
      </c>
      <c r="B48" s="242" t="s">
        <v>117</v>
      </c>
      <c r="C48" s="243" t="s">
        <v>4</v>
      </c>
      <c r="D48" s="188">
        <v>18</v>
      </c>
      <c r="E48" s="188">
        <f>D48+D49</f>
        <v>25.02</v>
      </c>
      <c r="F48" s="188">
        <v>25.02</v>
      </c>
      <c r="G48" s="188">
        <v>25.02</v>
      </c>
      <c r="H48" s="184">
        <f t="shared" si="2"/>
        <v>100</v>
      </c>
      <c r="I48" s="188"/>
      <c r="J48" s="8"/>
      <c r="K48" s="8"/>
      <c r="L48" s="8"/>
      <c r="M48" s="8"/>
      <c r="N48" s="8"/>
      <c r="O48" s="11"/>
      <c r="P48" s="11"/>
      <c r="Q48" s="11"/>
      <c r="R48" s="11"/>
      <c r="S48" s="30"/>
      <c r="T48" s="30"/>
      <c r="U48" s="30"/>
      <c r="V48" s="30"/>
      <c r="W48" s="30"/>
    </row>
    <row r="49" spans="1:23" s="23" customFormat="1" ht="31.9" customHeight="1" x14ac:dyDescent="0.25">
      <c r="A49" s="222" t="s">
        <v>18</v>
      </c>
      <c r="B49" s="223" t="s">
        <v>107</v>
      </c>
      <c r="C49" s="244" t="s">
        <v>4</v>
      </c>
      <c r="D49" s="184">
        <f>D50+D51</f>
        <v>7.02</v>
      </c>
      <c r="E49" s="184">
        <f t="shared" ref="E49:G49" si="22">E50+E51</f>
        <v>5</v>
      </c>
      <c r="F49" s="184">
        <f t="shared" si="22"/>
        <v>0.2</v>
      </c>
      <c r="G49" s="184">
        <f t="shared" si="22"/>
        <v>0</v>
      </c>
      <c r="H49" s="184">
        <f t="shared" si="2"/>
        <v>4</v>
      </c>
      <c r="I49" s="184"/>
      <c r="J49" s="118"/>
      <c r="K49" s="100"/>
      <c r="L49" s="100"/>
      <c r="M49" s="141"/>
      <c r="N49" s="141"/>
      <c r="O49" s="35"/>
      <c r="P49" s="35"/>
      <c r="Q49" s="35"/>
      <c r="R49" s="35"/>
      <c r="S49" s="35"/>
      <c r="T49" s="35"/>
      <c r="U49" s="35"/>
      <c r="V49" s="35"/>
      <c r="W49" s="35"/>
    </row>
    <row r="50" spans="1:23" ht="31.9" customHeight="1" x14ac:dyDescent="0.25">
      <c r="A50" s="243" t="s">
        <v>16</v>
      </c>
      <c r="B50" s="245" t="s">
        <v>115</v>
      </c>
      <c r="C50" s="243" t="s">
        <v>4</v>
      </c>
      <c r="D50" s="188">
        <v>5.54</v>
      </c>
      <c r="E50" s="188">
        <f>8-3</f>
        <v>5</v>
      </c>
      <c r="F50" s="188">
        <v>0.2</v>
      </c>
      <c r="G50" s="188">
        <v>0</v>
      </c>
      <c r="H50" s="188">
        <f t="shared" si="2"/>
        <v>4</v>
      </c>
      <c r="I50" s="188"/>
      <c r="J50" s="26"/>
      <c r="K50" s="8"/>
      <c r="L50" s="47"/>
      <c r="M50" s="47"/>
      <c r="N50" s="47"/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31.9" customHeight="1" x14ac:dyDescent="0.25">
      <c r="A51" s="243" t="s">
        <v>16</v>
      </c>
      <c r="B51" s="245" t="s">
        <v>33</v>
      </c>
      <c r="C51" s="233" t="s">
        <v>4</v>
      </c>
      <c r="D51" s="188">
        <v>1.48</v>
      </c>
      <c r="E51" s="188"/>
      <c r="F51" s="188"/>
      <c r="G51" s="188"/>
      <c r="H51" s="188"/>
      <c r="I51" s="188"/>
      <c r="J51" s="47"/>
      <c r="K51" s="47"/>
      <c r="L51" s="47"/>
      <c r="M51" s="47"/>
      <c r="N51" s="47"/>
      <c r="O51" s="30"/>
      <c r="P51" s="30"/>
      <c r="Q51" s="30"/>
      <c r="R51" s="30"/>
      <c r="S51" s="30"/>
      <c r="T51" s="30"/>
      <c r="U51" s="30"/>
      <c r="V51" s="30"/>
      <c r="W51" s="30"/>
    </row>
    <row r="52" spans="1:23" s="23" customFormat="1" ht="31.9" customHeight="1" x14ac:dyDescent="0.25">
      <c r="A52" s="221" t="s">
        <v>20</v>
      </c>
      <c r="B52" s="246" t="s">
        <v>118</v>
      </c>
      <c r="C52" s="222" t="s">
        <v>4</v>
      </c>
      <c r="D52" s="184">
        <f>D53+D54</f>
        <v>13.7</v>
      </c>
      <c r="E52" s="184">
        <f t="shared" ref="E52:G52" si="23">E53+E54</f>
        <v>15.299999999999999</v>
      </c>
      <c r="F52" s="184">
        <f t="shared" si="23"/>
        <v>15.3</v>
      </c>
      <c r="G52" s="184">
        <f t="shared" si="23"/>
        <v>15.3</v>
      </c>
      <c r="H52" s="184">
        <f t="shared" si="2"/>
        <v>100.00000000000003</v>
      </c>
      <c r="I52" s="184"/>
      <c r="J52" s="118"/>
      <c r="K52" s="118"/>
      <c r="L52" s="118"/>
      <c r="M52" s="118"/>
      <c r="N52" s="118"/>
      <c r="O52" s="35"/>
      <c r="P52" s="35"/>
      <c r="Q52" s="35"/>
      <c r="R52" s="35"/>
      <c r="S52" s="35"/>
      <c r="T52" s="35"/>
      <c r="U52" s="35"/>
      <c r="V52" s="35"/>
      <c r="W52" s="35"/>
    </row>
    <row r="53" spans="1:23" ht="31.9" customHeight="1" x14ac:dyDescent="0.25">
      <c r="A53" s="247" t="s">
        <v>16</v>
      </c>
      <c r="B53" s="245" t="s">
        <v>119</v>
      </c>
      <c r="C53" s="233" t="s">
        <v>4</v>
      </c>
      <c r="D53" s="188">
        <v>11.7</v>
      </c>
      <c r="E53" s="188">
        <f>D48*85%</f>
        <v>15.299999999999999</v>
      </c>
      <c r="F53" s="188">
        <v>15.3</v>
      </c>
      <c r="G53" s="188">
        <v>15.3</v>
      </c>
      <c r="H53" s="188">
        <f t="shared" si="2"/>
        <v>100.00000000000003</v>
      </c>
      <c r="I53" s="188"/>
      <c r="J53" s="47"/>
      <c r="K53" s="47"/>
      <c r="L53" s="47"/>
      <c r="M53" s="106"/>
      <c r="N53" s="47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31.9" customHeight="1" x14ac:dyDescent="0.25">
      <c r="A54" s="233"/>
      <c r="B54" s="245" t="s">
        <v>120</v>
      </c>
      <c r="C54" s="233" t="s">
        <v>4</v>
      </c>
      <c r="D54" s="188">
        <v>2</v>
      </c>
      <c r="E54" s="188"/>
      <c r="F54" s="188"/>
      <c r="G54" s="188"/>
      <c r="H54" s="188"/>
      <c r="I54" s="188"/>
      <c r="J54" s="47"/>
      <c r="K54" s="47"/>
      <c r="L54" s="47"/>
      <c r="M54" s="47"/>
      <c r="N54" s="47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31.9" customHeight="1" x14ac:dyDescent="0.25">
      <c r="A55" s="222" t="s">
        <v>38</v>
      </c>
      <c r="B55" s="223" t="s">
        <v>34</v>
      </c>
      <c r="C55" s="222" t="s">
        <v>4</v>
      </c>
      <c r="D55" s="184">
        <f>D56+D57</f>
        <v>4.5</v>
      </c>
      <c r="E55" s="184">
        <f t="shared" ref="E55:G55" si="24">E56+E57</f>
        <v>5.5</v>
      </c>
      <c r="F55" s="184">
        <f t="shared" si="24"/>
        <v>4.8</v>
      </c>
      <c r="G55" s="184">
        <f t="shared" si="24"/>
        <v>4.8</v>
      </c>
      <c r="H55" s="184">
        <f t="shared" si="2"/>
        <v>87.272727272727266</v>
      </c>
      <c r="I55" s="184"/>
      <c r="J55" s="47"/>
      <c r="K55" s="47"/>
      <c r="L55" s="47"/>
      <c r="M55" s="47"/>
      <c r="N55" s="47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31.9" customHeight="1" x14ac:dyDescent="0.25">
      <c r="A56" s="233" t="s">
        <v>22</v>
      </c>
      <c r="B56" s="242" t="s">
        <v>118</v>
      </c>
      <c r="C56" s="233" t="s">
        <v>4</v>
      </c>
      <c r="D56" s="188">
        <v>4.5</v>
      </c>
      <c r="E56" s="188">
        <f>D56+E58</f>
        <v>4.8</v>
      </c>
      <c r="F56" s="188">
        <f>4.8</f>
        <v>4.8</v>
      </c>
      <c r="G56" s="188">
        <v>4.8</v>
      </c>
      <c r="H56" s="188">
        <f t="shared" si="2"/>
        <v>100</v>
      </c>
      <c r="I56" s="188"/>
      <c r="J56" s="47"/>
      <c r="K56" s="47"/>
      <c r="L56" s="47"/>
      <c r="M56" s="47"/>
      <c r="N56" s="47"/>
      <c r="O56" s="30"/>
      <c r="P56" s="30"/>
      <c r="Q56" s="30"/>
      <c r="R56" s="30"/>
      <c r="S56" s="30"/>
      <c r="T56" s="30"/>
      <c r="U56" s="30"/>
      <c r="V56" s="30"/>
      <c r="W56" s="30"/>
    </row>
    <row r="57" spans="1:23" ht="31.9" customHeight="1" x14ac:dyDescent="0.25">
      <c r="A57" s="233" t="s">
        <v>22</v>
      </c>
      <c r="B57" s="226" t="s">
        <v>121</v>
      </c>
      <c r="C57" s="233" t="s">
        <v>4</v>
      </c>
      <c r="D57" s="188">
        <f>D58+D61</f>
        <v>0</v>
      </c>
      <c r="E57" s="188">
        <f t="shared" ref="E57:G57" si="25">E58+E61</f>
        <v>0.70000000000000007</v>
      </c>
      <c r="F57" s="188">
        <f t="shared" si="25"/>
        <v>0</v>
      </c>
      <c r="G57" s="188">
        <f t="shared" si="25"/>
        <v>0</v>
      </c>
      <c r="H57" s="184">
        <f t="shared" si="2"/>
        <v>0</v>
      </c>
      <c r="I57" s="188"/>
      <c r="J57" s="47"/>
      <c r="K57" s="47"/>
      <c r="L57" s="47"/>
      <c r="M57" s="47"/>
      <c r="N57" s="47"/>
      <c r="O57" s="30"/>
      <c r="P57" s="30"/>
      <c r="Q57" s="30"/>
      <c r="R57" s="30"/>
      <c r="S57" s="30"/>
      <c r="T57" s="30"/>
      <c r="U57" s="30"/>
      <c r="V57" s="30"/>
      <c r="W57" s="30"/>
    </row>
    <row r="58" spans="1:23" s="41" customFormat="1" ht="31.9" customHeight="1" x14ac:dyDescent="0.25">
      <c r="A58" s="234" t="s">
        <v>18</v>
      </c>
      <c r="B58" s="249" t="s">
        <v>106</v>
      </c>
      <c r="C58" s="233" t="s">
        <v>4</v>
      </c>
      <c r="D58" s="191">
        <f>D59+D60</f>
        <v>0</v>
      </c>
      <c r="E58" s="191">
        <f t="shared" ref="E58:G58" si="26">E59+E60</f>
        <v>0.30000000000000004</v>
      </c>
      <c r="F58" s="191">
        <f t="shared" si="26"/>
        <v>0</v>
      </c>
      <c r="G58" s="191">
        <f t="shared" si="26"/>
        <v>0</v>
      </c>
      <c r="H58" s="184">
        <f t="shared" si="2"/>
        <v>0</v>
      </c>
      <c r="I58" s="191"/>
      <c r="J58" s="108"/>
      <c r="K58" s="34"/>
      <c r="L58" s="34"/>
      <c r="M58" s="34"/>
      <c r="N58" s="34"/>
      <c r="O58" s="34"/>
      <c r="P58" s="48"/>
      <c r="Q58" s="48"/>
      <c r="R58" s="48"/>
      <c r="S58" s="48"/>
      <c r="T58" s="48"/>
      <c r="U58" s="48"/>
      <c r="V58" s="48"/>
      <c r="W58" s="48"/>
    </row>
    <row r="59" spans="1:23" ht="31.9" customHeight="1" x14ac:dyDescent="0.25">
      <c r="A59" s="233" t="s">
        <v>16</v>
      </c>
      <c r="B59" s="242" t="s">
        <v>123</v>
      </c>
      <c r="C59" s="233" t="s">
        <v>4</v>
      </c>
      <c r="D59" s="188"/>
      <c r="E59" s="188">
        <v>0.2</v>
      </c>
      <c r="F59" s="188">
        <v>0</v>
      </c>
      <c r="G59" s="188">
        <v>0</v>
      </c>
      <c r="H59" s="184">
        <f t="shared" si="2"/>
        <v>0</v>
      </c>
      <c r="I59" s="188"/>
      <c r="J59" s="26"/>
      <c r="K59" s="6"/>
      <c r="L59" s="6"/>
      <c r="M59" s="6"/>
      <c r="N59" s="6"/>
      <c r="O59" s="6"/>
      <c r="P59" s="30"/>
      <c r="Q59" s="30"/>
      <c r="R59" s="30"/>
      <c r="S59" s="30"/>
      <c r="T59" s="30"/>
      <c r="U59" s="30"/>
      <c r="V59" s="30"/>
      <c r="W59" s="30"/>
    </row>
    <row r="60" spans="1:23" ht="31.9" customHeight="1" x14ac:dyDescent="0.25">
      <c r="A60" s="233" t="s">
        <v>16</v>
      </c>
      <c r="B60" s="242" t="s">
        <v>122</v>
      </c>
      <c r="C60" s="233" t="s">
        <v>4</v>
      </c>
      <c r="D60" s="188"/>
      <c r="E60" s="188">
        <v>0.1</v>
      </c>
      <c r="F60" s="188">
        <v>0</v>
      </c>
      <c r="G60" s="188">
        <v>0</v>
      </c>
      <c r="H60" s="184">
        <f t="shared" si="2"/>
        <v>0</v>
      </c>
      <c r="I60" s="188"/>
      <c r="J60" s="26"/>
      <c r="K60" s="6"/>
      <c r="L60" s="6"/>
      <c r="M60" s="6"/>
      <c r="N60" s="6"/>
      <c r="O60" s="6"/>
      <c r="P60" s="30"/>
      <c r="Q60" s="30"/>
      <c r="R60" s="30"/>
      <c r="S60" s="30"/>
      <c r="T60" s="30"/>
      <c r="U60" s="30"/>
      <c r="V60" s="30"/>
      <c r="W60" s="30"/>
    </row>
    <row r="61" spans="1:23" s="41" customFormat="1" ht="31.9" customHeight="1" x14ac:dyDescent="0.25">
      <c r="A61" s="234" t="s">
        <v>20</v>
      </c>
      <c r="B61" s="251" t="s">
        <v>108</v>
      </c>
      <c r="C61" s="233" t="s">
        <v>4</v>
      </c>
      <c r="D61" s="191">
        <f>D62+D63</f>
        <v>0</v>
      </c>
      <c r="E61" s="191">
        <f t="shared" ref="E61:G61" si="27">E62+E63</f>
        <v>0.4</v>
      </c>
      <c r="F61" s="191">
        <f t="shared" si="27"/>
        <v>0</v>
      </c>
      <c r="G61" s="191">
        <f t="shared" si="27"/>
        <v>0</v>
      </c>
      <c r="H61" s="184">
        <f t="shared" si="2"/>
        <v>0</v>
      </c>
      <c r="I61" s="191"/>
      <c r="J61" s="26"/>
      <c r="K61" s="34"/>
      <c r="L61" s="34"/>
      <c r="M61" s="108"/>
      <c r="N61" s="108"/>
      <c r="O61" s="48"/>
      <c r="P61" s="48"/>
      <c r="Q61" s="48"/>
      <c r="R61" s="48"/>
      <c r="S61" s="48"/>
      <c r="T61" s="48"/>
      <c r="U61" s="48"/>
      <c r="V61" s="48"/>
      <c r="W61" s="48"/>
    </row>
    <row r="62" spans="1:23" ht="31.9" customHeight="1" x14ac:dyDescent="0.25">
      <c r="A62" s="233" t="s">
        <v>16</v>
      </c>
      <c r="B62" s="242" t="s">
        <v>124</v>
      </c>
      <c r="C62" s="233" t="s">
        <v>4</v>
      </c>
      <c r="D62" s="188"/>
      <c r="E62" s="188">
        <v>0.3</v>
      </c>
      <c r="F62" s="188">
        <v>0</v>
      </c>
      <c r="G62" s="188">
        <v>0</v>
      </c>
      <c r="H62" s="188">
        <f t="shared" si="2"/>
        <v>0</v>
      </c>
      <c r="I62" s="188"/>
      <c r="J62" s="26"/>
      <c r="K62" s="6"/>
      <c r="L62" s="6"/>
      <c r="M62" s="6"/>
      <c r="N62" s="6"/>
      <c r="O62" s="6"/>
      <c r="P62" s="30"/>
      <c r="Q62" s="30"/>
      <c r="R62" s="30"/>
      <c r="S62" s="30"/>
      <c r="T62" s="30"/>
      <c r="U62" s="30"/>
      <c r="V62" s="30"/>
      <c r="W62" s="30"/>
    </row>
    <row r="63" spans="1:23" ht="31.9" customHeight="1" x14ac:dyDescent="0.25">
      <c r="A63" s="233" t="s">
        <v>16</v>
      </c>
      <c r="B63" s="242" t="s">
        <v>125</v>
      </c>
      <c r="C63" s="233" t="s">
        <v>4</v>
      </c>
      <c r="D63" s="188"/>
      <c r="E63" s="188">
        <v>0.1</v>
      </c>
      <c r="F63" s="188">
        <v>0</v>
      </c>
      <c r="G63" s="188">
        <v>0</v>
      </c>
      <c r="H63" s="188">
        <f t="shared" si="2"/>
        <v>0</v>
      </c>
      <c r="I63" s="188"/>
      <c r="J63" s="26"/>
      <c r="K63" s="6"/>
      <c r="L63" s="6"/>
      <c r="M63" s="6"/>
      <c r="N63" s="6"/>
      <c r="O63" s="6"/>
      <c r="P63" s="30"/>
      <c r="Q63" s="30"/>
      <c r="R63" s="30"/>
      <c r="S63" s="30"/>
      <c r="T63" s="30"/>
      <c r="U63" s="30"/>
      <c r="V63" s="30"/>
      <c r="W63" s="30"/>
    </row>
    <row r="64" spans="1:23" ht="31.9" customHeight="1" x14ac:dyDescent="0.25">
      <c r="A64" s="222" t="s">
        <v>165</v>
      </c>
      <c r="B64" s="223" t="s">
        <v>35</v>
      </c>
      <c r="C64" s="222" t="s">
        <v>4</v>
      </c>
      <c r="D64" s="184">
        <f>D65+D66</f>
        <v>0</v>
      </c>
      <c r="E64" s="184">
        <f t="shared" ref="E64:G64" si="28">E65+E66</f>
        <v>0</v>
      </c>
      <c r="F64" s="184">
        <f t="shared" si="28"/>
        <v>0</v>
      </c>
      <c r="G64" s="184">
        <f t="shared" si="28"/>
        <v>0</v>
      </c>
      <c r="H64" s="184"/>
      <c r="I64" s="184"/>
      <c r="J64" s="24"/>
      <c r="K64" s="24"/>
      <c r="L64" s="24"/>
      <c r="M64" s="47"/>
      <c r="N64" s="47"/>
      <c r="O64" s="30"/>
      <c r="P64" s="30"/>
      <c r="Q64" s="30"/>
      <c r="R64" s="30"/>
      <c r="S64" s="30"/>
      <c r="T64" s="30"/>
      <c r="U64" s="30"/>
      <c r="V64" s="30"/>
      <c r="W64" s="30"/>
    </row>
    <row r="65" spans="1:23" ht="31.9" customHeight="1" x14ac:dyDescent="0.25">
      <c r="A65" s="233" t="s">
        <v>16</v>
      </c>
      <c r="B65" s="242" t="s">
        <v>117</v>
      </c>
      <c r="C65" s="233" t="s">
        <v>4</v>
      </c>
      <c r="D65" s="188"/>
      <c r="E65" s="188"/>
      <c r="F65" s="188"/>
      <c r="G65" s="188"/>
      <c r="H65" s="188"/>
      <c r="I65" s="188"/>
      <c r="J65" s="24"/>
      <c r="K65" s="24"/>
      <c r="L65" s="24"/>
      <c r="M65" s="47"/>
      <c r="N65" s="47"/>
      <c r="O65" s="30"/>
      <c r="P65" s="30"/>
      <c r="Q65" s="30"/>
      <c r="R65" s="30"/>
      <c r="S65" s="30"/>
      <c r="T65" s="30"/>
      <c r="U65" s="30"/>
      <c r="V65" s="30"/>
      <c r="W65" s="30"/>
    </row>
    <row r="66" spans="1:23" ht="31.9" customHeight="1" x14ac:dyDescent="0.25">
      <c r="A66" s="233" t="s">
        <v>16</v>
      </c>
      <c r="B66" s="226" t="s">
        <v>29</v>
      </c>
      <c r="C66" s="233" t="s">
        <v>4</v>
      </c>
      <c r="D66" s="188"/>
      <c r="E66" s="188"/>
      <c r="F66" s="188"/>
      <c r="G66" s="188"/>
      <c r="H66" s="188"/>
      <c r="I66" s="188"/>
      <c r="J66" s="24"/>
      <c r="K66" s="24"/>
      <c r="L66" s="24"/>
      <c r="M66" s="47"/>
      <c r="N66" s="47"/>
      <c r="O66" s="30"/>
      <c r="P66" s="30"/>
      <c r="Q66" s="30"/>
      <c r="R66" s="30"/>
      <c r="S66" s="30"/>
      <c r="T66" s="30"/>
      <c r="U66" s="30"/>
      <c r="V66" s="30"/>
      <c r="W66" s="30"/>
    </row>
    <row r="67" spans="1:23" ht="31.9" customHeight="1" x14ac:dyDescent="0.25">
      <c r="A67" s="222">
        <v>6</v>
      </c>
      <c r="B67" s="223" t="s">
        <v>36</v>
      </c>
      <c r="C67" s="222" t="s">
        <v>4</v>
      </c>
      <c r="D67" s="184">
        <f>D68+D71</f>
        <v>14.57</v>
      </c>
      <c r="E67" s="184">
        <f t="shared" ref="E67:G67" si="29">E68+E71</f>
        <v>11.129999999999999</v>
      </c>
      <c r="F67" s="184">
        <f t="shared" si="29"/>
        <v>11.02</v>
      </c>
      <c r="G67" s="184">
        <f t="shared" si="29"/>
        <v>11.02</v>
      </c>
      <c r="H67" s="184">
        <f t="shared" si="2"/>
        <v>99.011680143755626</v>
      </c>
      <c r="I67" s="184"/>
      <c r="J67" s="47"/>
      <c r="K67" s="47"/>
      <c r="L67" s="47"/>
      <c r="M67" s="47"/>
      <c r="N67" s="47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31.9" customHeight="1" x14ac:dyDescent="0.25">
      <c r="A68" s="222" t="s">
        <v>166</v>
      </c>
      <c r="B68" s="223" t="s">
        <v>37</v>
      </c>
      <c r="C68" s="222" t="s">
        <v>4</v>
      </c>
      <c r="D68" s="184">
        <f>D69+D70</f>
        <v>0</v>
      </c>
      <c r="E68" s="184">
        <f t="shared" ref="E68:G68" si="30">E69+E70</f>
        <v>0</v>
      </c>
      <c r="F68" s="184">
        <f t="shared" si="30"/>
        <v>0</v>
      </c>
      <c r="G68" s="184">
        <f t="shared" si="30"/>
        <v>0</v>
      </c>
      <c r="H68" s="184"/>
      <c r="I68" s="184"/>
      <c r="J68" s="47"/>
      <c r="K68" s="47"/>
      <c r="L68" s="47"/>
      <c r="M68" s="47"/>
      <c r="N68" s="47"/>
      <c r="O68" s="30"/>
      <c r="P68" s="30"/>
      <c r="Q68" s="30"/>
      <c r="R68" s="30"/>
      <c r="S68" s="30"/>
      <c r="T68" s="30"/>
      <c r="U68" s="30"/>
      <c r="V68" s="30"/>
      <c r="W68" s="30"/>
    </row>
    <row r="69" spans="1:23" ht="31.9" customHeight="1" x14ac:dyDescent="0.25">
      <c r="A69" s="233" t="s">
        <v>16</v>
      </c>
      <c r="B69" s="242" t="s">
        <v>126</v>
      </c>
      <c r="C69" s="233" t="s">
        <v>4</v>
      </c>
      <c r="D69" s="188"/>
      <c r="E69" s="188"/>
      <c r="F69" s="188"/>
      <c r="G69" s="188"/>
      <c r="H69" s="188"/>
      <c r="I69" s="188"/>
      <c r="J69" s="47"/>
      <c r="K69" s="47"/>
      <c r="L69" s="47"/>
      <c r="M69" s="47"/>
      <c r="N69" s="47"/>
      <c r="O69" s="30"/>
      <c r="P69" s="30"/>
      <c r="Q69" s="30"/>
      <c r="R69" s="30"/>
      <c r="S69" s="30"/>
      <c r="T69" s="30"/>
      <c r="U69" s="30"/>
      <c r="V69" s="30"/>
      <c r="W69" s="30"/>
    </row>
    <row r="70" spans="1:23" ht="31.9" customHeight="1" x14ac:dyDescent="0.25">
      <c r="A70" s="233" t="s">
        <v>16</v>
      </c>
      <c r="B70" s="242" t="s">
        <v>127</v>
      </c>
      <c r="C70" s="233" t="s">
        <v>4</v>
      </c>
      <c r="D70" s="188"/>
      <c r="E70" s="188"/>
      <c r="F70" s="188"/>
      <c r="G70" s="188"/>
      <c r="H70" s="188"/>
      <c r="I70" s="188"/>
      <c r="J70" s="47"/>
      <c r="K70" s="47"/>
      <c r="L70" s="47"/>
      <c r="M70" s="47"/>
      <c r="N70" s="47"/>
      <c r="O70" s="30"/>
      <c r="P70" s="30"/>
      <c r="Q70" s="30"/>
      <c r="R70" s="30"/>
      <c r="S70" s="30"/>
      <c r="T70" s="30"/>
      <c r="U70" s="30"/>
      <c r="V70" s="30"/>
      <c r="W70" s="30"/>
    </row>
    <row r="71" spans="1:23" ht="31.9" customHeight="1" x14ac:dyDescent="0.25">
      <c r="A71" s="222" t="s">
        <v>167</v>
      </c>
      <c r="B71" s="246" t="s">
        <v>39</v>
      </c>
      <c r="C71" s="222" t="s">
        <v>4</v>
      </c>
      <c r="D71" s="184">
        <f>D72+D73</f>
        <v>14.57</v>
      </c>
      <c r="E71" s="184">
        <f t="shared" ref="E71:G71" si="31">E72+E73</f>
        <v>11.129999999999999</v>
      </c>
      <c r="F71" s="184">
        <f t="shared" si="31"/>
        <v>11.02</v>
      </c>
      <c r="G71" s="184">
        <f t="shared" si="31"/>
        <v>11.02</v>
      </c>
      <c r="H71" s="184">
        <f t="shared" si="2"/>
        <v>99.011680143755626</v>
      </c>
      <c r="I71" s="184"/>
      <c r="J71" s="47"/>
      <c r="K71" s="47"/>
      <c r="L71" s="47"/>
      <c r="M71" s="47"/>
      <c r="N71" s="47"/>
      <c r="O71" s="30"/>
      <c r="P71" s="30"/>
      <c r="Q71" s="30"/>
      <c r="R71" s="30"/>
      <c r="S71" s="30"/>
      <c r="T71" s="30"/>
      <c r="U71" s="30"/>
      <c r="V71" s="30"/>
      <c r="W71" s="30"/>
    </row>
    <row r="72" spans="1:23" ht="31.9" customHeight="1" x14ac:dyDescent="0.25">
      <c r="A72" s="240" t="s">
        <v>22</v>
      </c>
      <c r="B72" s="246" t="s">
        <v>128</v>
      </c>
      <c r="C72" s="222" t="s">
        <v>4</v>
      </c>
      <c r="D72" s="193">
        <f>D75+D82</f>
        <v>13.07</v>
      </c>
      <c r="E72" s="193">
        <f>E75+E82</f>
        <v>11.02</v>
      </c>
      <c r="F72" s="193">
        <f t="shared" ref="F72:G72" si="32">F75+F82</f>
        <v>11.02</v>
      </c>
      <c r="G72" s="193">
        <f t="shared" si="32"/>
        <v>11.02</v>
      </c>
      <c r="H72" s="184">
        <f t="shared" si="2"/>
        <v>100</v>
      </c>
      <c r="I72" s="193"/>
      <c r="J72" s="47"/>
      <c r="K72" s="47"/>
      <c r="L72" s="47"/>
      <c r="M72" s="47"/>
      <c r="N72" s="47"/>
      <c r="O72" s="30"/>
      <c r="P72" s="30"/>
      <c r="Q72" s="30"/>
      <c r="R72" s="30"/>
      <c r="S72" s="30"/>
      <c r="T72" s="30"/>
      <c r="U72" s="30"/>
      <c r="V72" s="30"/>
      <c r="W72" s="30"/>
    </row>
    <row r="73" spans="1:23" ht="31.9" customHeight="1" x14ac:dyDescent="0.25">
      <c r="A73" s="240" t="s">
        <v>22</v>
      </c>
      <c r="B73" s="246" t="s">
        <v>40</v>
      </c>
      <c r="C73" s="222" t="s">
        <v>4</v>
      </c>
      <c r="D73" s="184">
        <f>D76+D83</f>
        <v>1.5</v>
      </c>
      <c r="E73" s="184">
        <f t="shared" ref="E73:G73" si="33">E76+E83</f>
        <v>0.11</v>
      </c>
      <c r="F73" s="184">
        <f t="shared" si="33"/>
        <v>0</v>
      </c>
      <c r="G73" s="184">
        <f t="shared" si="33"/>
        <v>0</v>
      </c>
      <c r="H73" s="184">
        <f t="shared" si="2"/>
        <v>0</v>
      </c>
      <c r="I73" s="184"/>
      <c r="J73" s="118"/>
      <c r="K73" s="118"/>
      <c r="L73" s="118"/>
      <c r="M73" s="118"/>
      <c r="N73" s="118"/>
      <c r="O73" s="30"/>
      <c r="P73" s="30"/>
      <c r="Q73" s="30"/>
      <c r="R73" s="30"/>
      <c r="S73" s="30"/>
      <c r="T73" s="30"/>
      <c r="U73" s="30"/>
      <c r="V73" s="30"/>
      <c r="W73" s="30"/>
    </row>
    <row r="74" spans="1:23" ht="31.9" customHeight="1" x14ac:dyDescent="0.25">
      <c r="A74" s="253" t="s">
        <v>18</v>
      </c>
      <c r="B74" s="232" t="s">
        <v>130</v>
      </c>
      <c r="C74" s="230" t="s">
        <v>4</v>
      </c>
      <c r="D74" s="195">
        <f>D75+D76</f>
        <v>11.16</v>
      </c>
      <c r="E74" s="195">
        <f t="shared" ref="E74:G74" si="34">E75+E76</f>
        <v>10.02</v>
      </c>
      <c r="F74" s="195">
        <f t="shared" si="34"/>
        <v>10.02</v>
      </c>
      <c r="G74" s="195">
        <f t="shared" si="34"/>
        <v>10.02</v>
      </c>
      <c r="H74" s="184">
        <f t="shared" ref="H74:H97" si="35">F74/E74*100</f>
        <v>100</v>
      </c>
      <c r="I74" s="195"/>
      <c r="J74" s="119"/>
      <c r="K74" s="119"/>
      <c r="L74" s="42"/>
      <c r="M74" s="42"/>
      <c r="N74" s="42"/>
      <c r="O74" s="42"/>
      <c r="P74" s="42"/>
      <c r="Q74" s="42"/>
      <c r="R74" s="30"/>
      <c r="S74" s="30"/>
      <c r="T74" s="30"/>
      <c r="U74" s="30"/>
      <c r="V74" s="30"/>
      <c r="W74" s="30"/>
    </row>
    <row r="75" spans="1:23" ht="31.9" customHeight="1" x14ac:dyDescent="0.25">
      <c r="A75" s="241" t="s">
        <v>22</v>
      </c>
      <c r="B75" s="254" t="s">
        <v>117</v>
      </c>
      <c r="C75" s="233" t="s">
        <v>4</v>
      </c>
      <c r="D75" s="199">
        <v>10.66</v>
      </c>
      <c r="E75" s="199">
        <f>11.16-1.14</f>
        <v>10.02</v>
      </c>
      <c r="F75" s="188">
        <v>10.02</v>
      </c>
      <c r="G75" s="188">
        <v>10.02</v>
      </c>
      <c r="H75" s="188">
        <f t="shared" si="35"/>
        <v>100</v>
      </c>
      <c r="I75" s="188"/>
      <c r="J75" s="47"/>
      <c r="K75" s="47"/>
      <c r="L75" s="24"/>
      <c r="M75" s="125"/>
      <c r="N75" s="24"/>
      <c r="O75" s="39"/>
      <c r="P75" s="39"/>
      <c r="Q75" s="39"/>
      <c r="R75" s="30"/>
      <c r="S75" s="30"/>
      <c r="T75" s="30"/>
      <c r="U75" s="30"/>
      <c r="V75" s="30"/>
      <c r="W75" s="30"/>
    </row>
    <row r="76" spans="1:23" ht="31.9" customHeight="1" x14ac:dyDescent="0.25">
      <c r="A76" s="257" t="s">
        <v>13</v>
      </c>
      <c r="B76" s="251" t="s">
        <v>131</v>
      </c>
      <c r="C76" s="234" t="s">
        <v>4</v>
      </c>
      <c r="D76" s="198">
        <f>SUM(D77:D80)</f>
        <v>0.5</v>
      </c>
      <c r="E76" s="198">
        <f t="shared" ref="E76:G76" si="36">SUM(E77:E80)</f>
        <v>0</v>
      </c>
      <c r="F76" s="198">
        <f t="shared" si="36"/>
        <v>0</v>
      </c>
      <c r="G76" s="198">
        <f t="shared" si="36"/>
        <v>0</v>
      </c>
      <c r="H76" s="188"/>
      <c r="I76" s="198"/>
      <c r="J76" s="108"/>
      <c r="K76" s="108"/>
      <c r="L76" s="34"/>
      <c r="M76" s="34"/>
      <c r="N76" s="34"/>
      <c r="O76" s="39"/>
      <c r="P76" s="39"/>
      <c r="Q76" s="39"/>
      <c r="R76" s="30"/>
      <c r="S76" s="30"/>
      <c r="T76" s="30"/>
      <c r="U76" s="30"/>
      <c r="V76" s="30"/>
      <c r="W76" s="30"/>
    </row>
    <row r="77" spans="1:23" ht="31.9" customHeight="1" x14ac:dyDescent="0.25">
      <c r="A77" s="234" t="s">
        <v>16</v>
      </c>
      <c r="B77" s="255" t="s">
        <v>133</v>
      </c>
      <c r="C77" s="234" t="s">
        <v>4</v>
      </c>
      <c r="D77" s="188"/>
      <c r="E77" s="188"/>
      <c r="F77" s="188"/>
      <c r="G77" s="188"/>
      <c r="H77" s="188"/>
      <c r="I77" s="188"/>
      <c r="J77" s="108"/>
      <c r="K77" s="108"/>
      <c r="L77" s="34"/>
      <c r="M77" s="120"/>
      <c r="N77" s="120"/>
      <c r="O77" s="39"/>
      <c r="P77" s="49"/>
      <c r="Q77" s="49"/>
      <c r="R77" s="30"/>
      <c r="S77" s="30"/>
      <c r="T77" s="30"/>
      <c r="U77" s="30"/>
      <c r="V77" s="30"/>
      <c r="W77" s="30"/>
    </row>
    <row r="78" spans="1:23" ht="31.9" customHeight="1" x14ac:dyDescent="0.25">
      <c r="A78" s="234" t="s">
        <v>16</v>
      </c>
      <c r="B78" s="255" t="s">
        <v>110</v>
      </c>
      <c r="C78" s="234" t="s">
        <v>4</v>
      </c>
      <c r="D78" s="188">
        <v>0.5</v>
      </c>
      <c r="E78" s="188">
        <v>0</v>
      </c>
      <c r="F78" s="188"/>
      <c r="G78" s="188"/>
      <c r="H78" s="188"/>
      <c r="I78" s="188"/>
      <c r="J78" s="108"/>
      <c r="K78" s="108"/>
      <c r="L78" s="34"/>
      <c r="M78" s="34"/>
      <c r="N78" s="34"/>
      <c r="O78" s="39"/>
      <c r="P78" s="39"/>
      <c r="Q78" s="39"/>
      <c r="R78" s="30"/>
      <c r="S78" s="30"/>
      <c r="T78" s="30"/>
      <c r="U78" s="30"/>
      <c r="V78" s="30"/>
      <c r="W78" s="30"/>
    </row>
    <row r="79" spans="1:23" ht="31.9" customHeight="1" x14ac:dyDescent="0.25">
      <c r="A79" s="234" t="s">
        <v>16</v>
      </c>
      <c r="B79" s="255" t="s">
        <v>111</v>
      </c>
      <c r="C79" s="234" t="s">
        <v>4</v>
      </c>
      <c r="D79" s="188"/>
      <c r="E79" s="188"/>
      <c r="F79" s="188"/>
      <c r="G79" s="188"/>
      <c r="H79" s="188"/>
      <c r="I79" s="188"/>
      <c r="J79" s="108"/>
      <c r="K79" s="108"/>
      <c r="L79" s="34"/>
      <c r="M79" s="34"/>
      <c r="N79" s="34"/>
      <c r="O79" s="39"/>
      <c r="P79" s="39"/>
      <c r="Q79" s="39"/>
      <c r="R79" s="30"/>
      <c r="S79" s="30"/>
      <c r="T79" s="30"/>
      <c r="U79" s="30"/>
      <c r="V79" s="30"/>
      <c r="W79" s="30"/>
    </row>
    <row r="80" spans="1:23" ht="31.9" customHeight="1" x14ac:dyDescent="0.25">
      <c r="A80" s="234" t="s">
        <v>16</v>
      </c>
      <c r="B80" s="255" t="s">
        <v>129</v>
      </c>
      <c r="C80" s="234" t="s">
        <v>4</v>
      </c>
      <c r="D80" s="188"/>
      <c r="E80" s="188"/>
      <c r="F80" s="188"/>
      <c r="G80" s="188"/>
      <c r="H80" s="188"/>
      <c r="I80" s="188"/>
      <c r="J80" s="108"/>
      <c r="K80" s="108"/>
      <c r="L80" s="34"/>
      <c r="M80" s="34"/>
      <c r="N80" s="34"/>
      <c r="O80" s="39"/>
      <c r="P80" s="39"/>
      <c r="Q80" s="39"/>
      <c r="R80" s="30"/>
      <c r="S80" s="30"/>
      <c r="T80" s="30"/>
      <c r="U80" s="30"/>
      <c r="V80" s="30"/>
      <c r="W80" s="30"/>
    </row>
    <row r="81" spans="1:23" s="44" customFormat="1" ht="31.9" customHeight="1" x14ac:dyDescent="0.3">
      <c r="A81" s="253" t="s">
        <v>20</v>
      </c>
      <c r="B81" s="232" t="s">
        <v>41</v>
      </c>
      <c r="C81" s="230" t="s">
        <v>4</v>
      </c>
      <c r="D81" s="195">
        <f>D82+D83</f>
        <v>3.41</v>
      </c>
      <c r="E81" s="195">
        <f t="shared" ref="E81:G81" si="37">E82+E83</f>
        <v>1.1100000000000001</v>
      </c>
      <c r="F81" s="195">
        <f t="shared" si="37"/>
        <v>1</v>
      </c>
      <c r="G81" s="195">
        <f t="shared" si="37"/>
        <v>1</v>
      </c>
      <c r="H81" s="204">
        <f t="shared" si="35"/>
        <v>90.090090090090087</v>
      </c>
      <c r="I81" s="195"/>
      <c r="J81" s="119"/>
      <c r="K81" s="119"/>
      <c r="L81" s="42"/>
      <c r="M81" s="42"/>
      <c r="N81" s="42"/>
      <c r="O81" s="42"/>
      <c r="P81" s="42"/>
      <c r="Q81" s="42"/>
      <c r="R81" s="50"/>
      <c r="S81" s="50"/>
      <c r="T81" s="50"/>
      <c r="U81" s="50"/>
      <c r="V81" s="50"/>
      <c r="W81" s="50"/>
    </row>
    <row r="82" spans="1:23" s="41" customFormat="1" ht="31.9" customHeight="1" x14ac:dyDescent="0.25">
      <c r="A82" s="257" t="s">
        <v>16</v>
      </c>
      <c r="B82" s="255" t="s">
        <v>109</v>
      </c>
      <c r="C82" s="234" t="s">
        <v>4</v>
      </c>
      <c r="D82" s="191">
        <v>2.41</v>
      </c>
      <c r="E82" s="191">
        <v>1</v>
      </c>
      <c r="F82" s="191">
        <v>1</v>
      </c>
      <c r="G82" s="191">
        <v>1</v>
      </c>
      <c r="H82" s="188">
        <f t="shared" si="35"/>
        <v>100</v>
      </c>
      <c r="I82" s="191"/>
      <c r="J82" s="108"/>
      <c r="K82" s="137"/>
      <c r="L82" s="143"/>
      <c r="M82" s="108"/>
      <c r="N82" s="108"/>
      <c r="O82" s="48"/>
      <c r="P82" s="48"/>
      <c r="Q82" s="48"/>
      <c r="R82" s="48"/>
      <c r="S82" s="48"/>
      <c r="T82" s="48"/>
      <c r="U82" s="48"/>
      <c r="V82" s="48"/>
      <c r="W82" s="48"/>
    </row>
    <row r="83" spans="1:23" ht="31.9" customHeight="1" x14ac:dyDescent="0.25">
      <c r="A83" s="257" t="s">
        <v>13</v>
      </c>
      <c r="B83" s="251" t="s">
        <v>131</v>
      </c>
      <c r="C83" s="233" t="s">
        <v>4</v>
      </c>
      <c r="D83" s="199">
        <f>SUM(D84:D87)</f>
        <v>1</v>
      </c>
      <c r="E83" s="199">
        <f t="shared" ref="E83:G83" si="38">SUM(E84:E87)</f>
        <v>0.11</v>
      </c>
      <c r="F83" s="199">
        <f t="shared" si="38"/>
        <v>0</v>
      </c>
      <c r="G83" s="199">
        <f t="shared" si="38"/>
        <v>0</v>
      </c>
      <c r="H83" s="184">
        <f t="shared" si="35"/>
        <v>0</v>
      </c>
      <c r="I83" s="199"/>
      <c r="J83" s="108"/>
      <c r="K83" s="108"/>
      <c r="L83" s="108"/>
      <c r="M83" s="108"/>
      <c r="N83" s="108"/>
      <c r="O83" s="30"/>
      <c r="P83" s="30"/>
      <c r="Q83" s="30"/>
      <c r="R83" s="30"/>
      <c r="S83" s="30"/>
      <c r="T83" s="30"/>
      <c r="U83" s="30"/>
      <c r="V83" s="30"/>
      <c r="W83" s="30"/>
    </row>
    <row r="84" spans="1:23" ht="31.9" customHeight="1" x14ac:dyDescent="0.25">
      <c r="A84" s="257" t="s">
        <v>16</v>
      </c>
      <c r="B84" s="251" t="s">
        <v>112</v>
      </c>
      <c r="C84" s="234" t="s">
        <v>4</v>
      </c>
      <c r="D84" s="188"/>
      <c r="E84" s="188"/>
      <c r="F84" s="188"/>
      <c r="G84" s="188"/>
      <c r="H84" s="184"/>
      <c r="I84" s="188"/>
      <c r="J84" s="34"/>
      <c r="K84" s="34"/>
      <c r="L84" s="34"/>
      <c r="M84" s="34"/>
      <c r="N84" s="34"/>
      <c r="O84" s="30"/>
      <c r="P84" s="30"/>
      <c r="Q84" s="30"/>
      <c r="R84" s="30"/>
      <c r="S84" s="30"/>
      <c r="T84" s="30"/>
      <c r="U84" s="30"/>
      <c r="V84" s="30"/>
      <c r="W84" s="30"/>
    </row>
    <row r="85" spans="1:23" ht="31.9" customHeight="1" x14ac:dyDescent="0.25">
      <c r="A85" s="257" t="s">
        <v>16</v>
      </c>
      <c r="B85" s="251" t="s">
        <v>113</v>
      </c>
      <c r="C85" s="234" t="s">
        <v>4</v>
      </c>
      <c r="D85" s="188"/>
      <c r="E85" s="188"/>
      <c r="F85" s="188"/>
      <c r="G85" s="188"/>
      <c r="H85" s="184"/>
      <c r="I85" s="188"/>
      <c r="J85" s="34"/>
      <c r="K85" s="34"/>
      <c r="L85" s="34"/>
      <c r="M85" s="34"/>
      <c r="N85" s="34"/>
      <c r="O85" s="30"/>
      <c r="P85" s="30"/>
      <c r="Q85" s="30"/>
      <c r="R85" s="30"/>
      <c r="S85" s="30"/>
      <c r="T85" s="30"/>
      <c r="U85" s="30"/>
      <c r="V85" s="30"/>
      <c r="W85" s="30"/>
    </row>
    <row r="86" spans="1:23" ht="31.9" customHeight="1" x14ac:dyDescent="0.25">
      <c r="A86" s="257" t="s">
        <v>16</v>
      </c>
      <c r="B86" s="251" t="s">
        <v>132</v>
      </c>
      <c r="C86" s="234"/>
      <c r="D86" s="188"/>
      <c r="E86" s="188"/>
      <c r="F86" s="188"/>
      <c r="G86" s="188"/>
      <c r="H86" s="184"/>
      <c r="I86" s="188"/>
      <c r="J86" s="34"/>
      <c r="K86" s="34"/>
      <c r="L86" s="34"/>
      <c r="M86" s="34"/>
      <c r="N86" s="39"/>
      <c r="O86" s="39"/>
      <c r="P86" s="39"/>
      <c r="Q86" s="39"/>
      <c r="R86" s="30"/>
      <c r="S86" s="30"/>
      <c r="T86" s="30"/>
      <c r="U86" s="30"/>
      <c r="V86" s="30"/>
      <c r="W86" s="30"/>
    </row>
    <row r="87" spans="1:23" ht="31.9" customHeight="1" x14ac:dyDescent="0.25">
      <c r="A87" s="257" t="s">
        <v>16</v>
      </c>
      <c r="B87" s="255" t="s">
        <v>114</v>
      </c>
      <c r="C87" s="234" t="s">
        <v>4</v>
      </c>
      <c r="D87" s="188">
        <v>1</v>
      </c>
      <c r="E87" s="188">
        <v>0.11</v>
      </c>
      <c r="F87" s="188">
        <v>0</v>
      </c>
      <c r="G87" s="188">
        <v>0</v>
      </c>
      <c r="H87" s="184">
        <f t="shared" si="35"/>
        <v>0</v>
      </c>
      <c r="I87" s="188"/>
      <c r="J87" s="165"/>
      <c r="K87" s="34"/>
      <c r="L87" s="34"/>
      <c r="M87" s="120"/>
      <c r="N87" s="120"/>
      <c r="O87" s="49"/>
      <c r="P87" s="49"/>
      <c r="Q87" s="49"/>
      <c r="R87" s="33"/>
      <c r="S87" s="30"/>
      <c r="T87" s="30"/>
      <c r="U87" s="30"/>
      <c r="V87" s="30"/>
      <c r="W87" s="30"/>
    </row>
    <row r="88" spans="1:23" ht="31.9" customHeight="1" x14ac:dyDescent="0.25">
      <c r="A88" s="222" t="s">
        <v>42</v>
      </c>
      <c r="B88" s="246" t="s">
        <v>43</v>
      </c>
      <c r="C88" s="222"/>
      <c r="D88" s="184">
        <f>SUM(D89:D93)</f>
        <v>286</v>
      </c>
      <c r="E88" s="184">
        <f t="shared" ref="E88:G88" si="39">SUM(E89:E93)</f>
        <v>257</v>
      </c>
      <c r="F88" s="184">
        <f t="shared" si="39"/>
        <v>233</v>
      </c>
      <c r="G88" s="184">
        <f t="shared" si="39"/>
        <v>233</v>
      </c>
      <c r="H88" s="184">
        <f t="shared" si="35"/>
        <v>90.661478599221795</v>
      </c>
      <c r="I88" s="184"/>
      <c r="J88" s="24"/>
      <c r="K88" s="24"/>
      <c r="L88" s="81"/>
      <c r="M88" s="81"/>
      <c r="N88" s="42"/>
      <c r="O88" s="42"/>
      <c r="P88" s="42"/>
      <c r="Q88" s="42"/>
      <c r="R88" s="30"/>
      <c r="S88" s="30"/>
      <c r="T88" s="30"/>
      <c r="U88" s="30"/>
      <c r="V88" s="30"/>
      <c r="W88" s="30"/>
    </row>
    <row r="89" spans="1:23" s="84" customFormat="1" ht="31.9" customHeight="1" x14ac:dyDescent="0.25">
      <c r="A89" s="233">
        <v>1</v>
      </c>
      <c r="B89" s="226" t="s">
        <v>44</v>
      </c>
      <c r="C89" s="233" t="s">
        <v>6</v>
      </c>
      <c r="D89" s="188">
        <f>25+5</f>
        <v>30</v>
      </c>
      <c r="E89" s="188">
        <f>30+16</f>
        <v>46</v>
      </c>
      <c r="F89" s="188">
        <v>44</v>
      </c>
      <c r="G89" s="188">
        <f>F89</f>
        <v>44</v>
      </c>
      <c r="H89" s="188">
        <f t="shared" si="35"/>
        <v>95.652173913043484</v>
      </c>
      <c r="I89" s="188"/>
      <c r="J89" s="121"/>
      <c r="K89" s="105"/>
      <c r="L89" s="167"/>
      <c r="M89" s="153"/>
      <c r="N89" s="121"/>
      <c r="O89" s="92"/>
      <c r="P89" s="92"/>
      <c r="Q89" s="92"/>
      <c r="R89" s="92"/>
      <c r="S89" s="92"/>
      <c r="T89" s="92"/>
      <c r="U89" s="92"/>
      <c r="V89" s="92"/>
      <c r="W89" s="92"/>
    </row>
    <row r="90" spans="1:23" s="84" customFormat="1" ht="31.9" customHeight="1" x14ac:dyDescent="0.25">
      <c r="A90" s="233">
        <v>2</v>
      </c>
      <c r="B90" s="226" t="s">
        <v>45</v>
      </c>
      <c r="C90" s="233" t="s">
        <v>6</v>
      </c>
      <c r="D90" s="188">
        <v>37</v>
      </c>
      <c r="E90" s="188">
        <f>21+3</f>
        <v>24</v>
      </c>
      <c r="F90" s="188">
        <v>22</v>
      </c>
      <c r="G90" s="188">
        <f>F90</f>
        <v>22</v>
      </c>
      <c r="H90" s="188">
        <f t="shared" si="35"/>
        <v>91.666666666666657</v>
      </c>
      <c r="I90" s="188"/>
      <c r="J90" s="121"/>
      <c r="K90" s="105"/>
      <c r="L90" s="167"/>
      <c r="M90" s="153"/>
      <c r="N90" s="121"/>
      <c r="O90" s="92"/>
      <c r="P90" s="92"/>
      <c r="Q90" s="92"/>
      <c r="R90" s="92"/>
      <c r="S90" s="92"/>
      <c r="T90" s="92"/>
      <c r="U90" s="92"/>
      <c r="V90" s="92"/>
      <c r="W90" s="92"/>
    </row>
    <row r="91" spans="1:23" s="84" customFormat="1" ht="31.9" customHeight="1" x14ac:dyDescent="0.25">
      <c r="A91" s="233">
        <v>3</v>
      </c>
      <c r="B91" s="226" t="s">
        <v>46</v>
      </c>
      <c r="C91" s="233" t="s">
        <v>6</v>
      </c>
      <c r="D91" s="188">
        <f>29-5</f>
        <v>24</v>
      </c>
      <c r="E91" s="188">
        <f>24+7</f>
        <v>31</v>
      </c>
      <c r="F91" s="188">
        <v>27</v>
      </c>
      <c r="G91" s="188">
        <f>F91</f>
        <v>27</v>
      </c>
      <c r="H91" s="188">
        <f t="shared" si="35"/>
        <v>87.096774193548384</v>
      </c>
      <c r="I91" s="188"/>
      <c r="J91" s="121"/>
      <c r="K91" s="105"/>
      <c r="L91" s="167"/>
      <c r="M91" s="153"/>
      <c r="N91" s="121"/>
      <c r="O91" s="92"/>
      <c r="P91" s="92"/>
      <c r="Q91" s="92"/>
      <c r="R91" s="92"/>
      <c r="S91" s="92"/>
      <c r="T91" s="92"/>
      <c r="U91" s="92"/>
      <c r="V91" s="92"/>
      <c r="W91" s="92"/>
    </row>
    <row r="92" spans="1:23" ht="31.9" customHeight="1" x14ac:dyDescent="0.25">
      <c r="A92" s="233">
        <v>4</v>
      </c>
      <c r="B92" s="226" t="s">
        <v>47</v>
      </c>
      <c r="C92" s="233" t="s">
        <v>6</v>
      </c>
      <c r="D92" s="188">
        <v>2</v>
      </c>
      <c r="E92" s="188"/>
      <c r="F92" s="188"/>
      <c r="G92" s="188"/>
      <c r="H92" s="184"/>
      <c r="I92" s="188"/>
      <c r="J92" s="24"/>
      <c r="K92" s="24"/>
      <c r="L92" s="160"/>
      <c r="M92" s="153"/>
      <c r="N92" s="24"/>
      <c r="O92" s="30"/>
      <c r="P92" s="30"/>
      <c r="Q92" s="30"/>
      <c r="R92" s="30"/>
      <c r="S92" s="30"/>
      <c r="T92" s="30"/>
      <c r="U92" s="30"/>
      <c r="V92" s="30"/>
      <c r="W92" s="30"/>
    </row>
    <row r="93" spans="1:23" s="84" customFormat="1" ht="31.9" customHeight="1" x14ac:dyDescent="0.25">
      <c r="A93" s="233">
        <v>5</v>
      </c>
      <c r="B93" s="226" t="s">
        <v>48</v>
      </c>
      <c r="C93" s="233" t="s">
        <v>6</v>
      </c>
      <c r="D93" s="188">
        <f>183+10</f>
        <v>193</v>
      </c>
      <c r="E93" s="188">
        <f>173-17</f>
        <v>156</v>
      </c>
      <c r="F93" s="188">
        <v>140</v>
      </c>
      <c r="G93" s="188">
        <f>F93</f>
        <v>140</v>
      </c>
      <c r="H93" s="188">
        <f t="shared" si="35"/>
        <v>89.743589743589752</v>
      </c>
      <c r="I93" s="188"/>
      <c r="J93" s="105"/>
      <c r="K93" s="105"/>
      <c r="L93" s="160"/>
      <c r="M93" s="153"/>
      <c r="N93" s="121"/>
      <c r="O93" s="92"/>
      <c r="P93" s="92"/>
      <c r="Q93" s="92"/>
      <c r="R93" s="92"/>
      <c r="S93" s="92"/>
      <c r="T93" s="92"/>
      <c r="U93" s="92"/>
      <c r="V93" s="92"/>
      <c r="W93" s="92"/>
    </row>
    <row r="94" spans="1:23" s="23" customFormat="1" ht="31.9" customHeight="1" x14ac:dyDescent="0.25">
      <c r="A94" s="222" t="s">
        <v>49</v>
      </c>
      <c r="B94" s="223" t="s">
        <v>50</v>
      </c>
      <c r="C94" s="222" t="s">
        <v>4</v>
      </c>
      <c r="D94" s="184">
        <f>D95</f>
        <v>0</v>
      </c>
      <c r="E94" s="184">
        <f t="shared" ref="E94:G94" si="40">E95</f>
        <v>0</v>
      </c>
      <c r="F94" s="184">
        <f t="shared" si="40"/>
        <v>0</v>
      </c>
      <c r="G94" s="184">
        <f t="shared" si="40"/>
        <v>0</v>
      </c>
      <c r="H94" s="184"/>
      <c r="I94" s="184"/>
      <c r="J94" s="21"/>
      <c r="K94" s="21"/>
      <c r="L94" s="21"/>
      <c r="M94" s="21"/>
      <c r="N94" s="21"/>
      <c r="O94" s="35"/>
      <c r="P94" s="35"/>
      <c r="Q94" s="35"/>
      <c r="R94" s="35"/>
      <c r="S94" s="35"/>
      <c r="T94" s="35"/>
      <c r="U94" s="35"/>
      <c r="V94" s="35"/>
      <c r="W94" s="35"/>
    </row>
    <row r="95" spans="1:23" ht="31.9" customHeight="1" x14ac:dyDescent="0.25">
      <c r="A95" s="234" t="s">
        <v>16</v>
      </c>
      <c r="B95" s="251" t="s">
        <v>51</v>
      </c>
      <c r="C95" s="234" t="s">
        <v>4</v>
      </c>
      <c r="D95" s="188"/>
      <c r="E95" s="188"/>
      <c r="F95" s="188"/>
      <c r="G95" s="188"/>
      <c r="H95" s="184"/>
      <c r="I95" s="188"/>
      <c r="J95" s="24"/>
      <c r="K95" s="24"/>
      <c r="L95" s="24"/>
      <c r="M95" s="24"/>
      <c r="N95" s="24"/>
      <c r="O95" s="30"/>
      <c r="P95" s="30"/>
      <c r="Q95" s="30"/>
      <c r="R95" s="30"/>
      <c r="S95" s="30"/>
      <c r="T95" s="30"/>
      <c r="U95" s="30"/>
      <c r="V95" s="30"/>
      <c r="W95" s="30"/>
    </row>
    <row r="96" spans="1:23" ht="31.9" customHeight="1" x14ac:dyDescent="0.25">
      <c r="A96" s="222" t="s">
        <v>52</v>
      </c>
      <c r="B96" s="223" t="s">
        <v>53</v>
      </c>
      <c r="C96" s="222" t="s">
        <v>4</v>
      </c>
      <c r="D96" s="184">
        <f>D97+D98</f>
        <v>0</v>
      </c>
      <c r="E96" s="184">
        <f t="shared" ref="E96:G96" si="41">E97+E98</f>
        <v>0.2</v>
      </c>
      <c r="F96" s="184">
        <f t="shared" si="41"/>
        <v>0</v>
      </c>
      <c r="G96" s="184">
        <f t="shared" si="41"/>
        <v>0</v>
      </c>
      <c r="H96" s="184">
        <f t="shared" si="35"/>
        <v>0</v>
      </c>
      <c r="I96" s="184"/>
      <c r="J96" s="24"/>
      <c r="K96" s="24"/>
      <c r="L96" s="24"/>
      <c r="M96" s="24"/>
      <c r="N96" s="24"/>
      <c r="O96" s="30"/>
      <c r="P96" s="30"/>
      <c r="Q96" s="30"/>
      <c r="R96" s="30"/>
      <c r="S96" s="30"/>
      <c r="T96" s="30"/>
      <c r="U96" s="30"/>
      <c r="V96" s="30"/>
      <c r="W96" s="30"/>
    </row>
    <row r="97" spans="1:23" ht="31.9" customHeight="1" x14ac:dyDescent="0.25">
      <c r="A97" s="233" t="s">
        <v>16</v>
      </c>
      <c r="B97" s="254" t="s">
        <v>134</v>
      </c>
      <c r="C97" s="234" t="s">
        <v>4</v>
      </c>
      <c r="D97" s="188"/>
      <c r="E97" s="188">
        <v>0.2</v>
      </c>
      <c r="F97" s="188"/>
      <c r="G97" s="188"/>
      <c r="H97" s="184">
        <f t="shared" si="35"/>
        <v>0</v>
      </c>
      <c r="I97" s="188"/>
      <c r="J97" s="24"/>
      <c r="K97" s="24"/>
      <c r="L97" s="24"/>
      <c r="M97" s="24"/>
      <c r="N97" s="24"/>
      <c r="O97" s="30"/>
      <c r="P97" s="30"/>
      <c r="Q97" s="30"/>
      <c r="R97" s="30"/>
      <c r="S97" s="30"/>
      <c r="T97" s="30"/>
      <c r="U97" s="30"/>
      <c r="V97" s="30"/>
      <c r="W97" s="30"/>
    </row>
    <row r="98" spans="1:23" ht="31.9" customHeight="1" x14ac:dyDescent="0.25">
      <c r="A98" s="259" t="s">
        <v>16</v>
      </c>
      <c r="B98" s="254" t="s">
        <v>54</v>
      </c>
      <c r="C98" s="234" t="s">
        <v>4</v>
      </c>
      <c r="D98" s="188"/>
      <c r="E98" s="188"/>
      <c r="F98" s="188"/>
      <c r="G98" s="188"/>
      <c r="H98" s="184"/>
      <c r="I98" s="188"/>
      <c r="J98" s="24"/>
      <c r="K98" s="24"/>
      <c r="L98" s="24"/>
      <c r="M98" s="24"/>
      <c r="N98" s="24"/>
      <c r="O98" s="30"/>
      <c r="P98" s="30"/>
      <c r="Q98" s="30"/>
      <c r="R98" s="30"/>
      <c r="S98" s="30"/>
      <c r="T98" s="30"/>
      <c r="U98" s="30"/>
      <c r="V98" s="30"/>
      <c r="W98" s="30"/>
    </row>
    <row r="99" spans="1:23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23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23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23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23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23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23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23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23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23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23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23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23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23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I7:I8"/>
    <mergeCell ref="E7:H7"/>
    <mergeCell ref="A5:I5"/>
  </mergeCells>
  <pageMargins left="0.47244094488188981" right="0.35433070866141736" top="0.47244094488188981" bottom="0.59055118110236227" header="0" footer="0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6.88671875" style="220" customWidth="1"/>
    <col min="2" max="2" width="29.6640625" style="220" customWidth="1"/>
    <col min="3" max="3" width="10.109375" style="220" customWidth="1"/>
    <col min="4" max="4" width="16.33203125" style="220" customWidth="1"/>
    <col min="5" max="5" width="16.6640625" style="220" customWidth="1"/>
    <col min="6" max="9" width="12.6640625" style="220" customWidth="1"/>
    <col min="10" max="10" width="8.88671875" style="17" customWidth="1"/>
    <col min="11" max="11" width="19" style="17" customWidth="1"/>
    <col min="12" max="14" width="8.88671875" style="17" customWidth="1"/>
    <col min="15" max="16384" width="11.21875" style="17"/>
  </cols>
  <sheetData>
    <row r="1" spans="1:24" ht="15" customHeight="1" x14ac:dyDescent="0.25">
      <c r="H1" s="422"/>
      <c r="I1" s="422"/>
    </row>
    <row r="2" spans="1:24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24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24" ht="16.5" x14ac:dyDescent="0.25">
      <c r="A4" s="418" t="s">
        <v>146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24" ht="16.5" x14ac:dyDescent="0.25">
      <c r="A5" s="430" t="str">
        <f>'LONG LEO(2)'!A5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24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24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48</v>
      </c>
      <c r="M7" s="19"/>
      <c r="N7" s="19"/>
    </row>
    <row r="8" spans="1:24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21"/>
      <c r="J8" s="19"/>
      <c r="K8" s="45" t="s">
        <v>137</v>
      </c>
      <c r="L8" s="66">
        <v>189</v>
      </c>
      <c r="M8" s="19"/>
      <c r="N8" s="19"/>
    </row>
    <row r="9" spans="1:24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102.27000000000001</v>
      </c>
      <c r="E9" s="181">
        <f t="shared" ref="E9:G9" si="0">E13+E28+E37+E43+E46+E67</f>
        <v>159.80000000000001</v>
      </c>
      <c r="F9" s="181">
        <f t="shared" si="0"/>
        <v>119.42</v>
      </c>
      <c r="G9" s="181">
        <f t="shared" si="0"/>
        <v>119.42</v>
      </c>
      <c r="H9" s="185">
        <f>F9/E9*100</f>
        <v>74.73091364205257</v>
      </c>
      <c r="I9" s="184"/>
      <c r="J9" s="118"/>
      <c r="K9" s="118"/>
      <c r="L9" s="118"/>
      <c r="M9" s="118"/>
      <c r="N9" s="118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16.05</v>
      </c>
      <c r="F10" s="181">
        <f t="shared" si="1"/>
        <v>2.04</v>
      </c>
      <c r="G10" s="181">
        <f t="shared" si="1"/>
        <v>2.04</v>
      </c>
      <c r="H10" s="185">
        <f t="shared" ref="H10:H73" si="2">F10/E10*100</f>
        <v>12.710280373831775</v>
      </c>
      <c r="I10" s="184"/>
      <c r="J10" s="118"/>
      <c r="K10" s="118"/>
      <c r="L10" s="118"/>
      <c r="M10" s="118"/>
      <c r="N10" s="118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s="23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56.260339999999999</v>
      </c>
      <c r="F11" s="181">
        <f t="shared" si="3"/>
        <v>0</v>
      </c>
      <c r="G11" s="181">
        <f t="shared" si="3"/>
        <v>0</v>
      </c>
      <c r="H11" s="185">
        <f t="shared" si="2"/>
        <v>0</v>
      </c>
      <c r="I11" s="181"/>
      <c r="J11" s="118"/>
      <c r="K11" s="118"/>
      <c r="L11" s="118"/>
      <c r="M11" s="118"/>
      <c r="N11" s="118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s="23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52.570340000000002</v>
      </c>
      <c r="F12" s="181">
        <f t="shared" si="4"/>
        <v>0</v>
      </c>
      <c r="G12" s="181">
        <f t="shared" si="4"/>
        <v>0</v>
      </c>
      <c r="H12" s="185">
        <f t="shared" si="2"/>
        <v>0</v>
      </c>
      <c r="I12" s="181"/>
      <c r="J12" s="118"/>
      <c r="K12" s="118"/>
      <c r="L12" s="118"/>
      <c r="M12" s="118"/>
      <c r="N12" s="118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15.05</v>
      </c>
      <c r="F13" s="181">
        <f t="shared" si="5"/>
        <v>1.04</v>
      </c>
      <c r="G13" s="181">
        <f t="shared" si="5"/>
        <v>1.04</v>
      </c>
      <c r="H13" s="185">
        <f t="shared" si="2"/>
        <v>6.9102990033222591</v>
      </c>
      <c r="I13" s="184"/>
      <c r="J13" s="47"/>
      <c r="K13" s="47"/>
      <c r="L13" s="47"/>
      <c r="M13" s="47"/>
      <c r="N13" s="47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4" ht="31.9" customHeight="1" x14ac:dyDescent="0.25">
      <c r="A14" s="2"/>
      <c r="B14" s="227" t="s">
        <v>139</v>
      </c>
      <c r="C14" s="4" t="s">
        <v>140</v>
      </c>
      <c r="D14" s="186"/>
      <c r="E14" s="186">
        <f t="shared" ref="E14:G14" si="6">E15/E13*10</f>
        <v>34.930458471760794</v>
      </c>
      <c r="F14" s="186">
        <f t="shared" si="6"/>
        <v>0</v>
      </c>
      <c r="G14" s="186">
        <f t="shared" si="6"/>
        <v>0</v>
      </c>
      <c r="H14" s="187">
        <f t="shared" si="2"/>
        <v>0</v>
      </c>
      <c r="I14" s="186"/>
      <c r="J14" s="47"/>
      <c r="K14" s="47"/>
      <c r="L14" s="47"/>
      <c r="M14" s="47"/>
      <c r="N14" s="47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4" ht="31.9" customHeight="1" x14ac:dyDescent="0.25">
      <c r="A15" s="2"/>
      <c r="B15" s="227" t="s">
        <v>141</v>
      </c>
      <c r="C15" s="4" t="s">
        <v>15</v>
      </c>
      <c r="D15" s="186">
        <f>D18+D21</f>
        <v>0</v>
      </c>
      <c r="E15" s="186">
        <f t="shared" ref="E15:G15" si="7">E18+E21</f>
        <v>52.570340000000002</v>
      </c>
      <c r="F15" s="186">
        <f t="shared" si="7"/>
        <v>0</v>
      </c>
      <c r="G15" s="186">
        <f t="shared" si="7"/>
        <v>0</v>
      </c>
      <c r="H15" s="187">
        <f t="shared" si="2"/>
        <v>0</v>
      </c>
      <c r="I15" s="186"/>
      <c r="J15" s="47"/>
      <c r="K15" s="47"/>
      <c r="L15" s="47"/>
      <c r="M15" s="47"/>
      <c r="N15" s="47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4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1.04</v>
      </c>
      <c r="F16" s="181">
        <v>1.04</v>
      </c>
      <c r="G16" s="181">
        <v>1.04</v>
      </c>
      <c r="H16" s="185">
        <f t="shared" si="2"/>
        <v>100</v>
      </c>
      <c r="I16" s="184"/>
      <c r="J16" s="26"/>
      <c r="K16" s="26"/>
      <c r="L16" s="26"/>
      <c r="M16" s="26"/>
      <c r="N16" s="26"/>
      <c r="O16" s="53"/>
      <c r="P16" s="53"/>
      <c r="Q16" s="53"/>
      <c r="R16" s="53"/>
      <c r="S16" s="30"/>
      <c r="T16" s="30"/>
      <c r="U16" s="30"/>
      <c r="V16" s="30"/>
      <c r="W16" s="30"/>
      <c r="X16" s="30"/>
    </row>
    <row r="17" spans="1:24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/>
      <c r="G17" s="186">
        <v>0</v>
      </c>
      <c r="H17" s="187">
        <f t="shared" si="2"/>
        <v>0</v>
      </c>
      <c r="I17" s="186"/>
      <c r="J17" s="26"/>
      <c r="K17" s="26"/>
      <c r="L17" s="26"/>
      <c r="M17" s="26"/>
      <c r="N17" s="26"/>
      <c r="O17" s="53"/>
      <c r="P17" s="53"/>
      <c r="Q17" s="53"/>
      <c r="R17" s="53"/>
      <c r="S17" s="30"/>
      <c r="T17" s="30"/>
      <c r="U17" s="30"/>
      <c r="V17" s="30"/>
      <c r="W17" s="30"/>
      <c r="X17" s="30"/>
    </row>
    <row r="18" spans="1:24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3.4840000000000004</v>
      </c>
      <c r="F18" s="186">
        <f t="shared" si="8"/>
        <v>0</v>
      </c>
      <c r="G18" s="186">
        <f t="shared" si="8"/>
        <v>0</v>
      </c>
      <c r="H18" s="187">
        <f t="shared" si="2"/>
        <v>0</v>
      </c>
      <c r="I18" s="186"/>
      <c r="J18" s="26"/>
      <c r="K18" s="26"/>
      <c r="L18" s="26"/>
      <c r="M18" s="26"/>
      <c r="N18" s="26"/>
      <c r="O18" s="53"/>
      <c r="P18" s="53"/>
      <c r="Q18" s="53"/>
      <c r="R18" s="53"/>
      <c r="S18" s="30"/>
      <c r="T18" s="30"/>
      <c r="U18" s="30"/>
      <c r="V18" s="30"/>
      <c r="W18" s="30"/>
      <c r="X18" s="30"/>
    </row>
    <row r="19" spans="1:24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14.01</v>
      </c>
      <c r="F19" s="181">
        <f t="shared" si="9"/>
        <v>0</v>
      </c>
      <c r="G19" s="181">
        <f t="shared" si="9"/>
        <v>0</v>
      </c>
      <c r="H19" s="187">
        <f t="shared" si="2"/>
        <v>0</v>
      </c>
      <c r="I19" s="184"/>
      <c r="J19" s="24"/>
      <c r="K19" s="24"/>
      <c r="L19" s="24"/>
      <c r="M19" s="24"/>
      <c r="N19" s="24"/>
      <c r="O19" s="39"/>
      <c r="P19" s="54"/>
      <c r="Q19" s="54"/>
      <c r="R19" s="54"/>
      <c r="S19" s="54"/>
      <c r="T19" s="54"/>
      <c r="U19" s="54"/>
      <c r="V19" s="30"/>
      <c r="W19" s="30"/>
      <c r="X19" s="30"/>
    </row>
    <row r="20" spans="1:24" ht="31.9" customHeight="1" x14ac:dyDescent="0.25">
      <c r="A20" s="269"/>
      <c r="B20" s="227" t="s">
        <v>139</v>
      </c>
      <c r="C20" s="4" t="s">
        <v>140</v>
      </c>
      <c r="D20" s="186"/>
      <c r="E20" s="186">
        <f>E21/E19*10</f>
        <v>35.036645253390432</v>
      </c>
      <c r="F20" s="186"/>
      <c r="G20" s="186"/>
      <c r="H20" s="187">
        <f t="shared" si="2"/>
        <v>0</v>
      </c>
      <c r="I20" s="186"/>
      <c r="J20" s="24"/>
      <c r="K20" s="24"/>
      <c r="L20" s="24"/>
      <c r="M20" s="24"/>
      <c r="N20" s="24"/>
      <c r="O20" s="39"/>
      <c r="P20" s="54"/>
      <c r="Q20" s="54"/>
      <c r="R20" s="54"/>
      <c r="S20" s="54"/>
      <c r="T20" s="54"/>
      <c r="U20" s="54"/>
      <c r="V20" s="30"/>
      <c r="W20" s="30"/>
      <c r="X20" s="30"/>
    </row>
    <row r="21" spans="1:24" ht="31.9" customHeight="1" x14ac:dyDescent="0.25">
      <c r="A21" s="269"/>
      <c r="B21" s="227" t="s">
        <v>141</v>
      </c>
      <c r="C21" s="4" t="s">
        <v>15</v>
      </c>
      <c r="D21" s="186">
        <f>D24+D27</f>
        <v>0</v>
      </c>
      <c r="E21" s="186">
        <f t="shared" ref="E21:G21" si="10">E24+E27</f>
        <v>49.08634</v>
      </c>
      <c r="F21" s="186">
        <f t="shared" si="10"/>
        <v>0</v>
      </c>
      <c r="G21" s="186">
        <f t="shared" si="10"/>
        <v>0</v>
      </c>
      <c r="H21" s="187">
        <f t="shared" si="2"/>
        <v>0</v>
      </c>
      <c r="I21" s="186"/>
      <c r="J21" s="24"/>
      <c r="K21" s="24"/>
      <c r="L21" s="24"/>
      <c r="M21" s="24"/>
      <c r="N21" s="24"/>
      <c r="O21" s="39"/>
      <c r="P21" s="54"/>
      <c r="Q21" s="54"/>
      <c r="R21" s="54"/>
      <c r="S21" s="54"/>
      <c r="T21" s="54"/>
      <c r="U21" s="54"/>
      <c r="V21" s="30"/>
      <c r="W21" s="30"/>
      <c r="X21" s="30"/>
    </row>
    <row r="22" spans="1:24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12.01</v>
      </c>
      <c r="F22" s="186"/>
      <c r="G22" s="181">
        <v>0</v>
      </c>
      <c r="H22" s="187">
        <f t="shared" si="2"/>
        <v>0</v>
      </c>
      <c r="I22" s="188"/>
      <c r="J22" s="8"/>
      <c r="K22" s="8"/>
      <c r="L22" s="8"/>
      <c r="M22" s="8"/>
      <c r="N22" s="8"/>
      <c r="O22" s="11"/>
      <c r="P22" s="10"/>
      <c r="Q22" s="10"/>
      <c r="R22" s="10"/>
      <c r="S22" s="55"/>
      <c r="T22" s="55"/>
      <c r="U22" s="54"/>
      <c r="V22" s="30"/>
      <c r="W22" s="30"/>
      <c r="X22" s="30"/>
    </row>
    <row r="23" spans="1:24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7">
        <f t="shared" si="2"/>
        <v>0</v>
      </c>
      <c r="I23" s="186"/>
      <c r="J23" s="8"/>
      <c r="K23" s="8"/>
      <c r="L23" s="8"/>
      <c r="M23" s="8"/>
      <c r="N23" s="8"/>
      <c r="O23" s="11"/>
      <c r="P23" s="10"/>
      <c r="Q23" s="10"/>
      <c r="R23" s="10"/>
      <c r="S23" s="55"/>
      <c r="T23" s="55"/>
      <c r="U23" s="54"/>
      <c r="V23" s="30"/>
      <c r="W23" s="30"/>
      <c r="X23" s="30"/>
    </row>
    <row r="24" spans="1:24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>E22*E23/10</f>
        <v>46.046340000000001</v>
      </c>
      <c r="F24" s="186">
        <f t="shared" ref="F24:G24" si="11">F22*F23/10</f>
        <v>0</v>
      </c>
      <c r="G24" s="186">
        <f t="shared" si="11"/>
        <v>0</v>
      </c>
      <c r="H24" s="187">
        <f t="shared" si="2"/>
        <v>0</v>
      </c>
      <c r="I24" s="186"/>
      <c r="J24" s="8"/>
      <c r="K24" s="8"/>
      <c r="L24" s="8"/>
      <c r="M24" s="8"/>
      <c r="N24" s="8"/>
      <c r="O24" s="11"/>
      <c r="P24" s="10"/>
      <c r="Q24" s="10"/>
      <c r="R24" s="10"/>
      <c r="S24" s="55"/>
      <c r="T24" s="55"/>
      <c r="U24" s="54"/>
      <c r="V24" s="30"/>
      <c r="W24" s="30"/>
      <c r="X24" s="30"/>
    </row>
    <row r="25" spans="1:24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181">
        <v>2</v>
      </c>
      <c r="F25" s="186">
        <v>0</v>
      </c>
      <c r="G25" s="181">
        <v>0</v>
      </c>
      <c r="H25" s="187">
        <f t="shared" si="2"/>
        <v>0</v>
      </c>
      <c r="I25" s="188"/>
      <c r="J25" s="8"/>
      <c r="K25" s="8"/>
      <c r="L25" s="8"/>
      <c r="M25" s="8"/>
      <c r="N25" s="8"/>
      <c r="O25" s="11"/>
      <c r="P25" s="11"/>
      <c r="Q25" s="7"/>
      <c r="R25" s="7"/>
      <c r="S25" s="30"/>
      <c r="T25" s="30"/>
      <c r="U25" s="30"/>
      <c r="V25" s="30"/>
      <c r="W25" s="30"/>
      <c r="X25" s="30"/>
    </row>
    <row r="26" spans="1:24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7">
        <f t="shared" si="2"/>
        <v>0</v>
      </c>
      <c r="I26" s="186"/>
      <c r="J26" s="8"/>
      <c r="K26" s="8"/>
      <c r="L26" s="8"/>
      <c r="M26" s="8"/>
      <c r="N26" s="8"/>
      <c r="O26" s="11"/>
      <c r="P26" s="11"/>
      <c r="Q26" s="7"/>
      <c r="R26" s="7"/>
      <c r="S26" s="30"/>
      <c r="T26" s="30"/>
      <c r="U26" s="30"/>
      <c r="V26" s="30"/>
      <c r="W26" s="30"/>
      <c r="X26" s="30"/>
    </row>
    <row r="27" spans="1:24" ht="31.9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>E25*E26/10</f>
        <v>3.04</v>
      </c>
      <c r="F27" s="186">
        <f t="shared" ref="F27:G27" si="12">F25*F26/10</f>
        <v>0</v>
      </c>
      <c r="G27" s="186">
        <f t="shared" si="12"/>
        <v>0</v>
      </c>
      <c r="H27" s="187">
        <f t="shared" si="2"/>
        <v>0</v>
      </c>
      <c r="I27" s="186"/>
      <c r="J27" s="8"/>
      <c r="K27" s="8"/>
      <c r="L27" s="8"/>
      <c r="M27" s="8"/>
      <c r="N27" s="8"/>
      <c r="O27" s="11"/>
      <c r="P27" s="11"/>
      <c r="Q27" s="7"/>
      <c r="R27" s="7"/>
      <c r="S27" s="30"/>
      <c r="T27" s="30"/>
      <c r="U27" s="30"/>
      <c r="V27" s="30"/>
      <c r="W27" s="30"/>
      <c r="X27" s="30"/>
    </row>
    <row r="28" spans="1:24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3">D31+D34</f>
        <v>1</v>
      </c>
      <c r="E28" s="181">
        <f t="shared" si="13"/>
        <v>1</v>
      </c>
      <c r="F28" s="181">
        <f t="shared" si="13"/>
        <v>1</v>
      </c>
      <c r="G28" s="181">
        <f t="shared" si="13"/>
        <v>1</v>
      </c>
      <c r="H28" s="187">
        <f t="shared" si="2"/>
        <v>100</v>
      </c>
      <c r="I28" s="184"/>
      <c r="J28" s="12"/>
      <c r="K28" s="12"/>
      <c r="L28" s="12"/>
      <c r="M28" s="12"/>
      <c r="N28" s="12"/>
      <c r="O28" s="7"/>
      <c r="P28" s="7"/>
      <c r="Q28" s="7"/>
      <c r="R28" s="7"/>
      <c r="S28" s="30"/>
      <c r="T28" s="30"/>
      <c r="U28" s="30"/>
      <c r="V28" s="30"/>
      <c r="W28" s="30"/>
      <c r="X28" s="30"/>
    </row>
    <row r="29" spans="1:24" ht="31.9" customHeight="1" x14ac:dyDescent="0.25">
      <c r="A29" s="2"/>
      <c r="B29" s="227" t="s">
        <v>139</v>
      </c>
      <c r="C29" s="4" t="s">
        <v>140</v>
      </c>
      <c r="D29" s="186">
        <f>D30/D28*10</f>
        <v>36.85</v>
      </c>
      <c r="E29" s="186">
        <f t="shared" ref="E29" si="14">E30/E28*10</f>
        <v>36.9</v>
      </c>
      <c r="F29" s="186"/>
      <c r="G29" s="186"/>
      <c r="H29" s="187">
        <f t="shared" si="2"/>
        <v>0</v>
      </c>
      <c r="I29" s="186"/>
      <c r="J29" s="12"/>
      <c r="K29" s="12"/>
      <c r="L29" s="12"/>
      <c r="M29" s="12"/>
      <c r="N29" s="12"/>
      <c r="O29" s="7"/>
      <c r="P29" s="7"/>
      <c r="Q29" s="7"/>
      <c r="R29" s="7"/>
      <c r="S29" s="30"/>
      <c r="T29" s="30"/>
      <c r="U29" s="30"/>
      <c r="V29" s="30"/>
      <c r="W29" s="30"/>
      <c r="X29" s="30"/>
    </row>
    <row r="30" spans="1:24" ht="31.9" customHeight="1" x14ac:dyDescent="0.25">
      <c r="A30" s="2"/>
      <c r="B30" s="227" t="s">
        <v>141</v>
      </c>
      <c r="C30" s="4" t="s">
        <v>15</v>
      </c>
      <c r="D30" s="186">
        <f>D33+D36</f>
        <v>3.6850000000000001</v>
      </c>
      <c r="E30" s="186">
        <f t="shared" ref="E30:G30" si="15">E33+E36</f>
        <v>3.69</v>
      </c>
      <c r="F30" s="186">
        <f t="shared" si="15"/>
        <v>0</v>
      </c>
      <c r="G30" s="186">
        <f t="shared" si="15"/>
        <v>0</v>
      </c>
      <c r="H30" s="187">
        <f t="shared" si="2"/>
        <v>0</v>
      </c>
      <c r="I30" s="186"/>
      <c r="J30" s="12"/>
      <c r="K30" s="12"/>
      <c r="L30" s="12"/>
      <c r="M30" s="12"/>
      <c r="N30" s="12"/>
      <c r="O30" s="7"/>
      <c r="P30" s="7"/>
      <c r="Q30" s="7"/>
      <c r="R30" s="7"/>
      <c r="S30" s="30"/>
      <c r="T30" s="30"/>
      <c r="U30" s="30"/>
      <c r="V30" s="30"/>
      <c r="W30" s="30"/>
      <c r="X30" s="30"/>
    </row>
    <row r="31" spans="1:24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6"/>
      <c r="H31" s="187"/>
      <c r="I31" s="184"/>
      <c r="J31" s="12"/>
      <c r="K31" s="12"/>
      <c r="L31" s="12"/>
      <c r="M31" s="12"/>
      <c r="N31" s="12"/>
      <c r="O31" s="7"/>
      <c r="P31" s="7"/>
      <c r="Q31" s="7"/>
      <c r="R31" s="7"/>
      <c r="S31" s="30"/>
      <c r="T31" s="30"/>
      <c r="U31" s="30"/>
      <c r="V31" s="30"/>
      <c r="W31" s="30"/>
      <c r="X31" s="30"/>
    </row>
    <row r="32" spans="1:24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6"/>
      <c r="H32" s="187"/>
      <c r="I32" s="184"/>
      <c r="J32" s="12"/>
      <c r="K32" s="12"/>
      <c r="L32" s="12"/>
      <c r="M32" s="12"/>
      <c r="N32" s="12"/>
      <c r="O32" s="7"/>
      <c r="P32" s="7"/>
      <c r="Q32" s="7"/>
      <c r="R32" s="7"/>
      <c r="S32" s="30"/>
      <c r="T32" s="30"/>
      <c r="U32" s="30"/>
      <c r="V32" s="30"/>
      <c r="W32" s="30"/>
      <c r="X32" s="30"/>
    </row>
    <row r="33" spans="1:24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6"/>
      <c r="H33" s="187"/>
      <c r="I33" s="184"/>
      <c r="J33" s="12"/>
      <c r="K33" s="12"/>
      <c r="L33" s="12"/>
      <c r="M33" s="12"/>
      <c r="N33" s="12"/>
      <c r="O33" s="7"/>
      <c r="P33" s="7"/>
      <c r="Q33" s="7"/>
      <c r="R33" s="7"/>
      <c r="S33" s="30"/>
      <c r="T33" s="30"/>
      <c r="U33" s="30"/>
      <c r="V33" s="30"/>
      <c r="W33" s="30"/>
      <c r="X33" s="30"/>
    </row>
    <row r="34" spans="1:24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7">
        <f t="shared" si="2"/>
        <v>100</v>
      </c>
      <c r="I34" s="188"/>
      <c r="J34" s="47"/>
      <c r="K34" s="47"/>
      <c r="L34" s="47"/>
      <c r="M34" s="47"/>
      <c r="N34" s="47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7">
        <f t="shared" si="2"/>
        <v>0</v>
      </c>
      <c r="I35" s="186"/>
      <c r="J35" s="47"/>
      <c r="K35" s="61"/>
      <c r="L35" s="61"/>
      <c r="M35" s="61"/>
      <c r="N35" s="61"/>
      <c r="O35" s="61"/>
      <c r="P35" s="30"/>
      <c r="Q35" s="30"/>
      <c r="R35" s="30"/>
      <c r="S35" s="30"/>
      <c r="T35" s="30"/>
      <c r="U35" s="30"/>
      <c r="V35" s="30"/>
      <c r="W35" s="30"/>
      <c r="X35" s="30"/>
    </row>
    <row r="36" spans="1:24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6">E34*E35/10</f>
        <v>3.69</v>
      </c>
      <c r="F36" s="186">
        <f t="shared" si="16"/>
        <v>0</v>
      </c>
      <c r="G36" s="186">
        <f t="shared" si="16"/>
        <v>0</v>
      </c>
      <c r="H36" s="187">
        <f t="shared" si="2"/>
        <v>0</v>
      </c>
      <c r="I36" s="186"/>
      <c r="J36" s="47"/>
      <c r="K36" s="29"/>
      <c r="L36" s="29"/>
      <c r="M36" s="29"/>
      <c r="N36" s="29"/>
      <c r="O36" s="29"/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31.9" customHeight="1" x14ac:dyDescent="0.25">
      <c r="A37" s="2">
        <v>2</v>
      </c>
      <c r="B37" s="225" t="s">
        <v>28</v>
      </c>
      <c r="C37" s="2" t="s">
        <v>4</v>
      </c>
      <c r="D37" s="186"/>
      <c r="E37" s="181">
        <v>19.03</v>
      </c>
      <c r="F37" s="181">
        <v>19.03</v>
      </c>
      <c r="G37" s="181">
        <v>19.03</v>
      </c>
      <c r="H37" s="187">
        <f t="shared" si="2"/>
        <v>100</v>
      </c>
      <c r="I37" s="188"/>
      <c r="J37" s="8"/>
      <c r="K37" s="8"/>
      <c r="L37" s="8"/>
      <c r="M37" s="8"/>
      <c r="N37" s="8"/>
      <c r="O37" s="8"/>
      <c r="P37" s="11"/>
      <c r="Q37" s="11"/>
      <c r="R37" s="11"/>
      <c r="S37" s="11"/>
      <c r="T37" s="11"/>
      <c r="U37" s="11"/>
      <c r="V37" s="11"/>
      <c r="W37" s="30"/>
      <c r="X37" s="30"/>
    </row>
    <row r="38" spans="1:24" ht="31.9" customHeight="1" x14ac:dyDescent="0.25">
      <c r="A38" s="2"/>
      <c r="B38" s="227" t="s">
        <v>139</v>
      </c>
      <c r="C38" s="4" t="s">
        <v>140</v>
      </c>
      <c r="D38" s="184"/>
      <c r="E38" s="188">
        <v>140</v>
      </c>
      <c r="F38" s="186"/>
      <c r="G38" s="186"/>
      <c r="H38" s="187">
        <f t="shared" si="2"/>
        <v>0</v>
      </c>
      <c r="I38" s="188"/>
      <c r="J38" s="8"/>
      <c r="K38" s="8"/>
      <c r="L38" s="8"/>
      <c r="M38" s="8"/>
      <c r="N38" s="8"/>
      <c r="O38" s="8"/>
      <c r="P38" s="11"/>
      <c r="Q38" s="11"/>
      <c r="R38" s="11"/>
      <c r="S38" s="11"/>
      <c r="T38" s="11"/>
      <c r="U38" s="11"/>
      <c r="V38" s="11"/>
      <c r="W38" s="30"/>
      <c r="X38" s="30"/>
    </row>
    <row r="39" spans="1:24" ht="31.9" customHeight="1" x14ac:dyDescent="0.25">
      <c r="A39" s="289"/>
      <c r="B39" s="236" t="s">
        <v>141</v>
      </c>
      <c r="C39" s="237" t="s">
        <v>15</v>
      </c>
      <c r="D39" s="200"/>
      <c r="E39" s="201">
        <f>E37*E38/10</f>
        <v>266.42</v>
      </c>
      <c r="F39" s="201">
        <f t="shared" ref="F39:G39" si="17">F37*F38/10</f>
        <v>0</v>
      </c>
      <c r="G39" s="201">
        <f t="shared" si="17"/>
        <v>0</v>
      </c>
      <c r="H39" s="187">
        <f t="shared" si="2"/>
        <v>0</v>
      </c>
      <c r="I39" s="188"/>
      <c r="J39" s="8"/>
      <c r="K39" s="8"/>
      <c r="L39" s="8"/>
      <c r="M39" s="8"/>
      <c r="N39" s="8"/>
      <c r="O39" s="8"/>
      <c r="P39" s="11"/>
      <c r="Q39" s="11"/>
      <c r="R39" s="11"/>
      <c r="S39" s="11"/>
      <c r="T39" s="11"/>
      <c r="U39" s="11"/>
      <c r="V39" s="11"/>
      <c r="W39" s="30"/>
      <c r="X39" s="30"/>
    </row>
    <row r="40" spans="1:24" ht="31.9" customHeight="1" x14ac:dyDescent="0.25">
      <c r="A40" s="222">
        <v>3</v>
      </c>
      <c r="B40" s="223" t="s">
        <v>162</v>
      </c>
      <c r="C40" s="222" t="s">
        <v>4</v>
      </c>
      <c r="D40" s="184"/>
      <c r="E40" s="184">
        <v>0</v>
      </c>
      <c r="F40" s="205"/>
      <c r="G40" s="181"/>
      <c r="H40" s="187"/>
      <c r="I40" s="184"/>
      <c r="J40" s="8"/>
      <c r="K40" s="8"/>
      <c r="L40" s="8"/>
      <c r="M40" s="8"/>
      <c r="N40" s="8"/>
      <c r="O40" s="8"/>
      <c r="P40" s="11"/>
      <c r="Q40" s="11"/>
      <c r="R40" s="11"/>
      <c r="S40" s="11"/>
      <c r="T40" s="11"/>
      <c r="U40" s="11"/>
      <c r="V40" s="11"/>
      <c r="W40" s="30"/>
      <c r="X40" s="30"/>
    </row>
    <row r="41" spans="1:24" ht="31.9" customHeight="1" x14ac:dyDescent="0.25">
      <c r="A41" s="222"/>
      <c r="B41" s="226" t="s">
        <v>139</v>
      </c>
      <c r="C41" s="233" t="s">
        <v>140</v>
      </c>
      <c r="D41" s="188"/>
      <c r="E41" s="188">
        <v>24.1</v>
      </c>
      <c r="F41" s="202"/>
      <c r="G41" s="186"/>
      <c r="H41" s="187">
        <f t="shared" si="2"/>
        <v>0</v>
      </c>
      <c r="I41" s="188"/>
      <c r="J41" s="8"/>
      <c r="K41" s="8"/>
      <c r="L41" s="8"/>
      <c r="M41" s="8"/>
      <c r="N41" s="8"/>
      <c r="O41" s="8"/>
      <c r="P41" s="11"/>
      <c r="Q41" s="11"/>
      <c r="R41" s="11"/>
      <c r="S41" s="11"/>
      <c r="T41" s="11"/>
      <c r="U41" s="11"/>
      <c r="V41" s="11"/>
      <c r="W41" s="30"/>
      <c r="X41" s="30"/>
    </row>
    <row r="42" spans="1:24" ht="31.9" customHeight="1" x14ac:dyDescent="0.25">
      <c r="A42" s="222"/>
      <c r="B42" s="226" t="s">
        <v>141</v>
      </c>
      <c r="C42" s="233" t="s">
        <v>15</v>
      </c>
      <c r="D42" s="188"/>
      <c r="E42" s="188">
        <f>E40*E41/10</f>
        <v>0</v>
      </c>
      <c r="F42" s="188">
        <f t="shared" ref="F42:G42" si="18">F40*F41/10</f>
        <v>0</v>
      </c>
      <c r="G42" s="188">
        <f t="shared" si="18"/>
        <v>0</v>
      </c>
      <c r="H42" s="187"/>
      <c r="I42" s="188"/>
      <c r="J42" s="8"/>
      <c r="K42" s="8"/>
      <c r="L42" s="8"/>
      <c r="M42" s="8"/>
      <c r="N42" s="8"/>
      <c r="O42" s="8"/>
      <c r="P42" s="11"/>
      <c r="Q42" s="11"/>
      <c r="R42" s="11"/>
      <c r="S42" s="11"/>
      <c r="T42" s="11"/>
      <c r="U42" s="11"/>
      <c r="V42" s="11"/>
      <c r="W42" s="30"/>
      <c r="X42" s="30"/>
    </row>
    <row r="43" spans="1:24" ht="31.9" customHeight="1" x14ac:dyDescent="0.25">
      <c r="A43" s="290">
        <v>4</v>
      </c>
      <c r="B43" s="225" t="s">
        <v>163</v>
      </c>
      <c r="C43" s="2" t="s">
        <v>4</v>
      </c>
      <c r="D43" s="182">
        <v>0.5</v>
      </c>
      <c r="E43" s="182">
        <v>0.5</v>
      </c>
      <c r="F43" s="181">
        <v>0.27</v>
      </c>
      <c r="G43" s="181">
        <f>F43</f>
        <v>0.27</v>
      </c>
      <c r="H43" s="185">
        <f t="shared" si="2"/>
        <v>54</v>
      </c>
      <c r="I43" s="184"/>
      <c r="J43" s="47"/>
      <c r="K43" s="105"/>
      <c r="L43" s="105"/>
      <c r="M43" s="105"/>
      <c r="N43" s="105"/>
      <c r="O43" s="105"/>
      <c r="P43" s="30"/>
      <c r="Q43" s="30"/>
      <c r="R43" s="30"/>
      <c r="S43" s="30"/>
      <c r="T43" s="30"/>
      <c r="U43" s="30"/>
      <c r="V43" s="30"/>
      <c r="W43" s="30"/>
      <c r="X43" s="30"/>
    </row>
    <row r="44" spans="1:24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7">
        <f t="shared" si="2"/>
        <v>0</v>
      </c>
      <c r="I44" s="188"/>
      <c r="J44" s="47"/>
      <c r="K44" s="139"/>
      <c r="L44" s="47"/>
      <c r="M44" s="47"/>
      <c r="N44" s="47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7">
        <f t="shared" si="2"/>
        <v>0</v>
      </c>
      <c r="I45" s="188"/>
      <c r="J45" s="47"/>
      <c r="K45" s="47"/>
      <c r="L45" s="47"/>
      <c r="M45" s="47"/>
      <c r="N45" s="47"/>
      <c r="O45" s="30"/>
      <c r="P45" s="30"/>
      <c r="Q45" s="30"/>
      <c r="R45" s="30"/>
      <c r="S45" s="30"/>
      <c r="T45" s="30"/>
      <c r="U45" s="30"/>
      <c r="V45" s="30"/>
      <c r="W45" s="30"/>
      <c r="X45" s="30"/>
    </row>
    <row r="46" spans="1:24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78.830000000000013</v>
      </c>
      <c r="E46" s="181">
        <f t="shared" ref="E46:G46" si="20">E47+E55+E64</f>
        <v>89.63</v>
      </c>
      <c r="F46" s="181">
        <f t="shared" si="20"/>
        <v>79.13</v>
      </c>
      <c r="G46" s="181">
        <f t="shared" si="20"/>
        <v>79.13</v>
      </c>
      <c r="H46" s="185">
        <f t="shared" si="2"/>
        <v>88.285172375320769</v>
      </c>
      <c r="I46" s="184"/>
      <c r="J46" s="47"/>
      <c r="K46" s="47"/>
      <c r="L46" s="47"/>
      <c r="M46" s="47"/>
      <c r="N46" s="47"/>
      <c r="O46" s="30"/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59.650000000000006</v>
      </c>
      <c r="E47" s="181">
        <f t="shared" ref="E47:G47" si="21">E48+E49</f>
        <v>69.650000000000006</v>
      </c>
      <c r="F47" s="181">
        <f t="shared" si="21"/>
        <v>59.65</v>
      </c>
      <c r="G47" s="181">
        <f t="shared" si="21"/>
        <v>59.65</v>
      </c>
      <c r="H47" s="185">
        <f t="shared" si="2"/>
        <v>85.642498205312265</v>
      </c>
      <c r="I47" s="184"/>
      <c r="J47" s="47"/>
      <c r="K47" s="47"/>
      <c r="L47" s="47"/>
      <c r="M47" s="47"/>
      <c r="N47" s="47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 ht="31.9" customHeight="1" x14ac:dyDescent="0.25">
      <c r="A48" s="5" t="s">
        <v>22</v>
      </c>
      <c r="B48" s="273" t="s">
        <v>117</v>
      </c>
      <c r="C48" s="274" t="s">
        <v>4</v>
      </c>
      <c r="D48" s="186">
        <v>38.49</v>
      </c>
      <c r="E48" s="186">
        <f>D48+D49</f>
        <v>59.650000000000006</v>
      </c>
      <c r="F48" s="186">
        <v>59.65</v>
      </c>
      <c r="G48" s="186">
        <v>59.65</v>
      </c>
      <c r="H48" s="187">
        <f t="shared" si="2"/>
        <v>99.999999999999986</v>
      </c>
      <c r="I48" s="188"/>
      <c r="J48" s="8"/>
      <c r="K48" s="8"/>
      <c r="L48" s="8"/>
      <c r="M48" s="8"/>
      <c r="N48" s="8"/>
      <c r="O48" s="11"/>
      <c r="P48" s="11"/>
      <c r="Q48" s="11"/>
      <c r="R48" s="30"/>
      <c r="S48" s="30"/>
      <c r="T48" s="30"/>
      <c r="U48" s="30"/>
      <c r="V48" s="30"/>
      <c r="W48" s="30"/>
      <c r="X48" s="30"/>
    </row>
    <row r="49" spans="1:24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21.16</v>
      </c>
      <c r="E49" s="181">
        <f t="shared" ref="E49:G49" si="22">E50+E51</f>
        <v>10</v>
      </c>
      <c r="F49" s="181">
        <f t="shared" si="22"/>
        <v>0</v>
      </c>
      <c r="G49" s="181">
        <f t="shared" si="22"/>
        <v>0</v>
      </c>
      <c r="H49" s="185">
        <f t="shared" si="2"/>
        <v>0</v>
      </c>
      <c r="I49" s="184"/>
      <c r="J49" s="118"/>
      <c r="K49" s="21"/>
      <c r="L49" s="90"/>
      <c r="M49" s="118"/>
      <c r="N49" s="118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 ht="31.9" customHeight="1" x14ac:dyDescent="0.25">
      <c r="A50" s="274" t="s">
        <v>16</v>
      </c>
      <c r="B50" s="276" t="s">
        <v>115</v>
      </c>
      <c r="C50" s="274" t="s">
        <v>4</v>
      </c>
      <c r="D50" s="186">
        <v>21.16</v>
      </c>
      <c r="E50" s="186">
        <v>10</v>
      </c>
      <c r="F50" s="186">
        <v>0</v>
      </c>
      <c r="G50" s="186">
        <v>0</v>
      </c>
      <c r="H50" s="185">
        <f t="shared" si="2"/>
        <v>0</v>
      </c>
      <c r="I50" s="188"/>
      <c r="J50" s="26"/>
      <c r="K50" s="125"/>
      <c r="L50" s="26"/>
      <c r="M50" s="47"/>
      <c r="N50" s="47"/>
      <c r="O50" s="30"/>
      <c r="P50" s="30"/>
      <c r="Q50" s="30"/>
      <c r="R50" s="30"/>
      <c r="S50" s="30"/>
      <c r="T50" s="30"/>
      <c r="U50" s="30"/>
      <c r="V50" s="30"/>
      <c r="W50" s="30"/>
      <c r="X50" s="30"/>
    </row>
    <row r="51" spans="1:24" ht="31.9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5"/>
      <c r="I51" s="188"/>
      <c r="J51" s="47"/>
      <c r="K51" s="47"/>
      <c r="L51" s="47"/>
      <c r="M51" s="47"/>
      <c r="N51" s="47"/>
      <c r="O51" s="30"/>
      <c r="P51" s="30"/>
      <c r="Q51" s="30"/>
      <c r="R51" s="30"/>
      <c r="S51" s="30"/>
      <c r="T51" s="30"/>
      <c r="U51" s="30"/>
      <c r="V51" s="30"/>
      <c r="W51" s="30"/>
      <c r="X51" s="30"/>
    </row>
    <row r="52" spans="1:24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22.02</v>
      </c>
      <c r="E52" s="181">
        <f t="shared" ref="E52:G52" si="23">E53+E54</f>
        <v>30</v>
      </c>
      <c r="F52" s="181">
        <f t="shared" si="23"/>
        <v>30</v>
      </c>
      <c r="G52" s="181">
        <f t="shared" si="23"/>
        <v>30</v>
      </c>
      <c r="H52" s="185">
        <f t="shared" si="2"/>
        <v>100</v>
      </c>
      <c r="I52" s="184"/>
      <c r="J52" s="118"/>
      <c r="K52" s="118"/>
      <c r="L52" s="118"/>
      <c r="M52" s="118"/>
      <c r="N52" s="118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ht="31.9" customHeight="1" x14ac:dyDescent="0.25">
      <c r="A53" s="277" t="s">
        <v>16</v>
      </c>
      <c r="B53" s="276" t="s">
        <v>119</v>
      </c>
      <c r="C53" s="4" t="s">
        <v>4</v>
      </c>
      <c r="D53" s="186">
        <f>25.02-8</f>
        <v>17.02</v>
      </c>
      <c r="E53" s="186">
        <v>30</v>
      </c>
      <c r="F53" s="186">
        <v>30</v>
      </c>
      <c r="G53" s="186">
        <v>30</v>
      </c>
      <c r="H53" s="187">
        <f t="shared" si="2"/>
        <v>100</v>
      </c>
      <c r="I53" s="188"/>
      <c r="J53" s="47"/>
      <c r="K53" s="47"/>
      <c r="L53" s="47"/>
      <c r="M53" s="106"/>
      <c r="N53" s="47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1:24" ht="31.9" customHeight="1" x14ac:dyDescent="0.25">
      <c r="A54" s="4"/>
      <c r="B54" s="276" t="s">
        <v>120</v>
      </c>
      <c r="C54" s="4" t="s">
        <v>4</v>
      </c>
      <c r="D54" s="186">
        <v>5</v>
      </c>
      <c r="E54" s="186"/>
      <c r="F54" s="186"/>
      <c r="G54" s="186"/>
      <c r="H54" s="185"/>
      <c r="I54" s="188"/>
      <c r="J54" s="47"/>
      <c r="K54" s="47"/>
      <c r="L54" s="47"/>
      <c r="M54" s="47"/>
      <c r="N54" s="47"/>
      <c r="O54" s="30"/>
      <c r="P54" s="30"/>
      <c r="Q54" s="30"/>
      <c r="R54" s="30"/>
      <c r="S54" s="30"/>
      <c r="T54" s="30"/>
      <c r="U54" s="30"/>
      <c r="V54" s="30"/>
      <c r="W54" s="30"/>
      <c r="X54" s="30"/>
    </row>
    <row r="55" spans="1:24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 t="shared" ref="E55:G55" si="24">E56+E57</f>
        <v>5.3</v>
      </c>
      <c r="F55" s="181">
        <f t="shared" si="24"/>
        <v>4.8</v>
      </c>
      <c r="G55" s="181">
        <f t="shared" si="24"/>
        <v>4.8</v>
      </c>
      <c r="H55" s="185">
        <f t="shared" si="2"/>
        <v>90.566037735849065</v>
      </c>
      <c r="I55" s="184"/>
      <c r="J55" s="47"/>
      <c r="K55" s="47"/>
      <c r="L55" s="47"/>
      <c r="M55" s="47"/>
      <c r="N55" s="47"/>
      <c r="O55" s="30"/>
      <c r="P55" s="30"/>
      <c r="Q55" s="30"/>
      <c r="R55" s="30"/>
      <c r="S55" s="30"/>
      <c r="T55" s="30"/>
      <c r="U55" s="30"/>
      <c r="V55" s="30"/>
      <c r="W55" s="30"/>
      <c r="X55" s="30"/>
    </row>
    <row r="56" spans="1:24" ht="31.9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f t="shared" ref="F56:G56" si="25">E56+F58</f>
        <v>4.8</v>
      </c>
      <c r="G56" s="186">
        <f t="shared" si="25"/>
        <v>4.8</v>
      </c>
      <c r="H56" s="187">
        <f t="shared" si="2"/>
        <v>100</v>
      </c>
      <c r="I56" s="188"/>
      <c r="J56" s="47"/>
      <c r="K56" s="47"/>
      <c r="L56" s="47"/>
      <c r="M56" s="47"/>
      <c r="N56" s="47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1:24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6">E58+E61</f>
        <v>0.5</v>
      </c>
      <c r="F57" s="186">
        <f t="shared" si="26"/>
        <v>0</v>
      </c>
      <c r="G57" s="186">
        <f t="shared" si="26"/>
        <v>0</v>
      </c>
      <c r="H57" s="185">
        <f t="shared" si="2"/>
        <v>0</v>
      </c>
      <c r="I57" s="188"/>
      <c r="J57" s="47"/>
      <c r="K57" s="47"/>
      <c r="L57" s="47"/>
      <c r="M57" s="47"/>
      <c r="N57" s="47"/>
      <c r="O57" s="30"/>
      <c r="P57" s="30"/>
      <c r="Q57" s="30"/>
      <c r="R57" s="30"/>
      <c r="S57" s="30"/>
      <c r="T57" s="30"/>
      <c r="U57" s="30"/>
      <c r="V57" s="30"/>
      <c r="W57" s="30"/>
      <c r="X57" s="30"/>
    </row>
    <row r="58" spans="1:24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7">E59+E60</f>
        <v>0.30000000000000004</v>
      </c>
      <c r="F58" s="189">
        <f t="shared" si="27"/>
        <v>0</v>
      </c>
      <c r="G58" s="189">
        <f t="shared" si="27"/>
        <v>0</v>
      </c>
      <c r="H58" s="185">
        <f t="shared" si="2"/>
        <v>0</v>
      </c>
      <c r="I58" s="191"/>
      <c r="J58" s="108"/>
      <c r="K58" s="34"/>
      <c r="L58" s="34"/>
      <c r="M58" s="34"/>
      <c r="N58" s="34"/>
      <c r="O58" s="34"/>
      <c r="P58" s="48"/>
      <c r="Q58" s="48"/>
      <c r="R58" s="48"/>
      <c r="S58" s="48"/>
      <c r="T58" s="48"/>
      <c r="U58" s="48"/>
      <c r="V58" s="48"/>
      <c r="W58" s="48"/>
      <c r="X58" s="48"/>
    </row>
    <row r="59" spans="1:24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5">
        <f t="shared" si="2"/>
        <v>0</v>
      </c>
      <c r="I59" s="188"/>
      <c r="J59" s="26"/>
      <c r="K59" s="6"/>
      <c r="L59" s="6"/>
      <c r="M59" s="6"/>
      <c r="N59" s="6"/>
      <c r="O59" s="6"/>
      <c r="P59" s="30"/>
      <c r="Q59" s="30"/>
      <c r="R59" s="30"/>
      <c r="S59" s="30"/>
      <c r="T59" s="30"/>
      <c r="U59" s="30"/>
      <c r="V59" s="30"/>
      <c r="W59" s="30"/>
      <c r="X59" s="30"/>
    </row>
    <row r="60" spans="1:24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5">
        <f t="shared" si="2"/>
        <v>0</v>
      </c>
      <c r="I60" s="188"/>
      <c r="J60" s="26"/>
      <c r="K60" s="6"/>
      <c r="L60" s="6"/>
      <c r="M60" s="6"/>
      <c r="N60" s="6"/>
      <c r="O60" s="6"/>
      <c r="P60" s="30"/>
      <c r="Q60" s="30"/>
      <c r="R60" s="30"/>
      <c r="S60" s="30"/>
      <c r="T60" s="30"/>
      <c r="U60" s="30"/>
      <c r="V60" s="30"/>
      <c r="W60" s="30"/>
      <c r="X60" s="30"/>
    </row>
    <row r="61" spans="1:24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8">E62+E63</f>
        <v>0.2</v>
      </c>
      <c r="F61" s="189">
        <f t="shared" si="28"/>
        <v>0</v>
      </c>
      <c r="G61" s="189">
        <f t="shared" si="28"/>
        <v>0</v>
      </c>
      <c r="H61" s="185">
        <f t="shared" si="2"/>
        <v>0</v>
      </c>
      <c r="I61" s="191"/>
      <c r="J61" s="106"/>
      <c r="K61" s="34"/>
      <c r="L61" s="108"/>
      <c r="M61" s="108"/>
      <c r="N61" s="108"/>
      <c r="O61" s="48"/>
      <c r="P61" s="48"/>
      <c r="Q61" s="48"/>
      <c r="R61" s="48"/>
      <c r="S61" s="48"/>
      <c r="T61" s="48"/>
      <c r="U61" s="48"/>
      <c r="V61" s="48"/>
      <c r="W61" s="48"/>
      <c r="X61" s="48"/>
    </row>
    <row r="62" spans="1:24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0.1</v>
      </c>
      <c r="F62" s="186">
        <v>0</v>
      </c>
      <c r="G62" s="186">
        <v>0</v>
      </c>
      <c r="H62" s="185">
        <f t="shared" si="2"/>
        <v>0</v>
      </c>
      <c r="I62" s="188"/>
      <c r="J62" s="106"/>
      <c r="K62" s="6"/>
      <c r="L62" s="6"/>
      <c r="M62" s="6"/>
      <c r="N62" s="6"/>
      <c r="O62" s="6"/>
      <c r="P62" s="30"/>
      <c r="Q62" s="30"/>
      <c r="R62" s="30"/>
      <c r="S62" s="30"/>
      <c r="T62" s="30"/>
      <c r="U62" s="30"/>
      <c r="V62" s="30"/>
      <c r="W62" s="30"/>
      <c r="X62" s="30"/>
    </row>
    <row r="63" spans="1:24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5">
        <f t="shared" si="2"/>
        <v>0</v>
      </c>
      <c r="I63" s="188"/>
      <c r="J63" s="106"/>
      <c r="K63" s="6"/>
      <c r="L63" s="6"/>
      <c r="M63" s="6"/>
      <c r="N63" s="6"/>
      <c r="O63" s="6"/>
      <c r="P63" s="30"/>
      <c r="Q63" s="30"/>
      <c r="R63" s="30"/>
      <c r="S63" s="30"/>
      <c r="T63" s="30"/>
      <c r="U63" s="30"/>
      <c r="V63" s="30"/>
      <c r="W63" s="30"/>
      <c r="X63" s="30"/>
    </row>
    <row r="64" spans="1:24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14.68</v>
      </c>
      <c r="E64" s="181">
        <f t="shared" ref="E64:G64" si="29">E65+E66</f>
        <v>14.68</v>
      </c>
      <c r="F64" s="181">
        <f t="shared" si="29"/>
        <v>14.68</v>
      </c>
      <c r="G64" s="181">
        <f t="shared" si="29"/>
        <v>14.68</v>
      </c>
      <c r="H64" s="185">
        <f t="shared" si="2"/>
        <v>100</v>
      </c>
      <c r="I64" s="184"/>
      <c r="J64" s="47"/>
      <c r="K64" s="47"/>
      <c r="L64" s="47"/>
      <c r="M64" s="47"/>
      <c r="N64" s="47"/>
      <c r="O64" s="30"/>
      <c r="P64" s="30"/>
      <c r="Q64" s="30"/>
      <c r="R64" s="30"/>
      <c r="S64" s="30"/>
      <c r="T64" s="30"/>
      <c r="U64" s="30"/>
      <c r="V64" s="30"/>
      <c r="W64" s="30"/>
      <c r="X64" s="30"/>
    </row>
    <row r="65" spans="1:24" ht="31.9" customHeight="1" x14ac:dyDescent="0.25">
      <c r="A65" s="4" t="s">
        <v>16</v>
      </c>
      <c r="B65" s="273" t="s">
        <v>117</v>
      </c>
      <c r="C65" s="4" t="s">
        <v>4</v>
      </c>
      <c r="D65" s="186">
        <v>14.68</v>
      </c>
      <c r="E65" s="186">
        <v>14.68</v>
      </c>
      <c r="F65" s="186">
        <v>14.68</v>
      </c>
      <c r="G65" s="186">
        <v>14.68</v>
      </c>
      <c r="H65" s="185">
        <f t="shared" si="2"/>
        <v>100</v>
      </c>
      <c r="I65" s="188"/>
      <c r="J65" s="47"/>
      <c r="K65" s="47"/>
      <c r="L65" s="47"/>
      <c r="M65" s="47"/>
      <c r="N65" s="47"/>
      <c r="O65" s="30"/>
      <c r="P65" s="30"/>
      <c r="Q65" s="30"/>
      <c r="R65" s="30"/>
      <c r="S65" s="30"/>
      <c r="T65" s="30"/>
      <c r="U65" s="30"/>
      <c r="V65" s="30"/>
      <c r="W65" s="30"/>
      <c r="X65" s="30"/>
    </row>
    <row r="66" spans="1:24" ht="31.9" customHeight="1" x14ac:dyDescent="0.25">
      <c r="A66" s="4" t="s">
        <v>16</v>
      </c>
      <c r="B66" s="227" t="s">
        <v>29</v>
      </c>
      <c r="C66" s="4" t="s">
        <v>4</v>
      </c>
      <c r="D66" s="186">
        <v>0</v>
      </c>
      <c r="E66" s="186">
        <v>0</v>
      </c>
      <c r="F66" s="186"/>
      <c r="G66" s="186"/>
      <c r="H66" s="185"/>
      <c r="I66" s="188"/>
      <c r="J66" s="47"/>
      <c r="K66" s="47"/>
      <c r="L66" s="47"/>
      <c r="M66" s="47"/>
      <c r="N66" s="47"/>
      <c r="O66" s="30"/>
      <c r="P66" s="30"/>
      <c r="Q66" s="30"/>
      <c r="R66" s="30"/>
      <c r="S66" s="30"/>
      <c r="T66" s="30"/>
      <c r="U66" s="30"/>
      <c r="V66" s="30"/>
      <c r="W66" s="30"/>
      <c r="X66" s="30"/>
    </row>
    <row r="67" spans="1:24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21.94</v>
      </c>
      <c r="E67" s="181">
        <f t="shared" ref="E67:G67" si="30">E68+E71</f>
        <v>34.590000000000003</v>
      </c>
      <c r="F67" s="181">
        <f t="shared" si="30"/>
        <v>18.95</v>
      </c>
      <c r="G67" s="181">
        <f t="shared" si="30"/>
        <v>18.95</v>
      </c>
      <c r="H67" s="185">
        <f t="shared" si="2"/>
        <v>54.784619832321468</v>
      </c>
      <c r="I67" s="184"/>
      <c r="J67" s="47"/>
      <c r="K67" s="47"/>
      <c r="L67" s="47"/>
      <c r="M67" s="47"/>
      <c r="N67" s="47"/>
      <c r="O67" s="30"/>
      <c r="P67" s="30"/>
      <c r="Q67" s="30"/>
      <c r="R67" s="30"/>
      <c r="S67" s="30"/>
      <c r="T67" s="30"/>
      <c r="U67" s="30"/>
      <c r="V67" s="30"/>
      <c r="W67" s="30"/>
      <c r="X67" s="30"/>
    </row>
    <row r="68" spans="1:24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1.37</v>
      </c>
      <c r="E68" s="181">
        <f t="shared" ref="E68:G68" si="31">E69+E70</f>
        <v>16.37</v>
      </c>
      <c r="F68" s="181">
        <f t="shared" si="31"/>
        <v>1.37</v>
      </c>
      <c r="G68" s="181">
        <f t="shared" si="31"/>
        <v>1.37</v>
      </c>
      <c r="H68" s="185">
        <f t="shared" si="2"/>
        <v>8.3689676237018933</v>
      </c>
      <c r="I68" s="184"/>
      <c r="J68" s="47"/>
      <c r="K68" s="47"/>
      <c r="L68" s="47"/>
      <c r="M68" s="47"/>
      <c r="N68" s="47"/>
      <c r="O68" s="30"/>
      <c r="P68" s="30"/>
      <c r="Q68" s="30"/>
      <c r="R68" s="30"/>
      <c r="S68" s="30"/>
      <c r="T68" s="30"/>
      <c r="U68" s="30"/>
      <c r="V68" s="30"/>
      <c r="W68" s="30"/>
      <c r="X68" s="30"/>
    </row>
    <row r="69" spans="1:24" ht="31.9" customHeight="1" x14ac:dyDescent="0.25">
      <c r="A69" s="4" t="s">
        <v>16</v>
      </c>
      <c r="B69" s="273" t="s">
        <v>126</v>
      </c>
      <c r="C69" s="4" t="s">
        <v>4</v>
      </c>
      <c r="D69" s="186">
        <f>0.7+0.27</f>
        <v>0.97</v>
      </c>
      <c r="E69" s="186">
        <f>D69+D70</f>
        <v>1.37</v>
      </c>
      <c r="F69" s="186">
        <v>1.37</v>
      </c>
      <c r="G69" s="186">
        <v>1.37</v>
      </c>
      <c r="H69" s="187">
        <f t="shared" si="2"/>
        <v>100</v>
      </c>
      <c r="I69" s="188"/>
      <c r="J69" s="47"/>
      <c r="K69" s="47"/>
      <c r="L69" s="47"/>
      <c r="M69" s="47"/>
      <c r="N69" s="47"/>
      <c r="O69" s="30"/>
      <c r="P69" s="30"/>
      <c r="Q69" s="30"/>
      <c r="R69" s="30"/>
      <c r="S69" s="30"/>
      <c r="T69" s="30"/>
      <c r="U69" s="30"/>
      <c r="V69" s="30"/>
      <c r="W69" s="30"/>
      <c r="X69" s="30"/>
    </row>
    <row r="70" spans="1:24" ht="31.9" customHeight="1" x14ac:dyDescent="0.25">
      <c r="A70" s="4" t="s">
        <v>16</v>
      </c>
      <c r="B70" s="273" t="s">
        <v>127</v>
      </c>
      <c r="C70" s="4" t="s">
        <v>4</v>
      </c>
      <c r="D70" s="186">
        <v>0.4</v>
      </c>
      <c r="E70" s="186">
        <v>15</v>
      </c>
      <c r="F70" s="186"/>
      <c r="G70" s="186"/>
      <c r="H70" s="185">
        <f t="shared" si="2"/>
        <v>0</v>
      </c>
      <c r="I70" s="188"/>
      <c r="J70" s="47"/>
      <c r="K70" s="24"/>
      <c r="L70" s="26"/>
      <c r="M70" s="47"/>
      <c r="N70" s="47"/>
      <c r="O70" s="30"/>
      <c r="P70" s="30"/>
      <c r="Q70" s="30"/>
      <c r="R70" s="30"/>
      <c r="S70" s="30"/>
      <c r="T70" s="30"/>
      <c r="U70" s="30"/>
      <c r="V70" s="30"/>
      <c r="W70" s="30"/>
      <c r="X70" s="30"/>
    </row>
    <row r="71" spans="1:24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20.57</v>
      </c>
      <c r="E71" s="181">
        <f t="shared" ref="E71:G71" si="32">E72+E73</f>
        <v>18.22</v>
      </c>
      <c r="F71" s="181">
        <f t="shared" si="32"/>
        <v>17.579999999999998</v>
      </c>
      <c r="G71" s="181">
        <f t="shared" si="32"/>
        <v>17.579999999999998</v>
      </c>
      <c r="H71" s="185">
        <f t="shared" si="2"/>
        <v>96.487376509330403</v>
      </c>
      <c r="I71" s="184"/>
      <c r="J71" s="47"/>
      <c r="K71" s="47"/>
      <c r="L71" s="47"/>
      <c r="M71" s="47"/>
      <c r="N71" s="47"/>
      <c r="O71" s="30"/>
      <c r="P71" s="30"/>
      <c r="Q71" s="30"/>
      <c r="R71" s="30"/>
      <c r="S71" s="30"/>
      <c r="T71" s="30"/>
      <c r="U71" s="30"/>
      <c r="V71" s="30"/>
      <c r="W71" s="30"/>
      <c r="X71" s="30"/>
    </row>
    <row r="72" spans="1:24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16.27</v>
      </c>
      <c r="E72" s="192">
        <f t="shared" ref="E72:G73" si="33">E75+E82</f>
        <v>17.579999999999998</v>
      </c>
      <c r="F72" s="192">
        <f t="shared" si="33"/>
        <v>17.579999999999998</v>
      </c>
      <c r="G72" s="192">
        <f t="shared" si="33"/>
        <v>17.579999999999998</v>
      </c>
      <c r="H72" s="185">
        <f t="shared" si="2"/>
        <v>100</v>
      </c>
      <c r="I72" s="193"/>
      <c r="J72" s="47"/>
      <c r="K72" s="47"/>
      <c r="L72" s="47"/>
      <c r="M72" s="47"/>
      <c r="N72" s="47"/>
      <c r="O72" s="30"/>
      <c r="P72" s="30"/>
      <c r="Q72" s="30"/>
      <c r="R72" s="30"/>
      <c r="S72" s="30"/>
      <c r="T72" s="30"/>
      <c r="U72" s="30"/>
      <c r="V72" s="30"/>
      <c r="W72" s="30"/>
      <c r="X72" s="30"/>
    </row>
    <row r="73" spans="1:24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4.3</v>
      </c>
      <c r="E73" s="181">
        <f t="shared" si="33"/>
        <v>0.64</v>
      </c>
      <c r="F73" s="181">
        <f t="shared" si="33"/>
        <v>0</v>
      </c>
      <c r="G73" s="181">
        <f t="shared" si="33"/>
        <v>0</v>
      </c>
      <c r="H73" s="185">
        <f t="shared" si="2"/>
        <v>0</v>
      </c>
      <c r="I73" s="184"/>
      <c r="J73" s="118"/>
      <c r="K73" s="118"/>
      <c r="L73" s="118"/>
      <c r="M73" s="118"/>
      <c r="N73" s="118"/>
      <c r="O73" s="30"/>
      <c r="P73" s="30"/>
      <c r="Q73" s="30"/>
      <c r="R73" s="30"/>
      <c r="S73" s="30"/>
      <c r="T73" s="30"/>
      <c r="U73" s="30"/>
      <c r="V73" s="30"/>
      <c r="W73" s="30"/>
      <c r="X73" s="30"/>
    </row>
    <row r="74" spans="1:24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16.579999999999998</v>
      </c>
      <c r="E74" s="194">
        <f t="shared" ref="E74:G74" si="34">E75+E76</f>
        <v>17.079999999999998</v>
      </c>
      <c r="F74" s="194">
        <f t="shared" si="34"/>
        <v>16.579999999999998</v>
      </c>
      <c r="G74" s="194">
        <f t="shared" si="34"/>
        <v>16.579999999999998</v>
      </c>
      <c r="H74" s="217">
        <f t="shared" ref="H74:H97" si="35">F74/E74*100</f>
        <v>97.072599531615921</v>
      </c>
      <c r="I74" s="195"/>
      <c r="J74" s="119"/>
      <c r="K74" s="119"/>
      <c r="L74" s="42"/>
      <c r="M74" s="42"/>
      <c r="N74" s="42"/>
      <c r="O74" s="42"/>
      <c r="P74" s="42"/>
      <c r="Q74" s="42"/>
      <c r="R74" s="30"/>
      <c r="S74" s="30"/>
      <c r="T74" s="30"/>
      <c r="U74" s="30"/>
      <c r="V74" s="30"/>
      <c r="W74" s="30"/>
      <c r="X74" s="30"/>
    </row>
    <row r="75" spans="1:24" ht="31.9" customHeight="1" x14ac:dyDescent="0.25">
      <c r="A75" s="5" t="s">
        <v>22</v>
      </c>
      <c r="B75" s="281" t="s">
        <v>117</v>
      </c>
      <c r="C75" s="4" t="s">
        <v>4</v>
      </c>
      <c r="D75" s="196">
        <f>8.28+5</f>
        <v>13.28</v>
      </c>
      <c r="E75" s="196">
        <f>D75+D76</f>
        <v>16.579999999999998</v>
      </c>
      <c r="F75" s="196">
        <v>16.579999999999998</v>
      </c>
      <c r="G75" s="196">
        <v>16.579999999999998</v>
      </c>
      <c r="H75" s="187">
        <f t="shared" si="35"/>
        <v>100</v>
      </c>
      <c r="I75" s="188"/>
      <c r="J75" s="47"/>
      <c r="K75" s="47"/>
      <c r="L75" s="24"/>
      <c r="M75" s="24"/>
      <c r="N75" s="24"/>
      <c r="O75" s="39"/>
      <c r="P75" s="39"/>
      <c r="Q75" s="39"/>
      <c r="R75" s="30"/>
      <c r="S75" s="30"/>
      <c r="T75" s="30"/>
      <c r="U75" s="30"/>
      <c r="V75" s="30"/>
      <c r="W75" s="30"/>
      <c r="X75" s="30"/>
    </row>
    <row r="76" spans="1:24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3.3</v>
      </c>
      <c r="E76" s="197">
        <f>SUM(E77:E80)</f>
        <v>0.5</v>
      </c>
      <c r="F76" s="197">
        <f t="shared" ref="F76:G76" si="36">SUM(F77:F80)</f>
        <v>0</v>
      </c>
      <c r="G76" s="197">
        <f t="shared" si="36"/>
        <v>0</v>
      </c>
      <c r="H76" s="217">
        <f t="shared" si="35"/>
        <v>0</v>
      </c>
      <c r="I76" s="198"/>
      <c r="J76" s="108"/>
      <c r="K76" s="108"/>
      <c r="L76" s="34"/>
      <c r="M76" s="34"/>
      <c r="N76" s="34"/>
      <c r="O76" s="39"/>
      <c r="P76" s="39"/>
      <c r="Q76" s="39"/>
      <c r="R76" s="30"/>
      <c r="S76" s="30"/>
      <c r="T76" s="30"/>
      <c r="U76" s="30"/>
      <c r="V76" s="30"/>
      <c r="W76" s="30"/>
      <c r="X76" s="30"/>
    </row>
    <row r="77" spans="1:24" ht="31.9" customHeight="1" x14ac:dyDescent="0.25">
      <c r="A77" s="3" t="s">
        <v>16</v>
      </c>
      <c r="B77" s="283" t="s">
        <v>133</v>
      </c>
      <c r="C77" s="3" t="s">
        <v>4</v>
      </c>
      <c r="D77" s="186">
        <v>2.8</v>
      </c>
      <c r="E77" s="186">
        <v>0.5</v>
      </c>
      <c r="F77" s="186">
        <v>0</v>
      </c>
      <c r="G77" s="186">
        <v>0</v>
      </c>
      <c r="H77" s="217">
        <f t="shared" si="35"/>
        <v>0</v>
      </c>
      <c r="I77" s="188"/>
      <c r="J77" s="137"/>
      <c r="K77" s="108"/>
      <c r="L77" s="34"/>
      <c r="M77" s="120"/>
      <c r="N77" s="120"/>
      <c r="O77" s="39"/>
      <c r="P77" s="49"/>
      <c r="Q77" s="49"/>
      <c r="R77" s="30"/>
      <c r="S77" s="30"/>
      <c r="T77" s="30"/>
      <c r="U77" s="30"/>
      <c r="V77" s="30"/>
      <c r="W77" s="30"/>
      <c r="X77" s="30"/>
    </row>
    <row r="78" spans="1:24" ht="31.9" customHeight="1" x14ac:dyDescent="0.25">
      <c r="A78" s="3" t="s">
        <v>16</v>
      </c>
      <c r="B78" s="283" t="s">
        <v>110</v>
      </c>
      <c r="C78" s="3" t="s">
        <v>4</v>
      </c>
      <c r="D78" s="186">
        <v>0.5</v>
      </c>
      <c r="E78" s="186">
        <v>0</v>
      </c>
      <c r="F78" s="186"/>
      <c r="G78" s="186"/>
      <c r="H78" s="190"/>
      <c r="I78" s="188"/>
      <c r="J78" s="108"/>
      <c r="K78" s="108"/>
      <c r="L78" s="34"/>
      <c r="M78" s="34"/>
      <c r="N78" s="34"/>
      <c r="O78" s="39"/>
      <c r="P78" s="39"/>
      <c r="Q78" s="39"/>
      <c r="R78" s="30"/>
      <c r="S78" s="30"/>
      <c r="T78" s="30"/>
      <c r="U78" s="30"/>
      <c r="V78" s="30"/>
      <c r="W78" s="30"/>
      <c r="X78" s="30"/>
    </row>
    <row r="79" spans="1:24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90"/>
      <c r="I79" s="188"/>
      <c r="J79" s="108"/>
      <c r="K79" s="108"/>
      <c r="L79" s="34"/>
      <c r="M79" s="34"/>
      <c r="N79" s="34"/>
      <c r="O79" s="39"/>
      <c r="P79" s="39"/>
      <c r="Q79" s="39"/>
      <c r="R79" s="30"/>
      <c r="S79" s="30"/>
      <c r="T79" s="30"/>
      <c r="U79" s="30"/>
      <c r="V79" s="30"/>
      <c r="W79" s="30"/>
      <c r="X79" s="30"/>
    </row>
    <row r="80" spans="1:24" ht="31.9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90"/>
      <c r="I80" s="188"/>
      <c r="J80" s="108"/>
      <c r="K80" s="108"/>
      <c r="L80" s="34"/>
      <c r="M80" s="34"/>
      <c r="N80" s="34"/>
      <c r="O80" s="39"/>
      <c r="P80" s="39"/>
      <c r="Q80" s="39"/>
      <c r="R80" s="30"/>
      <c r="S80" s="30"/>
      <c r="T80" s="30"/>
      <c r="U80" s="30"/>
      <c r="V80" s="30"/>
      <c r="W80" s="30"/>
      <c r="X80" s="30"/>
    </row>
    <row r="81" spans="1:24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3.99</v>
      </c>
      <c r="E81" s="194">
        <f t="shared" ref="E81:G81" si="37">E82+E83</f>
        <v>1.1400000000000001</v>
      </c>
      <c r="F81" s="194">
        <f t="shared" si="37"/>
        <v>1</v>
      </c>
      <c r="G81" s="194">
        <f t="shared" si="37"/>
        <v>1</v>
      </c>
      <c r="H81" s="217">
        <f t="shared" si="35"/>
        <v>87.719298245614027</v>
      </c>
      <c r="I81" s="195"/>
      <c r="J81" s="119"/>
      <c r="K81" s="119"/>
      <c r="L81" s="42"/>
      <c r="M81" s="42"/>
      <c r="N81" s="42"/>
      <c r="O81" s="42"/>
      <c r="P81" s="42"/>
      <c r="Q81" s="42"/>
      <c r="R81" s="50"/>
      <c r="S81" s="50"/>
      <c r="T81" s="50"/>
      <c r="U81" s="50"/>
      <c r="V81" s="50"/>
      <c r="W81" s="50"/>
      <c r="X81" s="50"/>
    </row>
    <row r="82" spans="1:24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2.99</v>
      </c>
      <c r="E82" s="189">
        <v>1</v>
      </c>
      <c r="F82" s="189">
        <v>1</v>
      </c>
      <c r="G82" s="189">
        <v>1</v>
      </c>
      <c r="H82" s="190">
        <f t="shared" si="35"/>
        <v>100</v>
      </c>
      <c r="I82" s="191"/>
      <c r="J82" s="108"/>
      <c r="K82" s="137"/>
      <c r="L82" s="34"/>
      <c r="M82" s="34"/>
      <c r="N82" s="34"/>
      <c r="O82" s="51"/>
      <c r="P82" s="51"/>
      <c r="Q82" s="51"/>
      <c r="R82" s="48"/>
      <c r="S82" s="48"/>
      <c r="T82" s="48"/>
      <c r="U82" s="48"/>
      <c r="V82" s="48"/>
      <c r="W82" s="48"/>
      <c r="X82" s="48"/>
    </row>
    <row r="83" spans="1:24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8">SUM(D84:D87)</f>
        <v>1</v>
      </c>
      <c r="E83" s="196">
        <f t="shared" si="38"/>
        <v>0.14000000000000001</v>
      </c>
      <c r="F83" s="196">
        <f t="shared" si="38"/>
        <v>0</v>
      </c>
      <c r="G83" s="196">
        <f t="shared" si="38"/>
        <v>0</v>
      </c>
      <c r="H83" s="190">
        <f t="shared" si="35"/>
        <v>0</v>
      </c>
      <c r="I83" s="199"/>
      <c r="J83" s="108"/>
      <c r="K83" s="108"/>
      <c r="L83" s="108"/>
      <c r="M83" s="108"/>
      <c r="N83" s="108"/>
      <c r="O83" s="30"/>
      <c r="P83" s="30"/>
      <c r="Q83" s="30"/>
      <c r="R83" s="30"/>
      <c r="S83" s="30"/>
      <c r="T83" s="30"/>
      <c r="U83" s="30"/>
      <c r="V83" s="30"/>
      <c r="W83" s="30"/>
      <c r="X83" s="30"/>
    </row>
    <row r="84" spans="1:24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90"/>
      <c r="I84" s="188"/>
      <c r="J84" s="34"/>
      <c r="K84" s="34"/>
      <c r="L84" s="34"/>
      <c r="M84" s="34"/>
      <c r="N84" s="34"/>
      <c r="O84" s="30"/>
      <c r="P84" s="30"/>
      <c r="Q84" s="30"/>
      <c r="R84" s="30"/>
      <c r="S84" s="30"/>
      <c r="T84" s="30"/>
      <c r="U84" s="30"/>
      <c r="V84" s="30"/>
      <c r="W84" s="30"/>
      <c r="X84" s="30"/>
    </row>
    <row r="85" spans="1:24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90"/>
      <c r="I85" s="188"/>
      <c r="J85" s="34"/>
      <c r="K85" s="34"/>
      <c r="L85" s="34"/>
      <c r="M85" s="34"/>
      <c r="N85" s="34"/>
      <c r="O85" s="30"/>
      <c r="P85" s="30"/>
      <c r="Q85" s="30"/>
      <c r="R85" s="30"/>
      <c r="S85" s="30"/>
      <c r="T85" s="30"/>
      <c r="U85" s="30"/>
      <c r="V85" s="30"/>
      <c r="W85" s="30"/>
      <c r="X85" s="30"/>
    </row>
    <row r="86" spans="1:24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90"/>
      <c r="I86" s="188"/>
      <c r="J86" s="34"/>
      <c r="K86" s="34"/>
      <c r="L86" s="34"/>
      <c r="M86" s="34"/>
      <c r="N86" s="39"/>
      <c r="O86" s="39"/>
      <c r="P86" s="39"/>
      <c r="Q86" s="39"/>
      <c r="R86" s="30"/>
      <c r="S86" s="30"/>
      <c r="T86" s="30"/>
      <c r="U86" s="30"/>
      <c r="V86" s="30"/>
      <c r="W86" s="30"/>
      <c r="X86" s="30"/>
    </row>
    <row r="87" spans="1:24" ht="31.9" customHeight="1" x14ac:dyDescent="0.25">
      <c r="A87" s="282" t="s">
        <v>16</v>
      </c>
      <c r="B87" s="283" t="s">
        <v>114</v>
      </c>
      <c r="C87" s="3" t="s">
        <v>4</v>
      </c>
      <c r="D87" s="186">
        <v>1</v>
      </c>
      <c r="E87" s="186">
        <v>0.14000000000000001</v>
      </c>
      <c r="F87" s="186">
        <v>0</v>
      </c>
      <c r="G87" s="186">
        <v>0</v>
      </c>
      <c r="H87" s="190">
        <f t="shared" si="35"/>
        <v>0</v>
      </c>
      <c r="I87" s="188"/>
      <c r="J87" s="34"/>
      <c r="K87" s="34"/>
      <c r="L87" s="34"/>
      <c r="M87" s="120"/>
      <c r="N87" s="120"/>
      <c r="O87" s="49"/>
      <c r="P87" s="49"/>
      <c r="Q87" s="49"/>
      <c r="R87" s="33"/>
      <c r="S87" s="30"/>
      <c r="T87" s="30"/>
      <c r="U87" s="30"/>
      <c r="V87" s="30"/>
      <c r="W87" s="30"/>
      <c r="X87" s="30"/>
    </row>
    <row r="88" spans="1:24" ht="31.9" customHeight="1" x14ac:dyDescent="0.25">
      <c r="A88" s="2" t="s">
        <v>42</v>
      </c>
      <c r="B88" s="224" t="s">
        <v>43</v>
      </c>
      <c r="C88" s="2"/>
      <c r="D88" s="181">
        <f>SUM(D89:D93)</f>
        <v>331</v>
      </c>
      <c r="E88" s="181">
        <f>SUM(E89:E93)</f>
        <v>358</v>
      </c>
      <c r="F88" s="181">
        <f t="shared" ref="F88:G88" si="39">SUM(F89:F93)</f>
        <v>339</v>
      </c>
      <c r="G88" s="181">
        <f t="shared" si="39"/>
        <v>339</v>
      </c>
      <c r="H88" s="185">
        <f t="shared" si="35"/>
        <v>94.692737430167597</v>
      </c>
      <c r="I88" s="184"/>
      <c r="J88" s="24"/>
      <c r="K88" s="24"/>
      <c r="L88" s="81"/>
      <c r="M88" s="81"/>
      <c r="N88" s="24"/>
      <c r="O88" s="30"/>
      <c r="P88" s="30"/>
      <c r="Q88" s="30"/>
      <c r="R88" s="30"/>
      <c r="S88" s="30"/>
      <c r="T88" s="30"/>
      <c r="U88" s="30"/>
      <c r="V88" s="30"/>
      <c r="W88" s="30"/>
      <c r="X88" s="30"/>
    </row>
    <row r="89" spans="1:24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31</v>
      </c>
      <c r="E89" s="186">
        <f>70+37</f>
        <v>107</v>
      </c>
      <c r="F89" s="186">
        <v>105</v>
      </c>
      <c r="G89" s="186">
        <f>F89</f>
        <v>105</v>
      </c>
      <c r="H89" s="187">
        <f t="shared" si="35"/>
        <v>98.130841121495322</v>
      </c>
      <c r="I89" s="188"/>
      <c r="J89" s="121"/>
      <c r="K89" s="105"/>
      <c r="L89" s="167"/>
      <c r="M89" s="153"/>
      <c r="N89" s="121"/>
      <c r="O89" s="92"/>
      <c r="P89" s="92"/>
      <c r="Q89" s="92"/>
      <c r="R89" s="92"/>
      <c r="S89" s="92"/>
      <c r="T89" s="92"/>
      <c r="U89" s="92"/>
      <c r="V89" s="92"/>
      <c r="W89" s="92"/>
      <c r="X89" s="92"/>
    </row>
    <row r="90" spans="1:24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f>52-5</f>
        <v>47</v>
      </c>
      <c r="E90" s="186">
        <f>30+5</f>
        <v>35</v>
      </c>
      <c r="F90" s="186">
        <v>33</v>
      </c>
      <c r="G90" s="186">
        <f>F90</f>
        <v>33</v>
      </c>
      <c r="H90" s="187">
        <f t="shared" si="35"/>
        <v>94.285714285714278</v>
      </c>
      <c r="I90" s="188"/>
      <c r="J90" s="121"/>
      <c r="K90" s="105"/>
      <c r="L90" s="167"/>
      <c r="M90" s="153"/>
      <c r="N90" s="121"/>
      <c r="O90" s="92"/>
      <c r="P90" s="92"/>
      <c r="Q90" s="92"/>
      <c r="R90" s="92"/>
      <c r="S90" s="92"/>
      <c r="T90" s="92"/>
      <c r="U90" s="92"/>
      <c r="V90" s="92"/>
      <c r="W90" s="92"/>
      <c r="X90" s="92"/>
    </row>
    <row r="91" spans="1:24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f>30-5</f>
        <v>25</v>
      </c>
      <c r="E91" s="186">
        <f>10+3</f>
        <v>13</v>
      </c>
      <c r="F91" s="186">
        <v>11</v>
      </c>
      <c r="G91" s="186">
        <f>F91</f>
        <v>11</v>
      </c>
      <c r="H91" s="187">
        <f t="shared" si="35"/>
        <v>84.615384615384613</v>
      </c>
      <c r="I91" s="188"/>
      <c r="J91" s="121"/>
      <c r="K91" s="105"/>
      <c r="L91" s="167"/>
      <c r="M91" s="153"/>
      <c r="N91" s="121"/>
      <c r="O91" s="92"/>
      <c r="P91" s="92"/>
      <c r="Q91" s="92"/>
      <c r="R91" s="92"/>
      <c r="S91" s="92"/>
      <c r="T91" s="92"/>
      <c r="U91" s="92"/>
      <c r="V91" s="92"/>
      <c r="W91" s="92"/>
      <c r="X91" s="92"/>
    </row>
    <row r="92" spans="1:24" ht="31.9" customHeight="1" x14ac:dyDescent="0.25">
      <c r="A92" s="4">
        <v>4</v>
      </c>
      <c r="B92" s="227" t="s">
        <v>47</v>
      </c>
      <c r="C92" s="4" t="s">
        <v>6</v>
      </c>
      <c r="D92" s="186"/>
      <c r="E92" s="186">
        <v>0</v>
      </c>
      <c r="F92" s="186"/>
      <c r="G92" s="186"/>
      <c r="H92" s="187"/>
      <c r="I92" s="188"/>
      <c r="J92" s="24"/>
      <c r="K92" s="24"/>
      <c r="L92" s="160"/>
      <c r="M92" s="153"/>
      <c r="N92" s="24"/>
      <c r="O92" s="30"/>
      <c r="P92" s="30"/>
      <c r="Q92" s="30"/>
      <c r="R92" s="30"/>
      <c r="S92" s="30"/>
      <c r="T92" s="30"/>
      <c r="U92" s="30"/>
      <c r="V92" s="30"/>
      <c r="W92" s="30"/>
      <c r="X92" s="30"/>
    </row>
    <row r="93" spans="1:24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228</v>
      </c>
      <c r="E93" s="186">
        <f>225-22</f>
        <v>203</v>
      </c>
      <c r="F93" s="186">
        <v>190</v>
      </c>
      <c r="G93" s="186">
        <f>F93</f>
        <v>190</v>
      </c>
      <c r="H93" s="187">
        <f t="shared" si="35"/>
        <v>93.596059113300484</v>
      </c>
      <c r="I93" s="188"/>
      <c r="J93" s="105"/>
      <c r="K93" s="105"/>
      <c r="L93" s="160"/>
      <c r="M93" s="153"/>
      <c r="N93" s="121"/>
      <c r="O93" s="92"/>
      <c r="P93" s="92"/>
      <c r="Q93" s="92"/>
      <c r="R93" s="92"/>
      <c r="S93" s="92"/>
      <c r="T93" s="92"/>
      <c r="U93" s="92"/>
      <c r="V93" s="92"/>
      <c r="W93" s="92"/>
      <c r="X93" s="92"/>
    </row>
    <row r="94" spans="1:24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40">E95</f>
        <v>0</v>
      </c>
      <c r="F94" s="181">
        <f t="shared" si="40"/>
        <v>0</v>
      </c>
      <c r="G94" s="181">
        <f t="shared" si="40"/>
        <v>0</v>
      </c>
      <c r="H94" s="187"/>
      <c r="I94" s="184"/>
      <c r="J94" s="21"/>
      <c r="K94" s="21"/>
      <c r="L94" s="21"/>
      <c r="M94" s="21"/>
      <c r="N94" s="21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1:24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7"/>
      <c r="I95" s="188"/>
      <c r="J95" s="24"/>
      <c r="K95" s="24"/>
      <c r="L95" s="24"/>
      <c r="M95" s="24"/>
      <c r="N95" s="24"/>
      <c r="O95" s="30"/>
      <c r="P95" s="30"/>
      <c r="Q95" s="30"/>
      <c r="R95" s="30"/>
      <c r="S95" s="30"/>
      <c r="T95" s="30"/>
      <c r="U95" s="30"/>
      <c r="V95" s="30"/>
      <c r="W95" s="30"/>
      <c r="X95" s="30"/>
    </row>
    <row r="96" spans="1:24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1">E97+E98</f>
        <v>0.2</v>
      </c>
      <c r="F96" s="181">
        <f t="shared" si="41"/>
        <v>0</v>
      </c>
      <c r="G96" s="181">
        <f t="shared" si="41"/>
        <v>0</v>
      </c>
      <c r="H96" s="187">
        <f t="shared" si="35"/>
        <v>0</v>
      </c>
      <c r="I96" s="184"/>
      <c r="J96" s="24"/>
      <c r="K96" s="24"/>
      <c r="L96" s="24"/>
      <c r="M96" s="24"/>
      <c r="N96" s="24"/>
      <c r="O96" s="30"/>
      <c r="P96" s="30"/>
      <c r="Q96" s="30"/>
      <c r="R96" s="30"/>
      <c r="S96" s="30"/>
      <c r="T96" s="30"/>
      <c r="U96" s="30"/>
      <c r="V96" s="30"/>
      <c r="W96" s="30"/>
      <c r="X96" s="30"/>
    </row>
    <row r="97" spans="1:24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>
        <v>0.2</v>
      </c>
      <c r="F97" s="186"/>
      <c r="G97" s="186"/>
      <c r="H97" s="187">
        <f t="shared" si="35"/>
        <v>0</v>
      </c>
      <c r="I97" s="188"/>
      <c r="J97" s="24"/>
      <c r="K97" s="8"/>
      <c r="L97" s="8"/>
      <c r="M97" s="8"/>
      <c r="N97" s="24"/>
      <c r="O97" s="30"/>
      <c r="P97" s="30"/>
      <c r="Q97" s="30"/>
      <c r="R97" s="30"/>
      <c r="S97" s="30"/>
      <c r="T97" s="30"/>
      <c r="U97" s="30"/>
      <c r="V97" s="30"/>
      <c r="W97" s="30"/>
      <c r="X97" s="30"/>
    </row>
    <row r="98" spans="1:24" ht="31.9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7"/>
      <c r="I98" s="188"/>
      <c r="J98" s="24"/>
      <c r="K98" s="24"/>
      <c r="L98" s="24"/>
      <c r="M98" s="24"/>
      <c r="N98" s="24"/>
      <c r="O98" s="30"/>
      <c r="P98" s="30"/>
      <c r="Q98" s="30"/>
      <c r="R98" s="30"/>
      <c r="S98" s="30"/>
      <c r="T98" s="30"/>
      <c r="U98" s="30"/>
      <c r="V98" s="30"/>
      <c r="W98" s="30"/>
      <c r="X98" s="30"/>
    </row>
    <row r="99" spans="1:2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2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2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2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2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2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2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2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2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2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2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2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2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2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47244094488188981" right="0.35433070866141736" top="0.55118110236220474" bottom="0.43307086614173229" header="0" footer="0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109375" style="220" customWidth="1"/>
    <col min="2" max="2" width="29.33203125" style="220" customWidth="1"/>
    <col min="3" max="3" width="9.21875" style="220" customWidth="1"/>
    <col min="4" max="4" width="19.21875" style="220" customWidth="1"/>
    <col min="5" max="5" width="18.6640625" style="220" customWidth="1"/>
    <col min="6" max="8" width="12.6640625" style="220" customWidth="1"/>
    <col min="9" max="9" width="10.77734375" style="220" customWidth="1"/>
    <col min="10" max="10" width="8.88671875" style="17" customWidth="1"/>
    <col min="11" max="11" width="21.109375" style="17" customWidth="1"/>
    <col min="12" max="14" width="8.88671875" style="17" customWidth="1"/>
    <col min="15" max="16384" width="11.21875" style="17"/>
  </cols>
  <sheetData>
    <row r="1" spans="1:20" ht="15" customHeight="1" x14ac:dyDescent="0.25">
      <c r="H1" s="422"/>
      <c r="I1" s="422"/>
    </row>
    <row r="2" spans="1:20" ht="21.6" customHeight="1" x14ac:dyDescent="0.25">
      <c r="A2" s="418"/>
      <c r="B2" s="418"/>
      <c r="C2" s="418"/>
      <c r="D2" s="418"/>
      <c r="E2" s="418"/>
      <c r="F2" s="418"/>
      <c r="G2" s="418"/>
      <c r="H2" s="418"/>
      <c r="I2" s="418"/>
      <c r="J2" s="19"/>
      <c r="K2" s="19"/>
      <c r="L2" s="19"/>
      <c r="M2" s="19"/>
      <c r="N2" s="19"/>
    </row>
    <row r="3" spans="1:20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20" ht="16.5" x14ac:dyDescent="0.25">
      <c r="A4" s="418" t="s">
        <v>147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20" ht="20.45" customHeight="1" x14ac:dyDescent="0.25">
      <c r="A5" s="430" t="str">
        <f>'ĐĂK CHUM 1(3)'!A5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20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20" ht="42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33" t="s">
        <v>177</v>
      </c>
      <c r="F7" s="434"/>
      <c r="G7" s="434"/>
      <c r="H7" s="435"/>
      <c r="I7" s="420" t="s">
        <v>180</v>
      </c>
      <c r="J7" s="19"/>
      <c r="K7" s="45" t="s">
        <v>136</v>
      </c>
      <c r="L7" s="66">
        <v>28</v>
      </c>
      <c r="M7" s="19"/>
      <c r="N7" s="19"/>
    </row>
    <row r="8" spans="1:20" ht="42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21"/>
      <c r="J8" s="19"/>
      <c r="K8" s="45" t="s">
        <v>137</v>
      </c>
      <c r="L8" s="66">
        <v>92</v>
      </c>
      <c r="M8" s="19"/>
      <c r="N8" s="19"/>
    </row>
    <row r="9" spans="1:20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32.82</v>
      </c>
      <c r="E9" s="182">
        <f t="shared" ref="E9:G9" si="0">E13+E28+E37+E43+E46+E67</f>
        <v>58.92</v>
      </c>
      <c r="F9" s="182">
        <f t="shared" si="0"/>
        <v>32.54</v>
      </c>
      <c r="G9" s="182">
        <f t="shared" si="0"/>
        <v>32.54</v>
      </c>
      <c r="H9" s="182">
        <f>F9/E9*100</f>
        <v>55.227427019687717</v>
      </c>
      <c r="I9" s="182"/>
      <c r="J9" s="103"/>
      <c r="K9" s="118"/>
      <c r="L9" s="118"/>
      <c r="M9" s="118"/>
      <c r="N9" s="118"/>
      <c r="O9" s="35"/>
      <c r="P9" s="35"/>
      <c r="Q9" s="35"/>
      <c r="R9" s="35"/>
      <c r="S9" s="35"/>
      <c r="T9" s="35"/>
    </row>
    <row r="10" spans="1:20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19.809999999999999</v>
      </c>
      <c r="F10" s="181">
        <f t="shared" si="1"/>
        <v>2.2999999999999998</v>
      </c>
      <c r="G10" s="181">
        <f t="shared" si="1"/>
        <v>2.2999999999999998</v>
      </c>
      <c r="H10" s="182">
        <f t="shared" ref="H10:H73" si="2">F10/E10*100</f>
        <v>11.610297829379101</v>
      </c>
      <c r="I10" s="181"/>
      <c r="J10" s="103"/>
      <c r="K10" s="118"/>
      <c r="L10" s="118"/>
      <c r="M10" s="118"/>
      <c r="N10" s="118"/>
      <c r="O10" s="35"/>
      <c r="P10" s="35"/>
      <c r="Q10" s="35"/>
      <c r="R10" s="35"/>
      <c r="S10" s="35"/>
      <c r="T10" s="35"/>
    </row>
    <row r="11" spans="1:20" s="23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69.393340000000009</v>
      </c>
      <c r="F11" s="181">
        <f t="shared" si="3"/>
        <v>0</v>
      </c>
      <c r="G11" s="181">
        <f t="shared" si="3"/>
        <v>0</v>
      </c>
      <c r="H11" s="182">
        <f t="shared" si="2"/>
        <v>0</v>
      </c>
      <c r="I11" s="181"/>
      <c r="J11" s="103"/>
      <c r="K11" s="118"/>
      <c r="L11" s="118"/>
      <c r="M11" s="118"/>
      <c r="N11" s="118"/>
      <c r="O11" s="35"/>
      <c r="P11" s="35"/>
      <c r="Q11" s="35"/>
      <c r="R11" s="35"/>
      <c r="S11" s="35"/>
      <c r="T11" s="35"/>
    </row>
    <row r="12" spans="1:20" s="23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65.703340000000011</v>
      </c>
      <c r="F12" s="181">
        <f t="shared" si="4"/>
        <v>0</v>
      </c>
      <c r="G12" s="181">
        <f t="shared" si="4"/>
        <v>0</v>
      </c>
      <c r="H12" s="182">
        <f t="shared" si="2"/>
        <v>0</v>
      </c>
      <c r="I12" s="181"/>
      <c r="J12" s="103"/>
      <c r="K12" s="118"/>
      <c r="L12" s="118"/>
      <c r="M12" s="118"/>
      <c r="N12" s="118"/>
      <c r="O12" s="35"/>
      <c r="P12" s="35"/>
      <c r="Q12" s="35"/>
      <c r="R12" s="35"/>
      <c r="S12" s="35"/>
      <c r="T12" s="35"/>
    </row>
    <row r="13" spans="1:20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18.809999999999999</v>
      </c>
      <c r="F13" s="181">
        <f t="shared" si="5"/>
        <v>1.3</v>
      </c>
      <c r="G13" s="181">
        <f t="shared" si="5"/>
        <v>1.3</v>
      </c>
      <c r="H13" s="182">
        <f t="shared" si="2"/>
        <v>6.911217437533228</v>
      </c>
      <c r="I13" s="181"/>
      <c r="J13" s="19"/>
      <c r="K13" s="47"/>
      <c r="L13" s="47"/>
      <c r="M13" s="47"/>
      <c r="N13" s="47"/>
      <c r="O13" s="30"/>
      <c r="P13" s="30"/>
      <c r="Q13" s="30"/>
      <c r="R13" s="30"/>
      <c r="S13" s="30"/>
      <c r="T13" s="30"/>
    </row>
    <row r="14" spans="1:20" ht="31.9" customHeight="1" x14ac:dyDescent="0.25">
      <c r="A14" s="2"/>
      <c r="B14" s="227" t="s">
        <v>139</v>
      </c>
      <c r="C14" s="4" t="s">
        <v>140</v>
      </c>
      <c r="D14" s="186"/>
      <c r="E14" s="186">
        <f t="shared" ref="E14:G14" si="6">E15/E13*10</f>
        <v>34.930005316321115</v>
      </c>
      <c r="F14" s="186">
        <f t="shared" si="6"/>
        <v>0</v>
      </c>
      <c r="G14" s="186">
        <f t="shared" si="6"/>
        <v>0</v>
      </c>
      <c r="H14" s="182">
        <f>F14/E14*100</f>
        <v>0</v>
      </c>
      <c r="I14" s="186"/>
      <c r="J14" s="19"/>
      <c r="K14" s="47"/>
      <c r="L14" s="47"/>
      <c r="M14" s="47"/>
      <c r="N14" s="47"/>
      <c r="O14" s="30"/>
      <c r="P14" s="30"/>
      <c r="Q14" s="30"/>
      <c r="R14" s="30"/>
      <c r="S14" s="30"/>
      <c r="T14" s="30"/>
    </row>
    <row r="15" spans="1:20" ht="31.9" customHeight="1" x14ac:dyDescent="0.25">
      <c r="A15" s="2"/>
      <c r="B15" s="227" t="s">
        <v>141</v>
      </c>
      <c r="C15" s="4" t="s">
        <v>15</v>
      </c>
      <c r="D15" s="186">
        <f>D18+D21</f>
        <v>0</v>
      </c>
      <c r="E15" s="186">
        <f t="shared" ref="E15:G15" si="7">E18+E21</f>
        <v>65.703340000000011</v>
      </c>
      <c r="F15" s="186">
        <f t="shared" si="7"/>
        <v>0</v>
      </c>
      <c r="G15" s="186">
        <f t="shared" si="7"/>
        <v>0</v>
      </c>
      <c r="H15" s="182">
        <f t="shared" si="2"/>
        <v>0</v>
      </c>
      <c r="I15" s="186"/>
      <c r="J15" s="19"/>
      <c r="K15" s="47"/>
      <c r="L15" s="47"/>
      <c r="M15" s="47"/>
      <c r="N15" s="47"/>
      <c r="O15" s="30"/>
      <c r="P15" s="30"/>
      <c r="Q15" s="30"/>
      <c r="R15" s="30"/>
      <c r="S15" s="30"/>
      <c r="T15" s="30"/>
    </row>
    <row r="16" spans="1:20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1.3</v>
      </c>
      <c r="F16" s="181">
        <v>1.3</v>
      </c>
      <c r="G16" s="181">
        <v>1.3</v>
      </c>
      <c r="H16" s="182">
        <f t="shared" si="2"/>
        <v>100</v>
      </c>
      <c r="I16" s="181"/>
      <c r="J16" s="104"/>
      <c r="K16" s="26"/>
      <c r="L16" s="26"/>
      <c r="M16" s="26"/>
      <c r="N16" s="26"/>
      <c r="O16" s="53"/>
      <c r="P16" s="53"/>
      <c r="Q16" s="53"/>
      <c r="R16" s="31"/>
      <c r="S16" s="30"/>
      <c r="T16" s="30"/>
    </row>
    <row r="17" spans="1:21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2">
        <f t="shared" si="2"/>
        <v>0</v>
      </c>
      <c r="I17" s="186"/>
      <c r="J17" s="104"/>
      <c r="K17" s="26"/>
      <c r="L17" s="26"/>
      <c r="M17" s="26"/>
      <c r="N17" s="26"/>
      <c r="O17" s="53"/>
      <c r="P17" s="53"/>
      <c r="Q17" s="53"/>
      <c r="R17" s="31"/>
      <c r="S17" s="30"/>
      <c r="T17" s="30"/>
    </row>
    <row r="18" spans="1:21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4.3550000000000004</v>
      </c>
      <c r="F18" s="186">
        <f t="shared" si="8"/>
        <v>0</v>
      </c>
      <c r="G18" s="186">
        <f t="shared" si="8"/>
        <v>0</v>
      </c>
      <c r="H18" s="182">
        <f t="shared" si="2"/>
        <v>0</v>
      </c>
      <c r="I18" s="186"/>
      <c r="J18" s="104"/>
      <c r="K18" s="26"/>
      <c r="L18" s="26"/>
      <c r="M18" s="26"/>
      <c r="N18" s="26"/>
      <c r="O18" s="53"/>
      <c r="P18" s="53"/>
      <c r="Q18" s="53"/>
      <c r="R18" s="31"/>
      <c r="S18" s="30"/>
      <c r="T18" s="30"/>
    </row>
    <row r="19" spans="1:21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17.509999999999998</v>
      </c>
      <c r="F19" s="181">
        <f t="shared" si="9"/>
        <v>0</v>
      </c>
      <c r="G19" s="181">
        <f t="shared" si="9"/>
        <v>0</v>
      </c>
      <c r="H19" s="182">
        <f t="shared" si="2"/>
        <v>0</v>
      </c>
      <c r="I19" s="181"/>
      <c r="J19" s="20"/>
      <c r="K19" s="24"/>
      <c r="L19" s="24"/>
      <c r="M19" s="24"/>
      <c r="N19" s="29"/>
      <c r="O19" s="54"/>
      <c r="P19" s="54"/>
      <c r="Q19" s="54"/>
      <c r="R19" s="54"/>
      <c r="S19" s="54"/>
      <c r="T19" s="54"/>
      <c r="U19" s="25"/>
    </row>
    <row r="20" spans="1:21" ht="31.9" customHeight="1" x14ac:dyDescent="0.25">
      <c r="A20" s="269"/>
      <c r="B20" s="227" t="s">
        <v>139</v>
      </c>
      <c r="C20" s="4" t="s">
        <v>140</v>
      </c>
      <c r="D20" s="186"/>
      <c r="E20" s="186">
        <f t="shared" ref="E20" si="10">E21/E19*10</f>
        <v>35.036173615077104</v>
      </c>
      <c r="F20" s="186"/>
      <c r="G20" s="186"/>
      <c r="H20" s="182">
        <f t="shared" si="2"/>
        <v>0</v>
      </c>
      <c r="I20" s="186"/>
      <c r="J20" s="20"/>
      <c r="K20" s="24"/>
      <c r="L20" s="24"/>
      <c r="M20" s="24"/>
      <c r="N20" s="29"/>
      <c r="O20" s="54"/>
      <c r="P20" s="54"/>
      <c r="Q20" s="54"/>
      <c r="R20" s="54"/>
      <c r="S20" s="54"/>
      <c r="T20" s="54"/>
      <c r="U20" s="25"/>
    </row>
    <row r="21" spans="1:21" ht="31.9" customHeight="1" x14ac:dyDescent="0.25">
      <c r="A21" s="269"/>
      <c r="B21" s="227" t="s">
        <v>141</v>
      </c>
      <c r="C21" s="4" t="s">
        <v>15</v>
      </c>
      <c r="D21" s="186">
        <f>D24+D27</f>
        <v>0</v>
      </c>
      <c r="E21" s="186">
        <f t="shared" ref="E21:G21" si="11">E24+E27</f>
        <v>61.348340000000007</v>
      </c>
      <c r="F21" s="186">
        <f t="shared" si="11"/>
        <v>0</v>
      </c>
      <c r="G21" s="186">
        <f t="shared" si="11"/>
        <v>0</v>
      </c>
      <c r="H21" s="182">
        <f t="shared" si="2"/>
        <v>0</v>
      </c>
      <c r="I21" s="186"/>
      <c r="J21" s="20"/>
      <c r="K21" s="24"/>
      <c r="L21" s="24"/>
      <c r="M21" s="24"/>
      <c r="N21" s="29"/>
      <c r="O21" s="54"/>
      <c r="P21" s="54"/>
      <c r="Q21" s="54"/>
      <c r="R21" s="54"/>
      <c r="S21" s="54"/>
      <c r="T21" s="54"/>
      <c r="U21" s="25"/>
    </row>
    <row r="22" spans="1:21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15.01</v>
      </c>
      <c r="F22" s="186">
        <v>0</v>
      </c>
      <c r="G22" s="181">
        <v>0</v>
      </c>
      <c r="H22" s="182">
        <f t="shared" si="2"/>
        <v>0</v>
      </c>
      <c r="I22" s="186"/>
      <c r="J22" s="13"/>
      <c r="K22" s="8"/>
      <c r="L22" s="8"/>
      <c r="M22" s="8"/>
      <c r="N22" s="9"/>
      <c r="O22" s="10"/>
      <c r="P22" s="10"/>
      <c r="Q22" s="10"/>
      <c r="R22" s="10"/>
      <c r="S22" s="10"/>
      <c r="T22" s="55"/>
      <c r="U22" s="25"/>
    </row>
    <row r="23" spans="1:21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2">
        <f t="shared" si="2"/>
        <v>0</v>
      </c>
      <c r="I23" s="186"/>
      <c r="J23" s="13"/>
      <c r="K23" s="8"/>
      <c r="L23" s="8"/>
      <c r="M23" s="8"/>
      <c r="N23" s="9"/>
      <c r="O23" s="10"/>
      <c r="P23" s="10"/>
      <c r="Q23" s="10"/>
      <c r="R23" s="10"/>
      <c r="S23" s="10"/>
      <c r="T23" s="55"/>
      <c r="U23" s="25"/>
    </row>
    <row r="24" spans="1:21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57.54834000000001</v>
      </c>
      <c r="F24" s="186">
        <f t="shared" si="12"/>
        <v>0</v>
      </c>
      <c r="G24" s="186">
        <f t="shared" si="12"/>
        <v>0</v>
      </c>
      <c r="H24" s="182">
        <f t="shared" si="2"/>
        <v>0</v>
      </c>
      <c r="I24" s="186"/>
      <c r="J24" s="13"/>
      <c r="K24" s="8"/>
      <c r="L24" s="8"/>
      <c r="M24" s="8"/>
      <c r="N24" s="9"/>
      <c r="O24" s="10"/>
      <c r="P24" s="10"/>
      <c r="Q24" s="10"/>
      <c r="R24" s="10"/>
      <c r="S24" s="10"/>
      <c r="T24" s="55"/>
      <c r="U24" s="25"/>
    </row>
    <row r="25" spans="1:21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181">
        <v>2.5</v>
      </c>
      <c r="F25" s="186">
        <v>0</v>
      </c>
      <c r="G25" s="181">
        <v>0</v>
      </c>
      <c r="H25" s="182">
        <f t="shared" si="2"/>
        <v>0</v>
      </c>
      <c r="I25" s="186"/>
      <c r="J25" s="13"/>
      <c r="K25" s="8"/>
      <c r="L25" s="8"/>
      <c r="M25" s="8"/>
      <c r="N25" s="8"/>
      <c r="O25" s="11"/>
      <c r="P25" s="11"/>
      <c r="Q25" s="11"/>
      <c r="R25" s="7"/>
      <c r="S25" s="7"/>
      <c r="T25" s="30"/>
    </row>
    <row r="26" spans="1:21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2">
        <f t="shared" si="2"/>
        <v>0</v>
      </c>
      <c r="I26" s="186"/>
      <c r="J26" s="13"/>
      <c r="K26" s="8"/>
      <c r="L26" s="8"/>
      <c r="M26" s="8"/>
      <c r="N26" s="8"/>
      <c r="O26" s="11"/>
      <c r="P26" s="11"/>
      <c r="Q26" s="11"/>
      <c r="R26" s="7"/>
      <c r="S26" s="7"/>
      <c r="T26" s="30"/>
    </row>
    <row r="27" spans="1:21" ht="31.9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 t="shared" ref="E27:G27" si="13">E25*E26/10</f>
        <v>3.8</v>
      </c>
      <c r="F27" s="186">
        <f t="shared" si="13"/>
        <v>0</v>
      </c>
      <c r="G27" s="186">
        <f t="shared" si="13"/>
        <v>0</v>
      </c>
      <c r="H27" s="182">
        <f t="shared" si="2"/>
        <v>0</v>
      </c>
      <c r="I27" s="186"/>
      <c r="J27" s="13"/>
      <c r="K27" s="8"/>
      <c r="L27" s="8"/>
      <c r="M27" s="8"/>
      <c r="N27" s="8"/>
      <c r="O27" s="11"/>
      <c r="P27" s="11"/>
      <c r="Q27" s="11"/>
      <c r="R27" s="7"/>
      <c r="S27" s="7"/>
      <c r="T27" s="30"/>
    </row>
    <row r="28" spans="1:21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4">D31+D34</f>
        <v>1</v>
      </c>
      <c r="E28" s="181">
        <f t="shared" si="14"/>
        <v>1</v>
      </c>
      <c r="F28" s="181">
        <f t="shared" si="14"/>
        <v>1</v>
      </c>
      <c r="G28" s="181">
        <f t="shared" si="14"/>
        <v>1</v>
      </c>
      <c r="H28" s="182">
        <f t="shared" si="2"/>
        <v>100</v>
      </c>
      <c r="I28" s="181"/>
      <c r="J28" s="20"/>
      <c r="K28" s="24"/>
      <c r="L28" s="24"/>
      <c r="M28" s="24"/>
      <c r="N28" s="24"/>
      <c r="O28" s="39"/>
      <c r="P28" s="39"/>
      <c r="Q28" s="39"/>
      <c r="R28" s="30"/>
      <c r="S28" s="30"/>
      <c r="T28" s="30"/>
    </row>
    <row r="29" spans="1:21" ht="31.9" customHeight="1" x14ac:dyDescent="0.25">
      <c r="A29" s="2"/>
      <c r="B29" s="227" t="s">
        <v>139</v>
      </c>
      <c r="C29" s="4" t="s">
        <v>140</v>
      </c>
      <c r="D29" s="186">
        <f>D30/D28*10</f>
        <v>36.85</v>
      </c>
      <c r="E29" s="186">
        <f t="shared" ref="E29" si="15">E30/E28*10</f>
        <v>36.9</v>
      </c>
      <c r="F29" s="186"/>
      <c r="G29" s="186"/>
      <c r="H29" s="182">
        <f t="shared" si="2"/>
        <v>0</v>
      </c>
      <c r="I29" s="186"/>
      <c r="J29" s="20"/>
      <c r="K29" s="24"/>
      <c r="L29" s="24"/>
      <c r="M29" s="24"/>
      <c r="N29" s="24"/>
      <c r="O29" s="39"/>
      <c r="P29" s="39"/>
      <c r="Q29" s="39"/>
      <c r="R29" s="30"/>
      <c r="S29" s="30"/>
      <c r="T29" s="30"/>
    </row>
    <row r="30" spans="1:21" ht="31.9" customHeight="1" x14ac:dyDescent="0.25">
      <c r="A30" s="2"/>
      <c r="B30" s="227" t="s">
        <v>141</v>
      </c>
      <c r="C30" s="4" t="s">
        <v>15</v>
      </c>
      <c r="D30" s="186">
        <f>D33+D36</f>
        <v>3.6850000000000001</v>
      </c>
      <c r="E30" s="186">
        <f t="shared" ref="E30:G30" si="16">E33+E36</f>
        <v>3.69</v>
      </c>
      <c r="F30" s="186">
        <f t="shared" si="16"/>
        <v>0</v>
      </c>
      <c r="G30" s="186">
        <f t="shared" si="16"/>
        <v>0</v>
      </c>
      <c r="H30" s="182">
        <f t="shared" si="2"/>
        <v>0</v>
      </c>
      <c r="I30" s="186"/>
      <c r="J30" s="20"/>
      <c r="K30" s="24"/>
      <c r="L30" s="24"/>
      <c r="M30" s="24"/>
      <c r="N30" s="24"/>
      <c r="O30" s="39"/>
      <c r="P30" s="39"/>
      <c r="Q30" s="39"/>
      <c r="R30" s="30"/>
      <c r="S30" s="30"/>
      <c r="T30" s="30"/>
    </row>
    <row r="31" spans="1:21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2"/>
      <c r="I31" s="181"/>
      <c r="J31" s="20"/>
      <c r="K31" s="26"/>
      <c r="L31" s="24"/>
      <c r="M31" s="24"/>
      <c r="N31" s="24"/>
      <c r="O31" s="39"/>
      <c r="P31" s="39"/>
      <c r="Q31" s="39"/>
      <c r="R31" s="30"/>
      <c r="S31" s="30"/>
      <c r="T31" s="30"/>
    </row>
    <row r="32" spans="1:21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2"/>
      <c r="I32" s="181"/>
      <c r="J32" s="20"/>
      <c r="K32" s="26"/>
      <c r="L32" s="24"/>
      <c r="M32" s="24"/>
      <c r="N32" s="24"/>
      <c r="O32" s="39"/>
      <c r="P32" s="39"/>
      <c r="Q32" s="39"/>
      <c r="R32" s="30"/>
      <c r="S32" s="30"/>
      <c r="T32" s="30"/>
    </row>
    <row r="33" spans="1:21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2"/>
      <c r="I33" s="181"/>
      <c r="J33" s="20"/>
      <c r="K33" s="26"/>
      <c r="L33" s="24"/>
      <c r="M33" s="24"/>
      <c r="N33" s="24"/>
      <c r="O33" s="39"/>
      <c r="P33" s="39"/>
      <c r="Q33" s="39"/>
      <c r="R33" s="30"/>
      <c r="S33" s="30"/>
      <c r="T33" s="30"/>
    </row>
    <row r="34" spans="1:21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2">
        <f t="shared" si="2"/>
        <v>100</v>
      </c>
      <c r="I34" s="186"/>
      <c r="J34" s="20"/>
      <c r="K34" s="24"/>
      <c r="L34" s="24"/>
      <c r="M34" s="24"/>
      <c r="N34" s="24"/>
      <c r="O34" s="39"/>
      <c r="P34" s="39"/>
      <c r="Q34" s="39"/>
      <c r="R34" s="39"/>
      <c r="S34" s="39"/>
      <c r="T34" s="39"/>
      <c r="U34" s="18"/>
    </row>
    <row r="35" spans="1:21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>
        <v>0</v>
      </c>
      <c r="G35" s="186"/>
      <c r="H35" s="182">
        <f t="shared" si="2"/>
        <v>0</v>
      </c>
      <c r="I35" s="186"/>
      <c r="J35" s="20"/>
      <c r="K35" s="6"/>
      <c r="L35" s="61"/>
      <c r="M35" s="61"/>
      <c r="N35" s="61"/>
      <c r="O35" s="61"/>
      <c r="P35" s="39"/>
      <c r="Q35" s="39"/>
      <c r="R35" s="39"/>
      <c r="S35" s="39"/>
      <c r="T35" s="39"/>
      <c r="U35" s="18"/>
    </row>
    <row r="36" spans="1:21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7">E34*E35/10</f>
        <v>3.69</v>
      </c>
      <c r="F36" s="186">
        <f t="shared" si="17"/>
        <v>0</v>
      </c>
      <c r="G36" s="186">
        <f t="shared" si="17"/>
        <v>0</v>
      </c>
      <c r="H36" s="182">
        <f t="shared" si="2"/>
        <v>0</v>
      </c>
      <c r="I36" s="186"/>
      <c r="J36" s="20"/>
      <c r="K36" s="29"/>
      <c r="L36" s="29"/>
      <c r="M36" s="29"/>
      <c r="N36" s="29"/>
      <c r="O36" s="29"/>
      <c r="P36" s="39"/>
      <c r="Q36" s="39"/>
      <c r="R36" s="39"/>
      <c r="S36" s="39"/>
      <c r="T36" s="39"/>
      <c r="U36" s="18"/>
    </row>
    <row r="37" spans="1:21" ht="31.9" customHeight="1" x14ac:dyDescent="0.25">
      <c r="A37" s="2">
        <v>2</v>
      </c>
      <c r="B37" s="225" t="s">
        <v>28</v>
      </c>
      <c r="C37" s="2" t="s">
        <v>4</v>
      </c>
      <c r="D37" s="181">
        <v>3</v>
      </c>
      <c r="E37" s="181">
        <v>3.17</v>
      </c>
      <c r="F37" s="181">
        <v>3.17</v>
      </c>
      <c r="G37" s="181">
        <v>3.17</v>
      </c>
      <c r="H37" s="182">
        <f t="shared" si="2"/>
        <v>100</v>
      </c>
      <c r="I37" s="186"/>
      <c r="J37" s="37"/>
      <c r="K37" s="9"/>
      <c r="L37" s="9"/>
      <c r="M37" s="9"/>
      <c r="N37" s="9"/>
      <c r="O37" s="9"/>
      <c r="P37" s="10"/>
      <c r="Q37" s="10"/>
      <c r="R37" s="10"/>
      <c r="S37" s="10"/>
      <c r="T37" s="10"/>
      <c r="U37" s="38"/>
    </row>
    <row r="38" spans="1:21" ht="31.9" customHeight="1" x14ac:dyDescent="0.25">
      <c r="A38" s="2"/>
      <c r="B38" s="227" t="s">
        <v>139</v>
      </c>
      <c r="C38" s="4" t="s">
        <v>140</v>
      </c>
      <c r="D38" s="184"/>
      <c r="E38" s="188">
        <v>140</v>
      </c>
      <c r="F38" s="186"/>
      <c r="G38" s="186"/>
      <c r="H38" s="182">
        <f t="shared" si="2"/>
        <v>0</v>
      </c>
      <c r="I38" s="186"/>
      <c r="J38" s="37"/>
      <c r="K38" s="9"/>
      <c r="L38" s="9"/>
      <c r="M38" s="9"/>
      <c r="N38" s="9"/>
      <c r="O38" s="9"/>
      <c r="P38" s="10"/>
      <c r="Q38" s="10"/>
      <c r="R38" s="10"/>
      <c r="S38" s="10"/>
      <c r="T38" s="10"/>
      <c r="U38" s="38"/>
    </row>
    <row r="39" spans="1:21" ht="31.9" customHeight="1" x14ac:dyDescent="0.25">
      <c r="A39" s="289"/>
      <c r="B39" s="236" t="s">
        <v>141</v>
      </c>
      <c r="C39" s="237" t="s">
        <v>15</v>
      </c>
      <c r="D39" s="200"/>
      <c r="E39" s="201">
        <f>E37*E38/10</f>
        <v>44.38</v>
      </c>
      <c r="F39" s="201">
        <f t="shared" ref="F39:G39" si="18">F37*F38/10</f>
        <v>0</v>
      </c>
      <c r="G39" s="201">
        <f t="shared" si="18"/>
        <v>0</v>
      </c>
      <c r="H39" s="182">
        <f t="shared" si="2"/>
        <v>0</v>
      </c>
      <c r="I39" s="186"/>
      <c r="J39" s="37"/>
      <c r="K39" s="9"/>
      <c r="L39" s="9"/>
      <c r="M39" s="9"/>
      <c r="N39" s="9"/>
      <c r="O39" s="9"/>
      <c r="P39" s="10"/>
      <c r="Q39" s="10"/>
      <c r="R39" s="10"/>
      <c r="S39" s="10"/>
      <c r="T39" s="10"/>
      <c r="U39" s="38"/>
    </row>
    <row r="40" spans="1:21" ht="31.9" customHeight="1" x14ac:dyDescent="0.25">
      <c r="A40" s="222">
        <v>3</v>
      </c>
      <c r="B40" s="223" t="s">
        <v>162</v>
      </c>
      <c r="C40" s="222" t="s">
        <v>4</v>
      </c>
      <c r="D40" s="184"/>
      <c r="E40" s="184">
        <v>0</v>
      </c>
      <c r="F40" s="205"/>
      <c r="G40" s="181"/>
      <c r="H40" s="182"/>
      <c r="I40" s="181"/>
      <c r="J40" s="37"/>
      <c r="K40" s="9"/>
      <c r="L40" s="9"/>
      <c r="M40" s="9"/>
      <c r="N40" s="9"/>
      <c r="O40" s="9"/>
      <c r="P40" s="10"/>
      <c r="Q40" s="10"/>
      <c r="R40" s="10"/>
      <c r="S40" s="10"/>
      <c r="T40" s="10"/>
      <c r="U40" s="38"/>
    </row>
    <row r="41" spans="1:21" ht="31.9" customHeight="1" x14ac:dyDescent="0.25">
      <c r="A41" s="222"/>
      <c r="B41" s="226" t="s">
        <v>139</v>
      </c>
      <c r="C41" s="233" t="s">
        <v>140</v>
      </c>
      <c r="D41" s="188"/>
      <c r="E41" s="188">
        <v>24.1</v>
      </c>
      <c r="F41" s="202"/>
      <c r="G41" s="186"/>
      <c r="H41" s="182">
        <f t="shared" si="2"/>
        <v>0</v>
      </c>
      <c r="I41" s="186"/>
      <c r="J41" s="37"/>
      <c r="K41" s="9"/>
      <c r="L41" s="9"/>
      <c r="M41" s="9"/>
      <c r="N41" s="9"/>
      <c r="O41" s="9"/>
      <c r="P41" s="10"/>
      <c r="Q41" s="10"/>
      <c r="R41" s="10"/>
      <c r="S41" s="10"/>
      <c r="T41" s="10"/>
      <c r="U41" s="38"/>
    </row>
    <row r="42" spans="1:21" ht="31.9" customHeight="1" x14ac:dyDescent="0.25">
      <c r="A42" s="222"/>
      <c r="B42" s="226" t="s">
        <v>141</v>
      </c>
      <c r="C42" s="233" t="s">
        <v>15</v>
      </c>
      <c r="D42" s="188"/>
      <c r="E42" s="188">
        <f>E40*E41/10</f>
        <v>0</v>
      </c>
      <c r="F42" s="188">
        <f t="shared" ref="F42:G42" si="19">F40*F41/10</f>
        <v>0</v>
      </c>
      <c r="G42" s="188">
        <f t="shared" si="19"/>
        <v>0</v>
      </c>
      <c r="H42" s="182"/>
      <c r="I42" s="186"/>
      <c r="J42" s="37"/>
      <c r="K42" s="9"/>
      <c r="L42" s="9"/>
      <c r="M42" s="9"/>
      <c r="N42" s="9"/>
      <c r="O42" s="9"/>
      <c r="P42" s="10"/>
      <c r="Q42" s="10"/>
      <c r="R42" s="10"/>
      <c r="S42" s="10"/>
      <c r="T42" s="10"/>
      <c r="U42" s="38"/>
    </row>
    <row r="43" spans="1:21" ht="31.9" customHeight="1" x14ac:dyDescent="0.25">
      <c r="A43" s="290">
        <v>4</v>
      </c>
      <c r="B43" s="225" t="s">
        <v>163</v>
      </c>
      <c r="C43" s="2" t="s">
        <v>4</v>
      </c>
      <c r="D43" s="182">
        <v>0.5</v>
      </c>
      <c r="E43" s="182">
        <v>0.5</v>
      </c>
      <c r="F43" s="181">
        <v>0.27</v>
      </c>
      <c r="G43" s="181">
        <f>F43</f>
        <v>0.27</v>
      </c>
      <c r="H43" s="182">
        <f t="shared" si="2"/>
        <v>54</v>
      </c>
      <c r="I43" s="181"/>
      <c r="J43" s="19"/>
      <c r="K43" s="26"/>
      <c r="L43" s="105"/>
      <c r="M43" s="105"/>
      <c r="N43" s="105"/>
      <c r="O43" s="105"/>
      <c r="P43" s="30"/>
      <c r="Q43" s="30"/>
      <c r="R43" s="30"/>
      <c r="S43" s="30"/>
      <c r="T43" s="30"/>
    </row>
    <row r="44" spans="1:21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2">
        <f t="shared" si="2"/>
        <v>0</v>
      </c>
      <c r="I44" s="186"/>
      <c r="J44" s="19"/>
      <c r="K44" s="106"/>
      <c r="L44" s="47"/>
      <c r="M44" s="47"/>
      <c r="N44" s="47"/>
      <c r="O44" s="30"/>
      <c r="P44" s="30"/>
      <c r="Q44" s="30"/>
      <c r="R44" s="30"/>
      <c r="S44" s="30"/>
      <c r="T44" s="30"/>
    </row>
    <row r="45" spans="1:21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20">F43*F44/10</f>
        <v>0</v>
      </c>
      <c r="G45" s="186">
        <f t="shared" si="20"/>
        <v>0</v>
      </c>
      <c r="H45" s="182">
        <f t="shared" si="2"/>
        <v>0</v>
      </c>
      <c r="I45" s="186"/>
      <c r="J45" s="19"/>
      <c r="K45" s="47"/>
      <c r="L45" s="47"/>
      <c r="M45" s="47"/>
      <c r="N45" s="47"/>
      <c r="O45" s="30"/>
      <c r="P45" s="30"/>
      <c r="Q45" s="30"/>
      <c r="R45" s="30"/>
      <c r="S45" s="30"/>
      <c r="T45" s="30"/>
    </row>
    <row r="46" spans="1:21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17.12</v>
      </c>
      <c r="E46" s="181">
        <f t="shared" ref="E46:G46" si="21">E47+E55+E64</f>
        <v>22.92</v>
      </c>
      <c r="F46" s="181">
        <f t="shared" si="21"/>
        <v>17.419999999999998</v>
      </c>
      <c r="G46" s="181">
        <f t="shared" si="21"/>
        <v>17.419999999999998</v>
      </c>
      <c r="H46" s="182">
        <f t="shared" si="2"/>
        <v>76.003490401396149</v>
      </c>
      <c r="I46" s="181"/>
      <c r="J46" s="19"/>
      <c r="K46" s="47"/>
      <c r="L46" s="47"/>
      <c r="M46" s="47"/>
      <c r="N46" s="47"/>
      <c r="O46" s="30"/>
      <c r="P46" s="30"/>
      <c r="Q46" s="30"/>
      <c r="R46" s="30"/>
      <c r="S46" s="30"/>
      <c r="T46" s="30"/>
    </row>
    <row r="47" spans="1:21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12.620000000000001</v>
      </c>
      <c r="E47" s="181">
        <f t="shared" ref="E47:G47" si="22">E48+E49</f>
        <v>17.62</v>
      </c>
      <c r="F47" s="181">
        <f t="shared" si="22"/>
        <v>12.62</v>
      </c>
      <c r="G47" s="181">
        <f t="shared" si="22"/>
        <v>12.62</v>
      </c>
      <c r="H47" s="182">
        <f t="shared" si="2"/>
        <v>71.623155505107832</v>
      </c>
      <c r="I47" s="181"/>
      <c r="J47" s="19"/>
      <c r="K47" s="47"/>
      <c r="L47" s="47"/>
      <c r="M47" s="47"/>
      <c r="N47" s="47"/>
      <c r="O47" s="30"/>
      <c r="P47" s="30"/>
      <c r="Q47" s="30"/>
      <c r="R47" s="30"/>
      <c r="S47" s="30"/>
      <c r="T47" s="30"/>
    </row>
    <row r="48" spans="1:21" ht="31.9" customHeight="1" x14ac:dyDescent="0.25">
      <c r="A48" s="5" t="s">
        <v>22</v>
      </c>
      <c r="B48" s="273" t="s">
        <v>117</v>
      </c>
      <c r="C48" s="274" t="s">
        <v>4</v>
      </c>
      <c r="D48" s="186">
        <v>9</v>
      </c>
      <c r="E48" s="186">
        <f>D48+D49</f>
        <v>12.620000000000001</v>
      </c>
      <c r="F48" s="186">
        <v>12.62</v>
      </c>
      <c r="G48" s="186">
        <v>12.62</v>
      </c>
      <c r="H48" s="218">
        <f t="shared" si="2"/>
        <v>99.999999999999986</v>
      </c>
      <c r="I48" s="186"/>
      <c r="J48" s="13"/>
      <c r="K48" s="8"/>
      <c r="L48" s="8"/>
      <c r="M48" s="8"/>
      <c r="N48" s="8"/>
      <c r="O48" s="11"/>
      <c r="P48" s="11"/>
      <c r="Q48" s="30"/>
      <c r="R48" s="30"/>
      <c r="S48" s="30"/>
      <c r="T48" s="30"/>
    </row>
    <row r="49" spans="1:20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3.62</v>
      </c>
      <c r="E49" s="181">
        <f t="shared" ref="E49:G49" si="23">E50+E51</f>
        <v>5</v>
      </c>
      <c r="F49" s="181">
        <f t="shared" si="23"/>
        <v>0</v>
      </c>
      <c r="G49" s="181">
        <f t="shared" si="23"/>
        <v>0</v>
      </c>
      <c r="H49" s="182">
        <f t="shared" si="2"/>
        <v>0</v>
      </c>
      <c r="I49" s="181"/>
      <c r="J49" s="103"/>
      <c r="K49" s="118"/>
      <c r="L49" s="118"/>
      <c r="M49" s="118"/>
      <c r="N49" s="118"/>
      <c r="O49" s="35"/>
      <c r="P49" s="35"/>
      <c r="Q49" s="35"/>
      <c r="R49" s="35"/>
      <c r="S49" s="35"/>
      <c r="T49" s="35"/>
    </row>
    <row r="50" spans="1:20" ht="31.9" customHeight="1" x14ac:dyDescent="0.25">
      <c r="A50" s="274" t="s">
        <v>16</v>
      </c>
      <c r="B50" s="276" t="s">
        <v>115</v>
      </c>
      <c r="C50" s="274" t="s">
        <v>4</v>
      </c>
      <c r="D50" s="186">
        <v>3.62</v>
      </c>
      <c r="E50" s="186">
        <v>5</v>
      </c>
      <c r="F50" s="186">
        <v>0</v>
      </c>
      <c r="G50" s="186">
        <v>0</v>
      </c>
      <c r="H50" s="182">
        <f t="shared" si="2"/>
        <v>0</v>
      </c>
      <c r="I50" s="186"/>
      <c r="J50" s="114"/>
      <c r="K50" s="125"/>
      <c r="L50" s="125"/>
      <c r="M50" s="125"/>
      <c r="N50" s="47"/>
      <c r="O50" s="30"/>
      <c r="P50" s="30"/>
      <c r="Q50" s="30"/>
      <c r="R50" s="30"/>
      <c r="S50" s="30"/>
      <c r="T50" s="30"/>
    </row>
    <row r="51" spans="1:20" ht="31.9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2"/>
      <c r="I51" s="186"/>
      <c r="J51" s="19"/>
      <c r="K51" s="47"/>
      <c r="L51" s="47"/>
      <c r="M51" s="47"/>
      <c r="N51" s="47"/>
      <c r="O51" s="30"/>
      <c r="P51" s="30"/>
      <c r="Q51" s="30"/>
      <c r="R51" s="30"/>
      <c r="S51" s="30"/>
      <c r="T51" s="30"/>
    </row>
    <row r="52" spans="1:20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6.85</v>
      </c>
      <c r="E52" s="181">
        <f>E53+E54</f>
        <v>7.6499999999999995</v>
      </c>
      <c r="F52" s="181">
        <f t="shared" ref="F52:G52" si="24">F53+F54</f>
        <v>7.65</v>
      </c>
      <c r="G52" s="181">
        <f t="shared" si="24"/>
        <v>7.65</v>
      </c>
      <c r="H52" s="182">
        <f t="shared" si="2"/>
        <v>100.00000000000003</v>
      </c>
      <c r="I52" s="181"/>
      <c r="J52" s="103"/>
      <c r="K52" s="118"/>
      <c r="L52" s="118"/>
      <c r="M52" s="118"/>
      <c r="N52" s="118"/>
      <c r="O52" s="35"/>
      <c r="P52" s="35"/>
      <c r="Q52" s="35"/>
      <c r="R52" s="35"/>
      <c r="S52" s="35"/>
      <c r="T52" s="35"/>
    </row>
    <row r="53" spans="1:20" ht="31.9" customHeight="1" x14ac:dyDescent="0.25">
      <c r="A53" s="277" t="s">
        <v>16</v>
      </c>
      <c r="B53" s="276" t="s">
        <v>119</v>
      </c>
      <c r="C53" s="4" t="s">
        <v>4</v>
      </c>
      <c r="D53" s="186">
        <f>5.85-1</f>
        <v>4.8499999999999996</v>
      </c>
      <c r="E53" s="186">
        <f>D48*85%</f>
        <v>7.6499999999999995</v>
      </c>
      <c r="F53" s="186">
        <v>7.65</v>
      </c>
      <c r="G53" s="186">
        <v>7.65</v>
      </c>
      <c r="H53" s="218">
        <f t="shared" si="2"/>
        <v>100.00000000000003</v>
      </c>
      <c r="I53" s="186"/>
      <c r="J53" s="19"/>
      <c r="K53" s="47"/>
      <c r="L53" s="47"/>
      <c r="M53" s="106"/>
      <c r="N53" s="47"/>
      <c r="O53" s="30"/>
      <c r="P53" s="30"/>
      <c r="Q53" s="30"/>
      <c r="R53" s="30"/>
      <c r="S53" s="30"/>
      <c r="T53" s="30"/>
    </row>
    <row r="54" spans="1:20" ht="31.9" customHeight="1" x14ac:dyDescent="0.25">
      <c r="A54" s="4"/>
      <c r="B54" s="276" t="s">
        <v>120</v>
      </c>
      <c r="C54" s="4" t="s">
        <v>4</v>
      </c>
      <c r="D54" s="186">
        <v>2</v>
      </c>
      <c r="E54" s="186"/>
      <c r="F54" s="186"/>
      <c r="G54" s="186"/>
      <c r="H54" s="218"/>
      <c r="I54" s="186"/>
      <c r="J54" s="19"/>
      <c r="K54" s="47"/>
      <c r="L54" s="47"/>
      <c r="M54" s="47"/>
      <c r="N54" s="47"/>
      <c r="O54" s="30"/>
      <c r="P54" s="30"/>
      <c r="Q54" s="30"/>
      <c r="R54" s="30"/>
      <c r="S54" s="30"/>
      <c r="T54" s="30"/>
    </row>
    <row r="55" spans="1:20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>E56+E57</f>
        <v>5.3</v>
      </c>
      <c r="F55" s="181">
        <f t="shared" ref="F55:G55" si="25">F56+F57</f>
        <v>4.8</v>
      </c>
      <c r="G55" s="181">
        <f t="shared" si="25"/>
        <v>4.8</v>
      </c>
      <c r="H55" s="182">
        <f t="shared" si="2"/>
        <v>90.566037735849065</v>
      </c>
      <c r="I55" s="181"/>
      <c r="J55" s="19"/>
      <c r="K55" s="47"/>
      <c r="L55" s="47"/>
      <c r="M55" s="47"/>
      <c r="N55" s="47"/>
      <c r="O55" s="30"/>
      <c r="P55" s="30"/>
      <c r="Q55" s="30"/>
      <c r="R55" s="30"/>
      <c r="S55" s="30"/>
      <c r="T55" s="30"/>
    </row>
    <row r="56" spans="1:20" ht="31.9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v>4.8</v>
      </c>
      <c r="G56" s="186">
        <v>4.8</v>
      </c>
      <c r="H56" s="218">
        <f t="shared" si="2"/>
        <v>100</v>
      </c>
      <c r="I56" s="186"/>
      <c r="J56" s="19"/>
      <c r="K56" s="47"/>
      <c r="L56" s="47"/>
      <c r="M56" s="47"/>
      <c r="N56" s="47"/>
      <c r="O56" s="30"/>
      <c r="P56" s="30"/>
      <c r="Q56" s="30"/>
      <c r="R56" s="30"/>
      <c r="S56" s="30"/>
      <c r="T56" s="30"/>
    </row>
    <row r="57" spans="1:20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>E58+E61</f>
        <v>0.5</v>
      </c>
      <c r="F57" s="186">
        <f t="shared" ref="F57:G57" si="26">F58+F61</f>
        <v>0</v>
      </c>
      <c r="G57" s="186">
        <f t="shared" si="26"/>
        <v>0</v>
      </c>
      <c r="H57" s="182">
        <f t="shared" si="2"/>
        <v>0</v>
      </c>
      <c r="I57" s="186"/>
      <c r="J57" s="19"/>
      <c r="K57" s="47"/>
      <c r="L57" s="47"/>
      <c r="M57" s="47"/>
      <c r="N57" s="47"/>
      <c r="O57" s="30"/>
      <c r="P57" s="30"/>
      <c r="Q57" s="30"/>
      <c r="R57" s="30"/>
      <c r="S57" s="30"/>
      <c r="T57" s="30"/>
    </row>
    <row r="58" spans="1:20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7">E59+E60</f>
        <v>0.30000000000000004</v>
      </c>
      <c r="F58" s="189">
        <f t="shared" si="27"/>
        <v>0</v>
      </c>
      <c r="G58" s="189">
        <f t="shared" si="27"/>
        <v>0</v>
      </c>
      <c r="H58" s="182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  <c r="R58" s="48"/>
      <c r="S58" s="48"/>
      <c r="T58" s="48"/>
    </row>
    <row r="59" spans="1:20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2">
        <f t="shared" si="2"/>
        <v>0</v>
      </c>
      <c r="I59" s="186"/>
      <c r="J59" s="104"/>
      <c r="K59" s="6"/>
      <c r="L59" s="6"/>
      <c r="M59" s="6"/>
      <c r="N59" s="6"/>
      <c r="O59" s="6"/>
      <c r="P59" s="30"/>
      <c r="Q59" s="30"/>
      <c r="R59" s="30"/>
      <c r="S59" s="30"/>
      <c r="T59" s="30"/>
    </row>
    <row r="60" spans="1:20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2">
        <f t="shared" si="2"/>
        <v>0</v>
      </c>
      <c r="I60" s="186"/>
      <c r="J60" s="104"/>
      <c r="K60" s="6"/>
      <c r="L60" s="6"/>
      <c r="M60" s="6"/>
      <c r="N60" s="6"/>
      <c r="O60" s="6"/>
      <c r="P60" s="30"/>
      <c r="Q60" s="30"/>
      <c r="R60" s="30"/>
      <c r="S60" s="30"/>
      <c r="T60" s="30"/>
    </row>
    <row r="61" spans="1:20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8">E62+E63</f>
        <v>0.2</v>
      </c>
      <c r="F61" s="189">
        <f>F62+F63</f>
        <v>0</v>
      </c>
      <c r="G61" s="189">
        <f t="shared" si="28"/>
        <v>0</v>
      </c>
      <c r="H61" s="182">
        <f t="shared" si="2"/>
        <v>0</v>
      </c>
      <c r="I61" s="189"/>
      <c r="J61" s="104"/>
      <c r="K61" s="34"/>
      <c r="L61" s="108"/>
      <c r="M61" s="108"/>
      <c r="N61" s="108"/>
      <c r="O61" s="48"/>
      <c r="P61" s="48"/>
      <c r="Q61" s="48"/>
      <c r="R61" s="48"/>
      <c r="S61" s="48"/>
      <c r="T61" s="48"/>
    </row>
    <row r="62" spans="1:20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0.1</v>
      </c>
      <c r="F62" s="186">
        <v>0</v>
      </c>
      <c r="G62" s="186">
        <v>0</v>
      </c>
      <c r="H62" s="182">
        <f t="shared" si="2"/>
        <v>0</v>
      </c>
      <c r="I62" s="186"/>
      <c r="J62" s="104"/>
      <c r="K62" s="6"/>
      <c r="L62" s="6"/>
      <c r="M62" s="6"/>
      <c r="N62" s="6"/>
      <c r="O62" s="6"/>
      <c r="P62" s="30"/>
      <c r="Q62" s="30"/>
      <c r="R62" s="30"/>
      <c r="S62" s="30"/>
      <c r="T62" s="30"/>
    </row>
    <row r="63" spans="1:20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2">
        <f t="shared" si="2"/>
        <v>0</v>
      </c>
      <c r="I63" s="186"/>
      <c r="J63" s="104"/>
      <c r="K63" s="6"/>
      <c r="L63" s="6"/>
      <c r="M63" s="6"/>
      <c r="N63" s="6"/>
      <c r="O63" s="6"/>
      <c r="P63" s="30"/>
      <c r="Q63" s="30"/>
      <c r="R63" s="30"/>
      <c r="S63" s="30"/>
      <c r="T63" s="30"/>
    </row>
    <row r="64" spans="1:20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9">E65+E66</f>
        <v>0</v>
      </c>
      <c r="F64" s="181">
        <f t="shared" si="29"/>
        <v>0</v>
      </c>
      <c r="G64" s="181">
        <f t="shared" si="29"/>
        <v>0</v>
      </c>
      <c r="H64" s="182"/>
      <c r="I64" s="181"/>
      <c r="J64" s="104"/>
      <c r="K64" s="47"/>
      <c r="L64" s="47"/>
      <c r="M64" s="47"/>
      <c r="N64" s="47"/>
      <c r="O64" s="30"/>
      <c r="P64" s="30"/>
      <c r="Q64" s="30"/>
      <c r="R64" s="30"/>
      <c r="S64" s="30"/>
      <c r="T64" s="30"/>
    </row>
    <row r="65" spans="1:20" ht="31.9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2"/>
      <c r="I65" s="186"/>
      <c r="J65" s="19"/>
      <c r="K65" s="47"/>
      <c r="L65" s="47"/>
      <c r="M65" s="47"/>
      <c r="N65" s="47"/>
      <c r="O65" s="30"/>
      <c r="P65" s="30"/>
      <c r="Q65" s="30"/>
      <c r="R65" s="30"/>
      <c r="S65" s="30"/>
      <c r="T65" s="30"/>
    </row>
    <row r="66" spans="1:20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2"/>
      <c r="I66" s="186"/>
      <c r="J66" s="19"/>
      <c r="K66" s="47"/>
      <c r="L66" s="47"/>
      <c r="M66" s="47"/>
      <c r="N66" s="47"/>
      <c r="O66" s="30"/>
      <c r="P66" s="30"/>
      <c r="Q66" s="30"/>
      <c r="R66" s="30"/>
      <c r="S66" s="30"/>
      <c r="T66" s="30"/>
    </row>
    <row r="67" spans="1:20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11.2</v>
      </c>
      <c r="E67" s="181">
        <f t="shared" ref="E67:G67" si="30">E68+E71</f>
        <v>12.52</v>
      </c>
      <c r="F67" s="181">
        <f t="shared" si="30"/>
        <v>9.3800000000000008</v>
      </c>
      <c r="G67" s="181">
        <f t="shared" si="30"/>
        <v>9.3800000000000008</v>
      </c>
      <c r="H67" s="182">
        <f t="shared" si="2"/>
        <v>74.920127795527165</v>
      </c>
      <c r="I67" s="181"/>
      <c r="J67" s="19"/>
      <c r="K67" s="47"/>
      <c r="L67" s="47"/>
      <c r="M67" s="47"/>
      <c r="N67" s="47"/>
      <c r="O67" s="30"/>
      <c r="P67" s="30"/>
      <c r="Q67" s="30"/>
      <c r="R67" s="30"/>
      <c r="S67" s="30"/>
      <c r="T67" s="30"/>
    </row>
    <row r="68" spans="1:20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1">E69+E70</f>
        <v>3.05</v>
      </c>
      <c r="F68" s="181">
        <f t="shared" si="31"/>
        <v>0</v>
      </c>
      <c r="G68" s="181">
        <f t="shared" si="31"/>
        <v>0</v>
      </c>
      <c r="H68" s="182">
        <f t="shared" si="2"/>
        <v>0</v>
      </c>
      <c r="I68" s="181"/>
      <c r="J68" s="19"/>
      <c r="K68" s="47"/>
      <c r="L68" s="47"/>
      <c r="M68" s="47"/>
      <c r="N68" s="47"/>
      <c r="O68" s="30"/>
      <c r="P68" s="30"/>
      <c r="Q68" s="30"/>
      <c r="R68" s="30"/>
      <c r="S68" s="30"/>
      <c r="T68" s="30"/>
    </row>
    <row r="69" spans="1:20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2"/>
      <c r="I69" s="186"/>
      <c r="J69" s="19"/>
      <c r="K69" s="47"/>
      <c r="L69" s="47"/>
      <c r="M69" s="47"/>
      <c r="N69" s="47"/>
      <c r="O69" s="30"/>
      <c r="P69" s="30"/>
      <c r="Q69" s="30"/>
      <c r="R69" s="30"/>
      <c r="S69" s="30"/>
      <c r="T69" s="30"/>
    </row>
    <row r="70" spans="1:20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>
        <f>0.5+2.55</f>
        <v>3.05</v>
      </c>
      <c r="F70" s="186"/>
      <c r="G70" s="186"/>
      <c r="H70" s="182">
        <f t="shared" si="2"/>
        <v>0</v>
      </c>
      <c r="I70" s="186"/>
      <c r="J70" s="19"/>
      <c r="K70" s="125"/>
      <c r="L70" s="125"/>
      <c r="M70" s="138"/>
      <c r="N70" s="47"/>
      <c r="O70" s="30"/>
      <c r="P70" s="30"/>
      <c r="Q70" s="30"/>
      <c r="R70" s="30"/>
      <c r="S70" s="30"/>
      <c r="T70" s="30"/>
    </row>
    <row r="71" spans="1:20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11.2</v>
      </c>
      <c r="E71" s="181">
        <f t="shared" ref="E71:G71" si="32">E72+E73</f>
        <v>9.4699999999999989</v>
      </c>
      <c r="F71" s="181">
        <f t="shared" si="32"/>
        <v>9.3800000000000008</v>
      </c>
      <c r="G71" s="181">
        <f t="shared" si="32"/>
        <v>9.3800000000000008</v>
      </c>
      <c r="H71" s="182">
        <f t="shared" si="2"/>
        <v>99.04963041182684</v>
      </c>
      <c r="I71" s="181"/>
      <c r="J71" s="19"/>
      <c r="K71" s="47"/>
      <c r="L71" s="47"/>
      <c r="M71" s="47"/>
      <c r="N71" s="47"/>
      <c r="O71" s="30"/>
      <c r="P71" s="30"/>
      <c r="Q71" s="30"/>
      <c r="R71" s="30"/>
      <c r="S71" s="30"/>
      <c r="T71" s="30"/>
    </row>
    <row r="72" spans="1:20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9.86</v>
      </c>
      <c r="E72" s="192">
        <f t="shared" ref="E72:G73" si="33">E75+E82</f>
        <v>9.379999999999999</v>
      </c>
      <c r="F72" s="192">
        <f t="shared" si="33"/>
        <v>9.3800000000000008</v>
      </c>
      <c r="G72" s="192">
        <f t="shared" si="33"/>
        <v>9.3800000000000008</v>
      </c>
      <c r="H72" s="182">
        <f t="shared" si="2"/>
        <v>100.00000000000003</v>
      </c>
      <c r="I72" s="192"/>
      <c r="J72" s="19"/>
      <c r="K72" s="47"/>
      <c r="L72" s="47"/>
      <c r="M72" s="47"/>
      <c r="N72" s="47"/>
      <c r="O72" s="30"/>
      <c r="P72" s="30"/>
      <c r="Q72" s="30"/>
      <c r="R72" s="30"/>
      <c r="S72" s="30"/>
      <c r="T72" s="30"/>
    </row>
    <row r="73" spans="1:20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1.3399999999999999</v>
      </c>
      <c r="E73" s="181">
        <f t="shared" si="33"/>
        <v>0.09</v>
      </c>
      <c r="F73" s="181">
        <f t="shared" si="33"/>
        <v>0</v>
      </c>
      <c r="G73" s="181">
        <f t="shared" si="33"/>
        <v>0</v>
      </c>
      <c r="H73" s="182">
        <f t="shared" si="2"/>
        <v>0</v>
      </c>
      <c r="I73" s="181"/>
      <c r="J73" s="103"/>
      <c r="K73" s="118"/>
      <c r="L73" s="118"/>
      <c r="M73" s="118"/>
      <c r="N73" s="118"/>
      <c r="O73" s="30"/>
      <c r="P73" s="30"/>
      <c r="Q73" s="30"/>
      <c r="R73" s="30"/>
      <c r="S73" s="30"/>
      <c r="T73" s="30"/>
    </row>
    <row r="74" spans="1:20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9.379999999999999</v>
      </c>
      <c r="E74" s="194">
        <f t="shared" ref="E74:G74" si="34">E75+E76</f>
        <v>9.379999999999999</v>
      </c>
      <c r="F74" s="194">
        <f t="shared" si="34"/>
        <v>9.3800000000000008</v>
      </c>
      <c r="G74" s="194">
        <f t="shared" si="34"/>
        <v>9.3800000000000008</v>
      </c>
      <c r="H74" s="219">
        <f t="shared" ref="H74:H98" si="35">F74/E74*100</f>
        <v>100.00000000000003</v>
      </c>
      <c r="I74" s="194"/>
      <c r="J74" s="36"/>
      <c r="K74" s="119"/>
      <c r="L74" s="42"/>
      <c r="M74" s="42"/>
      <c r="N74" s="42"/>
      <c r="O74" s="42"/>
      <c r="P74" s="42"/>
      <c r="Q74" s="42"/>
      <c r="R74" s="30"/>
      <c r="S74" s="30"/>
      <c r="T74" s="30"/>
    </row>
    <row r="75" spans="1:20" ht="31.9" customHeight="1" x14ac:dyDescent="0.25">
      <c r="A75" s="5" t="s">
        <v>22</v>
      </c>
      <c r="B75" s="281" t="s">
        <v>117</v>
      </c>
      <c r="C75" s="4" t="s">
        <v>4</v>
      </c>
      <c r="D75" s="196">
        <f>5.04+3</f>
        <v>8.0399999999999991</v>
      </c>
      <c r="E75" s="196">
        <f>D75+D76</f>
        <v>9.379999999999999</v>
      </c>
      <c r="F75" s="196">
        <v>9.3800000000000008</v>
      </c>
      <c r="G75" s="196">
        <v>9.3800000000000008</v>
      </c>
      <c r="H75" s="218">
        <f t="shared" si="35"/>
        <v>100.00000000000003</v>
      </c>
      <c r="I75" s="186"/>
      <c r="J75" s="19"/>
      <c r="K75" s="47"/>
      <c r="L75" s="24"/>
      <c r="M75" s="24"/>
      <c r="N75" s="24"/>
      <c r="O75" s="39"/>
      <c r="P75" s="39"/>
      <c r="Q75" s="39"/>
      <c r="R75" s="30"/>
      <c r="S75" s="30"/>
      <c r="T75" s="30"/>
    </row>
    <row r="76" spans="1:20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1.3399999999999999</v>
      </c>
      <c r="E76" s="197">
        <f t="shared" ref="E76:G76" si="36">SUM(E77:E80)</f>
        <v>0</v>
      </c>
      <c r="F76" s="197">
        <f t="shared" si="36"/>
        <v>0</v>
      </c>
      <c r="G76" s="197">
        <f t="shared" si="36"/>
        <v>0</v>
      </c>
      <c r="H76" s="182"/>
      <c r="I76" s="197"/>
      <c r="J76" s="107"/>
      <c r="K76" s="108"/>
      <c r="L76" s="34"/>
      <c r="M76" s="34"/>
      <c r="N76" s="34"/>
      <c r="O76" s="39"/>
      <c r="P76" s="39"/>
      <c r="Q76" s="39"/>
      <c r="R76" s="30"/>
      <c r="S76" s="30"/>
      <c r="T76" s="30"/>
    </row>
    <row r="77" spans="1:20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</v>
      </c>
      <c r="F77" s="186"/>
      <c r="G77" s="186"/>
      <c r="H77" s="182"/>
      <c r="I77" s="186"/>
      <c r="J77" s="107"/>
      <c r="K77" s="108"/>
      <c r="L77" s="34"/>
      <c r="M77" s="120"/>
      <c r="N77" s="120"/>
      <c r="O77" s="39"/>
      <c r="P77" s="49"/>
      <c r="Q77" s="49"/>
      <c r="R77" s="30"/>
      <c r="S77" s="30"/>
      <c r="T77" s="30"/>
    </row>
    <row r="78" spans="1:20" ht="31.9" customHeight="1" x14ac:dyDescent="0.25">
      <c r="A78" s="3" t="s">
        <v>16</v>
      </c>
      <c r="B78" s="283" t="s">
        <v>110</v>
      </c>
      <c r="C78" s="3" t="s">
        <v>4</v>
      </c>
      <c r="D78" s="186">
        <v>0.5</v>
      </c>
      <c r="E78" s="186">
        <v>0</v>
      </c>
      <c r="F78" s="186"/>
      <c r="G78" s="186"/>
      <c r="H78" s="182"/>
      <c r="I78" s="186"/>
      <c r="J78" s="107"/>
      <c r="K78" s="108"/>
      <c r="L78" s="34"/>
      <c r="M78" s="34"/>
      <c r="N78" s="34"/>
      <c r="O78" s="39"/>
      <c r="P78" s="39"/>
      <c r="Q78" s="39"/>
      <c r="R78" s="30"/>
      <c r="S78" s="30"/>
      <c r="T78" s="30"/>
    </row>
    <row r="79" spans="1:20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2"/>
      <c r="I79" s="186"/>
      <c r="J79" s="107"/>
      <c r="K79" s="108"/>
      <c r="L79" s="34"/>
      <c r="M79" s="34"/>
      <c r="N79" s="34"/>
      <c r="O79" s="39"/>
      <c r="P79" s="39"/>
      <c r="Q79" s="39"/>
      <c r="R79" s="30"/>
      <c r="S79" s="30"/>
      <c r="T79" s="30"/>
    </row>
    <row r="80" spans="1:20" ht="31.9" customHeight="1" x14ac:dyDescent="0.25">
      <c r="A80" s="3" t="s">
        <v>16</v>
      </c>
      <c r="B80" s="284" t="s">
        <v>129</v>
      </c>
      <c r="C80" s="3" t="s">
        <v>4</v>
      </c>
      <c r="D80" s="186">
        <f>1-0.16</f>
        <v>0.84</v>
      </c>
      <c r="E80" s="186"/>
      <c r="F80" s="186"/>
      <c r="G80" s="186"/>
      <c r="H80" s="182"/>
      <c r="I80" s="186"/>
      <c r="J80" s="107"/>
      <c r="K80" s="108"/>
      <c r="L80" s="108"/>
      <c r="M80" s="108"/>
      <c r="N80" s="108"/>
      <c r="O80" s="30"/>
      <c r="P80" s="30"/>
      <c r="Q80" s="30"/>
      <c r="R80" s="30"/>
      <c r="S80" s="30"/>
      <c r="T80" s="30"/>
    </row>
    <row r="81" spans="1:20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1.82</v>
      </c>
      <c r="E81" s="194">
        <f t="shared" ref="E81:G81" si="37">E82+E83</f>
        <v>0.09</v>
      </c>
      <c r="F81" s="194">
        <f t="shared" si="37"/>
        <v>0</v>
      </c>
      <c r="G81" s="194">
        <f t="shared" si="37"/>
        <v>0</v>
      </c>
      <c r="H81" s="182">
        <f t="shared" si="35"/>
        <v>0</v>
      </c>
      <c r="I81" s="194"/>
      <c r="J81" s="36"/>
      <c r="K81" s="119"/>
      <c r="L81" s="42"/>
      <c r="M81" s="42"/>
      <c r="N81" s="42"/>
      <c r="O81" s="42"/>
      <c r="P81" s="42"/>
      <c r="Q81" s="42"/>
      <c r="R81" s="50"/>
      <c r="S81" s="50"/>
      <c r="T81" s="50"/>
    </row>
    <row r="82" spans="1:20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1.82</v>
      </c>
      <c r="E82" s="189">
        <v>0</v>
      </c>
      <c r="F82" s="189"/>
      <c r="G82" s="189"/>
      <c r="H82" s="182"/>
      <c r="I82" s="189"/>
      <c r="J82" s="107"/>
      <c r="K82" s="108"/>
      <c r="L82" s="34"/>
      <c r="M82" s="34"/>
      <c r="N82" s="34"/>
      <c r="O82" s="51"/>
      <c r="P82" s="51"/>
      <c r="Q82" s="51"/>
      <c r="R82" s="48"/>
      <c r="S82" s="48"/>
      <c r="T82" s="48"/>
    </row>
    <row r="83" spans="1:20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8">SUM(D84:D87)</f>
        <v>0</v>
      </c>
      <c r="E83" s="196">
        <f>SUM(E84:E87)</f>
        <v>0.09</v>
      </c>
      <c r="F83" s="196">
        <f t="shared" ref="F83:G83" si="39">SUM(F84:F87)</f>
        <v>0</v>
      </c>
      <c r="G83" s="196">
        <f t="shared" si="39"/>
        <v>0</v>
      </c>
      <c r="H83" s="182">
        <f t="shared" si="35"/>
        <v>0</v>
      </c>
      <c r="I83" s="196"/>
      <c r="J83" s="107"/>
      <c r="K83" s="108"/>
      <c r="L83" s="34"/>
      <c r="M83" s="34"/>
      <c r="N83" s="34"/>
      <c r="O83" s="39"/>
      <c r="P83" s="39"/>
      <c r="Q83" s="39"/>
      <c r="R83" s="30"/>
      <c r="S83" s="30"/>
      <c r="T83" s="30"/>
    </row>
    <row r="84" spans="1:20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2"/>
      <c r="I84" s="186"/>
      <c r="J84" s="109"/>
      <c r="K84" s="34"/>
      <c r="L84" s="34"/>
      <c r="M84" s="34"/>
      <c r="N84" s="34"/>
      <c r="O84" s="39"/>
      <c r="P84" s="39"/>
      <c r="Q84" s="39"/>
      <c r="R84" s="30"/>
      <c r="S84" s="30"/>
      <c r="T84" s="30"/>
    </row>
    <row r="85" spans="1:20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2"/>
      <c r="I85" s="186"/>
      <c r="J85" s="109"/>
      <c r="K85" s="34"/>
      <c r="L85" s="34"/>
      <c r="M85" s="34"/>
      <c r="N85" s="34"/>
      <c r="O85" s="30"/>
      <c r="P85" s="30"/>
      <c r="Q85" s="30"/>
      <c r="R85" s="30"/>
      <c r="S85" s="30"/>
      <c r="T85" s="30"/>
    </row>
    <row r="86" spans="1:20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2"/>
      <c r="I86" s="186"/>
      <c r="J86" s="109"/>
      <c r="K86" s="34"/>
      <c r="L86" s="34"/>
      <c r="M86" s="34"/>
      <c r="N86" s="39"/>
      <c r="O86" s="39"/>
      <c r="P86" s="39"/>
      <c r="Q86" s="39"/>
      <c r="R86" s="30"/>
      <c r="S86" s="30"/>
      <c r="T86" s="30"/>
    </row>
    <row r="87" spans="1:20" ht="31.9" customHeight="1" x14ac:dyDescent="0.25">
      <c r="A87" s="282" t="s">
        <v>16</v>
      </c>
      <c r="B87" s="283" t="s">
        <v>114</v>
      </c>
      <c r="C87" s="3" t="s">
        <v>4</v>
      </c>
      <c r="D87" s="186"/>
      <c r="E87" s="186">
        <v>0.09</v>
      </c>
      <c r="F87" s="186">
        <v>0</v>
      </c>
      <c r="G87" s="186">
        <v>0</v>
      </c>
      <c r="H87" s="182">
        <f t="shared" si="35"/>
        <v>0</v>
      </c>
      <c r="I87" s="186"/>
      <c r="J87" s="109"/>
      <c r="K87" s="34"/>
      <c r="L87" s="34"/>
      <c r="M87" s="120"/>
      <c r="N87" s="120"/>
      <c r="O87" s="49"/>
      <c r="P87" s="49"/>
      <c r="Q87" s="49"/>
      <c r="R87" s="49"/>
      <c r="S87" s="30"/>
      <c r="T87" s="30"/>
    </row>
    <row r="88" spans="1:20" ht="31.9" customHeight="1" x14ac:dyDescent="0.25">
      <c r="A88" s="2" t="s">
        <v>42</v>
      </c>
      <c r="B88" s="224" t="s">
        <v>43</v>
      </c>
      <c r="C88" s="2"/>
      <c r="D88" s="181">
        <f>SUM(D89:D93)</f>
        <v>207</v>
      </c>
      <c r="E88" s="181">
        <f t="shared" ref="E88:G88" si="40">SUM(E89:E93)</f>
        <v>220</v>
      </c>
      <c r="F88" s="181">
        <f t="shared" si="40"/>
        <v>196</v>
      </c>
      <c r="G88" s="181">
        <f t="shared" si="40"/>
        <v>196</v>
      </c>
      <c r="H88" s="182">
        <f t="shared" si="35"/>
        <v>89.090909090909093</v>
      </c>
      <c r="I88" s="181"/>
      <c r="J88" s="20"/>
      <c r="K88" s="24"/>
      <c r="L88" s="28"/>
      <c r="M88" s="28"/>
      <c r="N88" s="24"/>
      <c r="O88" s="30"/>
      <c r="P88" s="30"/>
      <c r="Q88" s="30"/>
      <c r="R88" s="30"/>
      <c r="S88" s="30"/>
      <c r="T88" s="30"/>
    </row>
    <row r="89" spans="1:20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19</v>
      </c>
      <c r="E89" s="186">
        <f>19+10</f>
        <v>29</v>
      </c>
      <c r="F89" s="186">
        <v>27</v>
      </c>
      <c r="G89" s="186">
        <f>F89</f>
        <v>27</v>
      </c>
      <c r="H89" s="218">
        <f t="shared" si="35"/>
        <v>93.103448275862064</v>
      </c>
      <c r="I89" s="186"/>
      <c r="J89" s="112"/>
      <c r="K89" s="105"/>
      <c r="L89" s="208"/>
      <c r="M89" s="209"/>
      <c r="N89" s="121"/>
      <c r="O89" s="92"/>
      <c r="P89" s="92"/>
      <c r="Q89" s="92"/>
      <c r="R89" s="92"/>
      <c r="S89" s="92"/>
      <c r="T89" s="92"/>
    </row>
    <row r="90" spans="1:20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v>32</v>
      </c>
      <c r="E90" s="186">
        <f>20+3</f>
        <v>23</v>
      </c>
      <c r="F90" s="186">
        <v>22</v>
      </c>
      <c r="G90" s="186">
        <f>F90</f>
        <v>22</v>
      </c>
      <c r="H90" s="218">
        <f t="shared" si="35"/>
        <v>95.652173913043484</v>
      </c>
      <c r="I90" s="186"/>
      <c r="J90" s="112"/>
      <c r="K90" s="156"/>
      <c r="L90" s="208"/>
      <c r="M90" s="209"/>
      <c r="N90" s="121"/>
      <c r="O90" s="92"/>
      <c r="P90" s="92"/>
      <c r="Q90" s="92"/>
      <c r="R90" s="92"/>
      <c r="S90" s="92"/>
      <c r="T90" s="92"/>
    </row>
    <row r="91" spans="1:20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v>18</v>
      </c>
      <c r="E91" s="186">
        <f>38+12</f>
        <v>50</v>
      </c>
      <c r="F91" s="186">
        <v>47</v>
      </c>
      <c r="G91" s="186">
        <f>F91</f>
        <v>47</v>
      </c>
      <c r="H91" s="218">
        <f t="shared" si="35"/>
        <v>94</v>
      </c>
      <c r="I91" s="186"/>
      <c r="J91" s="112"/>
      <c r="K91" s="156"/>
      <c r="L91" s="208"/>
      <c r="M91" s="209"/>
      <c r="N91" s="121"/>
      <c r="O91" s="92"/>
      <c r="P91" s="92"/>
      <c r="Q91" s="92"/>
      <c r="R91" s="92"/>
      <c r="S91" s="92"/>
      <c r="T91" s="92"/>
    </row>
    <row r="92" spans="1:20" ht="31.9" customHeight="1" x14ac:dyDescent="0.25">
      <c r="A92" s="4">
        <v>4</v>
      </c>
      <c r="B92" s="227" t="s">
        <v>47</v>
      </c>
      <c r="C92" s="4" t="s">
        <v>6</v>
      </c>
      <c r="D92" s="186"/>
      <c r="E92" s="186"/>
      <c r="F92" s="186"/>
      <c r="G92" s="186"/>
      <c r="H92" s="182"/>
      <c r="I92" s="186"/>
      <c r="J92" s="20"/>
      <c r="K92" s="24"/>
      <c r="L92" s="210"/>
      <c r="M92" s="209"/>
      <c r="N92" s="24"/>
      <c r="O92" s="30"/>
      <c r="P92" s="30"/>
      <c r="Q92" s="30"/>
      <c r="R92" s="30"/>
      <c r="S92" s="30"/>
      <c r="T92" s="30"/>
    </row>
    <row r="93" spans="1:20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138</v>
      </c>
      <c r="E93" s="186">
        <f>131-13</f>
        <v>118</v>
      </c>
      <c r="F93" s="186">
        <v>100</v>
      </c>
      <c r="G93" s="186">
        <f>F93</f>
        <v>100</v>
      </c>
      <c r="H93" s="218">
        <f t="shared" si="35"/>
        <v>84.745762711864401</v>
      </c>
      <c r="I93" s="186"/>
      <c r="J93" s="157"/>
      <c r="K93" s="105"/>
      <c r="L93" s="210"/>
      <c r="M93" s="209"/>
      <c r="N93" s="121"/>
      <c r="O93" s="92"/>
      <c r="P93" s="92"/>
      <c r="Q93" s="92"/>
      <c r="R93" s="92"/>
      <c r="S93" s="92"/>
      <c r="T93" s="92"/>
    </row>
    <row r="94" spans="1:20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41">E95</f>
        <v>0</v>
      </c>
      <c r="F94" s="181">
        <f t="shared" si="41"/>
        <v>0</v>
      </c>
      <c r="G94" s="181">
        <f t="shared" si="41"/>
        <v>0</v>
      </c>
      <c r="H94" s="182"/>
      <c r="I94" s="181"/>
      <c r="J94" s="22"/>
      <c r="K94" s="21"/>
      <c r="L94" s="21"/>
      <c r="M94" s="21"/>
      <c r="N94" s="21"/>
      <c r="O94" s="35"/>
      <c r="P94" s="35"/>
      <c r="Q94" s="35"/>
      <c r="R94" s="35"/>
      <c r="S94" s="35"/>
      <c r="T94" s="35"/>
    </row>
    <row r="95" spans="1:20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2"/>
      <c r="I95" s="186"/>
      <c r="J95" s="20"/>
      <c r="K95" s="24"/>
      <c r="L95" s="24"/>
      <c r="M95" s="24"/>
      <c r="N95" s="24"/>
      <c r="O95" s="30"/>
      <c r="P95" s="30"/>
      <c r="Q95" s="30"/>
      <c r="R95" s="30"/>
      <c r="S95" s="30"/>
      <c r="T95" s="30"/>
    </row>
    <row r="96" spans="1:20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2.8</v>
      </c>
      <c r="E96" s="181">
        <f>E97+E98</f>
        <v>0.64999999999999991</v>
      </c>
      <c r="F96" s="181">
        <f t="shared" ref="F96:G96" si="42">F97+F98</f>
        <v>0</v>
      </c>
      <c r="G96" s="181">
        <f t="shared" si="42"/>
        <v>0</v>
      </c>
      <c r="H96" s="182">
        <f t="shared" si="35"/>
        <v>0</v>
      </c>
      <c r="I96" s="181"/>
      <c r="J96" s="20"/>
      <c r="K96" s="24"/>
      <c r="L96" s="24"/>
      <c r="M96" s="24"/>
      <c r="N96" s="24"/>
      <c r="O96" s="30"/>
      <c r="P96" s="30"/>
      <c r="Q96" s="30"/>
      <c r="R96" s="30"/>
      <c r="S96" s="30"/>
      <c r="T96" s="30"/>
    </row>
    <row r="97" spans="1:20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2"/>
      <c r="I97" s="186"/>
      <c r="J97" s="20"/>
      <c r="K97" s="24"/>
      <c r="L97" s="24"/>
      <c r="M97" s="24"/>
      <c r="N97" s="24"/>
      <c r="O97" s="30"/>
      <c r="P97" s="30"/>
      <c r="Q97" s="30"/>
      <c r="R97" s="30"/>
      <c r="S97" s="30"/>
      <c r="T97" s="30"/>
    </row>
    <row r="98" spans="1:20" ht="31.9" customHeight="1" x14ac:dyDescent="0.25">
      <c r="A98" s="285" t="s">
        <v>16</v>
      </c>
      <c r="B98" s="281" t="s">
        <v>54</v>
      </c>
      <c r="C98" s="3" t="s">
        <v>4</v>
      </c>
      <c r="D98" s="186">
        <v>2.8</v>
      </c>
      <c r="E98" s="186">
        <f>1.9-1.25</f>
        <v>0.64999999999999991</v>
      </c>
      <c r="F98" s="186"/>
      <c r="G98" s="186"/>
      <c r="H98" s="182">
        <f t="shared" si="35"/>
        <v>0</v>
      </c>
      <c r="I98" s="186"/>
      <c r="J98" s="20"/>
      <c r="K98" s="24"/>
      <c r="L98" s="24"/>
      <c r="M98" s="24"/>
      <c r="N98" s="24"/>
      <c r="O98" s="30"/>
      <c r="P98" s="30"/>
      <c r="Q98" s="30"/>
      <c r="R98" s="30"/>
      <c r="S98" s="30"/>
      <c r="T98" s="30"/>
    </row>
    <row r="99" spans="1:20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47"/>
      <c r="L99" s="47"/>
      <c r="M99" s="47"/>
      <c r="N99" s="47"/>
      <c r="O99" s="30"/>
      <c r="P99" s="30"/>
      <c r="Q99" s="30"/>
      <c r="R99" s="30"/>
      <c r="S99" s="30"/>
      <c r="T99" s="30"/>
    </row>
    <row r="100" spans="1:20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47"/>
      <c r="L100" s="47"/>
      <c r="M100" s="47"/>
      <c r="N100" s="47"/>
      <c r="O100" s="30"/>
      <c r="P100" s="30"/>
      <c r="Q100" s="30"/>
      <c r="R100" s="30"/>
      <c r="S100" s="30"/>
      <c r="T100" s="30"/>
    </row>
    <row r="101" spans="1:20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47"/>
      <c r="L101" s="47"/>
      <c r="M101" s="47"/>
      <c r="N101" s="47"/>
      <c r="O101" s="30"/>
      <c r="P101" s="30"/>
      <c r="Q101" s="30"/>
      <c r="R101" s="30"/>
      <c r="S101" s="30"/>
      <c r="T101" s="30"/>
    </row>
    <row r="102" spans="1:20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47"/>
      <c r="L102" s="47"/>
      <c r="M102" s="47"/>
      <c r="N102" s="47"/>
      <c r="O102" s="30"/>
      <c r="P102" s="30"/>
      <c r="Q102" s="30"/>
      <c r="R102" s="30"/>
      <c r="S102" s="30"/>
      <c r="T102" s="30"/>
    </row>
    <row r="103" spans="1:20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47"/>
      <c r="L103" s="47"/>
      <c r="M103" s="47"/>
      <c r="N103" s="47"/>
      <c r="O103" s="30"/>
      <c r="P103" s="30"/>
      <c r="Q103" s="30"/>
      <c r="R103" s="30"/>
      <c r="S103" s="30"/>
      <c r="T103" s="30"/>
    </row>
    <row r="104" spans="1:20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47"/>
      <c r="L104" s="47"/>
      <c r="M104" s="47"/>
      <c r="N104" s="47"/>
      <c r="O104" s="30"/>
      <c r="P104" s="30"/>
      <c r="Q104" s="30"/>
      <c r="R104" s="30"/>
      <c r="S104" s="30"/>
      <c r="T104" s="30"/>
    </row>
    <row r="105" spans="1:20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47"/>
      <c r="L105" s="47"/>
      <c r="M105" s="47"/>
      <c r="N105" s="47"/>
      <c r="O105" s="30"/>
      <c r="P105" s="30"/>
      <c r="Q105" s="30"/>
      <c r="R105" s="30"/>
      <c r="S105" s="30"/>
      <c r="T105" s="30"/>
    </row>
    <row r="106" spans="1:20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47"/>
      <c r="L106" s="47"/>
      <c r="M106" s="47"/>
      <c r="N106" s="47"/>
      <c r="O106" s="30"/>
      <c r="P106" s="30"/>
      <c r="Q106" s="30"/>
      <c r="R106" s="30"/>
      <c r="S106" s="30"/>
      <c r="T106" s="30"/>
    </row>
    <row r="107" spans="1:20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47"/>
      <c r="L107" s="47"/>
      <c r="M107" s="47"/>
      <c r="N107" s="47"/>
      <c r="O107" s="30"/>
      <c r="P107" s="30"/>
      <c r="Q107" s="30"/>
      <c r="R107" s="30"/>
      <c r="S107" s="30"/>
      <c r="T107" s="30"/>
    </row>
    <row r="108" spans="1:20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47"/>
      <c r="L108" s="47"/>
      <c r="M108" s="47"/>
      <c r="N108" s="47"/>
      <c r="O108" s="30"/>
      <c r="P108" s="30"/>
      <c r="Q108" s="30"/>
      <c r="R108" s="30"/>
      <c r="S108" s="30"/>
      <c r="T108" s="30"/>
    </row>
    <row r="109" spans="1:20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47"/>
      <c r="L109" s="47"/>
      <c r="M109" s="47"/>
      <c r="N109" s="47"/>
      <c r="O109" s="30"/>
      <c r="P109" s="30"/>
      <c r="Q109" s="30"/>
      <c r="R109" s="30"/>
      <c r="S109" s="30"/>
      <c r="T109" s="30"/>
    </row>
    <row r="110" spans="1:20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47"/>
      <c r="L110" s="47"/>
      <c r="M110" s="47"/>
      <c r="N110" s="47"/>
      <c r="O110" s="30"/>
      <c r="P110" s="30"/>
      <c r="Q110" s="30"/>
      <c r="R110" s="30"/>
      <c r="S110" s="30"/>
      <c r="T110" s="30"/>
    </row>
    <row r="111" spans="1:20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47"/>
      <c r="L111" s="47"/>
      <c r="M111" s="47"/>
      <c r="N111" s="47"/>
      <c r="O111" s="30"/>
      <c r="P111" s="30"/>
      <c r="Q111" s="30"/>
      <c r="R111" s="30"/>
      <c r="S111" s="30"/>
      <c r="T111" s="30"/>
    </row>
    <row r="112" spans="1:20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47"/>
      <c r="L112" s="47"/>
      <c r="M112" s="47"/>
      <c r="N112" s="47"/>
      <c r="O112" s="30"/>
      <c r="P112" s="30"/>
      <c r="Q112" s="30"/>
      <c r="R112" s="30"/>
      <c r="S112" s="30"/>
      <c r="T112" s="30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39370078740157483" right="0.31496062992125984" top="0.55118110236220474" bottom="0.51181102362204722" header="0.31496062992125984" footer="0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984"/>
  <sheetViews>
    <sheetView zoomScaleNormal="100" workbookViewId="0">
      <pane ySplit="8" topLeftCell="A34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6.88671875" style="220" customWidth="1"/>
    <col min="2" max="2" width="29" style="220" customWidth="1"/>
    <col min="3" max="3" width="9.88671875" style="220" customWidth="1"/>
    <col min="4" max="5" width="17.77734375" style="220" customWidth="1"/>
    <col min="6" max="9" width="12.6640625" style="220" customWidth="1"/>
    <col min="10" max="10" width="8.88671875" style="17" customWidth="1"/>
    <col min="11" max="11" width="21.21875" style="17" customWidth="1"/>
    <col min="12" max="14" width="8.88671875" style="17" customWidth="1"/>
    <col min="15" max="16384" width="11.21875" style="17"/>
  </cols>
  <sheetData>
    <row r="1" spans="1:20" ht="15" customHeight="1" x14ac:dyDescent="0.25">
      <c r="H1" s="422"/>
      <c r="I1" s="422"/>
    </row>
    <row r="2" spans="1:20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20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20" ht="16.5" x14ac:dyDescent="0.25">
      <c r="A4" s="418" t="s">
        <v>148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20" ht="16.5" x14ac:dyDescent="0.25">
      <c r="A5" s="430" t="str">
        <f>'ĐĂK CHUM II(4)'!A5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20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20" ht="42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78</v>
      </c>
      <c r="M7" s="19"/>
      <c r="N7" s="19"/>
    </row>
    <row r="8" spans="1:20" ht="42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21"/>
      <c r="J8" s="19"/>
      <c r="K8" s="45" t="s">
        <v>137</v>
      </c>
      <c r="L8" s="66">
        <v>283</v>
      </c>
      <c r="M8" s="19"/>
      <c r="N8" s="19"/>
    </row>
    <row r="9" spans="1:20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77.710000000000008</v>
      </c>
      <c r="E9" s="182">
        <f t="shared" ref="E9:G9" si="0">E13+E28+E37+E43+E46+E67</f>
        <v>103.32</v>
      </c>
      <c r="F9" s="182">
        <f t="shared" si="0"/>
        <v>76.84</v>
      </c>
      <c r="G9" s="182">
        <f t="shared" si="0"/>
        <v>76.240000000000009</v>
      </c>
      <c r="H9" s="182">
        <f>F9/E9*100</f>
        <v>74.370886566008522</v>
      </c>
      <c r="I9" s="182"/>
      <c r="J9" s="103"/>
      <c r="K9" s="118"/>
      <c r="L9" s="118"/>
      <c r="M9" s="118"/>
      <c r="N9" s="118"/>
      <c r="O9" s="35"/>
      <c r="P9" s="35"/>
      <c r="Q9" s="35"/>
      <c r="R9" s="35"/>
      <c r="S9" s="35"/>
      <c r="T9" s="35"/>
    </row>
    <row r="10" spans="1:20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22.91</v>
      </c>
      <c r="F10" s="181">
        <f t="shared" si="1"/>
        <v>4.9000000000000004</v>
      </c>
      <c r="G10" s="181">
        <f t="shared" si="1"/>
        <v>4.9000000000000004</v>
      </c>
      <c r="H10" s="182">
        <f t="shared" ref="H10:H73" si="2">F10/E10*100</f>
        <v>21.388040157136622</v>
      </c>
      <c r="I10" s="181"/>
      <c r="J10" s="103"/>
      <c r="K10" s="118"/>
      <c r="L10" s="118"/>
      <c r="M10" s="118"/>
      <c r="N10" s="118"/>
      <c r="O10" s="35"/>
      <c r="P10" s="35"/>
      <c r="Q10" s="35"/>
      <c r="R10" s="35"/>
      <c r="S10" s="35"/>
      <c r="T10" s="35"/>
    </row>
    <row r="11" spans="1:20" s="23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85.805340000000015</v>
      </c>
      <c r="F11" s="181">
        <f t="shared" si="3"/>
        <v>0</v>
      </c>
      <c r="G11" s="181">
        <f t="shared" si="3"/>
        <v>0</v>
      </c>
      <c r="H11" s="182">
        <f t="shared" si="2"/>
        <v>0</v>
      </c>
      <c r="I11" s="181"/>
      <c r="J11" s="103"/>
      <c r="K11" s="118"/>
      <c r="L11" s="118"/>
      <c r="M11" s="118"/>
      <c r="N11" s="118"/>
      <c r="O11" s="35"/>
      <c r="P11" s="35"/>
      <c r="Q11" s="35"/>
      <c r="R11" s="35"/>
      <c r="S11" s="35"/>
      <c r="T11" s="35"/>
    </row>
    <row r="12" spans="1:20" s="23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82.115340000000018</v>
      </c>
      <c r="F12" s="181">
        <f t="shared" si="4"/>
        <v>0</v>
      </c>
      <c r="G12" s="181">
        <f t="shared" si="4"/>
        <v>0</v>
      </c>
      <c r="H12" s="182">
        <f t="shared" si="2"/>
        <v>0</v>
      </c>
      <c r="I12" s="181"/>
      <c r="J12" s="103"/>
      <c r="K12" s="118"/>
      <c r="L12" s="118"/>
      <c r="M12" s="118"/>
      <c r="N12" s="118"/>
      <c r="O12" s="35"/>
      <c r="P12" s="35"/>
      <c r="Q12" s="35"/>
      <c r="R12" s="35"/>
      <c r="S12" s="35"/>
      <c r="T12" s="35"/>
    </row>
    <row r="13" spans="1:20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21.91</v>
      </c>
      <c r="F13" s="181">
        <f t="shared" si="5"/>
        <v>3.9</v>
      </c>
      <c r="G13" s="181">
        <f t="shared" si="5"/>
        <v>3.9</v>
      </c>
      <c r="H13" s="182">
        <f t="shared" si="2"/>
        <v>17.800091282519396</v>
      </c>
      <c r="I13" s="181"/>
      <c r="J13" s="19"/>
      <c r="K13" s="100"/>
      <c r="L13" s="100"/>
      <c r="M13" s="100"/>
      <c r="N13" s="100"/>
      <c r="O13" s="30"/>
      <c r="P13" s="30"/>
      <c r="Q13" s="30"/>
      <c r="R13" s="30"/>
      <c r="S13" s="30"/>
      <c r="T13" s="30"/>
    </row>
    <row r="14" spans="1:20" ht="31.9" customHeight="1" x14ac:dyDescent="0.25">
      <c r="A14" s="2"/>
      <c r="B14" s="227" t="s">
        <v>139</v>
      </c>
      <c r="C14" s="4" t="s">
        <v>140</v>
      </c>
      <c r="D14" s="186"/>
      <c r="E14" s="186">
        <f t="shared" ref="E14:G14" si="6">E15/E13*10</f>
        <v>37.47847558192607</v>
      </c>
      <c r="F14" s="186">
        <f t="shared" si="6"/>
        <v>0</v>
      </c>
      <c r="G14" s="186">
        <f t="shared" si="6"/>
        <v>0</v>
      </c>
      <c r="H14" s="182">
        <f t="shared" si="2"/>
        <v>0</v>
      </c>
      <c r="I14" s="186"/>
      <c r="J14" s="19"/>
      <c r="K14" s="47"/>
      <c r="L14" s="47"/>
      <c r="M14" s="47"/>
      <c r="N14" s="47"/>
      <c r="O14" s="30"/>
      <c r="P14" s="30"/>
      <c r="Q14" s="30"/>
      <c r="R14" s="30"/>
      <c r="S14" s="30"/>
      <c r="T14" s="30"/>
    </row>
    <row r="15" spans="1:20" ht="31.9" customHeight="1" x14ac:dyDescent="0.25">
      <c r="A15" s="2"/>
      <c r="B15" s="227" t="s">
        <v>141</v>
      </c>
      <c r="C15" s="4" t="s">
        <v>15</v>
      </c>
      <c r="D15" s="186">
        <f>D18+D21</f>
        <v>0</v>
      </c>
      <c r="E15" s="186">
        <f>E18+E21</f>
        <v>82.115340000000018</v>
      </c>
      <c r="F15" s="186">
        <f t="shared" ref="F15:G15" si="7">F18+F21</f>
        <v>0</v>
      </c>
      <c r="G15" s="186">
        <f t="shared" si="7"/>
        <v>0</v>
      </c>
      <c r="H15" s="182">
        <f t="shared" si="2"/>
        <v>0</v>
      </c>
      <c r="I15" s="186"/>
      <c r="J15" s="19"/>
      <c r="K15" s="47"/>
      <c r="L15" s="47"/>
      <c r="M15" s="47"/>
      <c r="N15" s="47"/>
      <c r="O15" s="30"/>
      <c r="P15" s="30"/>
      <c r="Q15" s="30"/>
      <c r="R15" s="30"/>
      <c r="S15" s="30"/>
      <c r="T15" s="30"/>
    </row>
    <row r="16" spans="1:20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3.9</v>
      </c>
      <c r="F16" s="181">
        <v>3.9</v>
      </c>
      <c r="G16" s="181">
        <v>3.9</v>
      </c>
      <c r="H16" s="182">
        <f t="shared" si="2"/>
        <v>100</v>
      </c>
      <c r="I16" s="181"/>
      <c r="J16" s="104"/>
      <c r="K16" s="26"/>
      <c r="L16" s="26"/>
      <c r="M16" s="26"/>
      <c r="N16" s="26"/>
      <c r="O16" s="53"/>
      <c r="P16" s="53"/>
      <c r="Q16" s="53"/>
      <c r="R16" s="53"/>
      <c r="S16" s="30"/>
      <c r="T16" s="30"/>
    </row>
    <row r="17" spans="1:21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2">
        <f t="shared" si="2"/>
        <v>0</v>
      </c>
      <c r="I17" s="186"/>
      <c r="J17" s="104"/>
      <c r="K17" s="26"/>
      <c r="L17" s="26"/>
      <c r="M17" s="26"/>
      <c r="N17" s="26"/>
      <c r="O17" s="53"/>
      <c r="P17" s="53"/>
      <c r="Q17" s="53"/>
      <c r="R17" s="53"/>
      <c r="S17" s="30"/>
      <c r="T17" s="30"/>
    </row>
    <row r="18" spans="1:21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13.065000000000001</v>
      </c>
      <c r="F18" s="186">
        <f t="shared" si="8"/>
        <v>0</v>
      </c>
      <c r="G18" s="186">
        <f t="shared" si="8"/>
        <v>0</v>
      </c>
      <c r="H18" s="182">
        <f t="shared" si="2"/>
        <v>0</v>
      </c>
      <c r="I18" s="186"/>
      <c r="J18" s="104"/>
      <c r="K18" s="26"/>
      <c r="L18" s="26"/>
      <c r="M18" s="26"/>
      <c r="N18" s="26"/>
      <c r="O18" s="53"/>
      <c r="P18" s="53"/>
      <c r="Q18" s="53"/>
      <c r="R18" s="53"/>
      <c r="S18" s="30"/>
      <c r="T18" s="30"/>
    </row>
    <row r="19" spans="1:21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18.010000000000002</v>
      </c>
      <c r="F19" s="181">
        <f t="shared" si="9"/>
        <v>0</v>
      </c>
      <c r="G19" s="181">
        <f t="shared" si="9"/>
        <v>0</v>
      </c>
      <c r="H19" s="182">
        <f t="shared" si="2"/>
        <v>0</v>
      </c>
      <c r="I19" s="181"/>
      <c r="J19" s="20"/>
      <c r="K19" s="24"/>
      <c r="L19" s="24"/>
      <c r="M19" s="29"/>
      <c r="N19" s="29"/>
      <c r="O19" s="54"/>
      <c r="P19" s="54"/>
      <c r="Q19" s="54"/>
      <c r="R19" s="54"/>
      <c r="S19" s="54"/>
      <c r="T19" s="54"/>
      <c r="U19" s="25"/>
    </row>
    <row r="20" spans="1:21" ht="31.9" customHeight="1" x14ac:dyDescent="0.25">
      <c r="A20" s="269"/>
      <c r="B20" s="227" t="s">
        <v>139</v>
      </c>
      <c r="C20" s="4" t="s">
        <v>140</v>
      </c>
      <c r="D20" s="186"/>
      <c r="E20" s="186">
        <f t="shared" ref="E20" si="10">E21/E19*10</f>
        <v>38.340000000000011</v>
      </c>
      <c r="F20" s="186"/>
      <c r="G20" s="186"/>
      <c r="H20" s="182">
        <f t="shared" si="2"/>
        <v>0</v>
      </c>
      <c r="I20" s="186"/>
      <c r="J20" s="20"/>
      <c r="K20" s="24"/>
      <c r="L20" s="24"/>
      <c r="M20" s="29"/>
      <c r="N20" s="29"/>
      <c r="O20" s="54"/>
      <c r="P20" s="54"/>
      <c r="Q20" s="54"/>
      <c r="R20" s="54"/>
      <c r="S20" s="54"/>
      <c r="T20" s="54"/>
      <c r="U20" s="25"/>
    </row>
    <row r="21" spans="1:21" ht="31.9" customHeight="1" x14ac:dyDescent="0.25">
      <c r="A21" s="269"/>
      <c r="B21" s="227" t="s">
        <v>141</v>
      </c>
      <c r="C21" s="4" t="s">
        <v>15</v>
      </c>
      <c r="D21" s="186">
        <f>D24+D27</f>
        <v>0</v>
      </c>
      <c r="E21" s="186">
        <f t="shared" ref="E21:G21" si="11">E24+E27</f>
        <v>69.05034000000002</v>
      </c>
      <c r="F21" s="186">
        <f t="shared" si="11"/>
        <v>0</v>
      </c>
      <c r="G21" s="186">
        <f t="shared" si="11"/>
        <v>0</v>
      </c>
      <c r="H21" s="182">
        <f t="shared" si="2"/>
        <v>0</v>
      </c>
      <c r="I21" s="186"/>
      <c r="J21" s="20"/>
      <c r="K21" s="24"/>
      <c r="L21" s="24"/>
      <c r="M21" s="29"/>
      <c r="N21" s="29"/>
      <c r="O21" s="54"/>
      <c r="P21" s="54"/>
      <c r="Q21" s="54"/>
      <c r="R21" s="54"/>
      <c r="S21" s="54"/>
      <c r="T21" s="54"/>
      <c r="U21" s="25"/>
    </row>
    <row r="22" spans="1:21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18.010000000000002</v>
      </c>
      <c r="F22" s="186">
        <v>0</v>
      </c>
      <c r="G22" s="181">
        <v>0</v>
      </c>
      <c r="H22" s="182">
        <f t="shared" si="2"/>
        <v>0</v>
      </c>
      <c r="I22" s="186"/>
      <c r="J22" s="13"/>
      <c r="K22" s="8"/>
      <c r="L22" s="8"/>
      <c r="M22" s="9"/>
      <c r="N22" s="9"/>
      <c r="O22" s="10"/>
      <c r="P22" s="10"/>
      <c r="Q22" s="10"/>
      <c r="R22" s="10"/>
      <c r="S22" s="10"/>
      <c r="T22" s="55"/>
      <c r="U22" s="25"/>
    </row>
    <row r="23" spans="1:21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2">
        <f t="shared" si="2"/>
        <v>0</v>
      </c>
      <c r="I23" s="186"/>
      <c r="J23" s="13"/>
      <c r="K23" s="8"/>
      <c r="L23" s="8"/>
      <c r="M23" s="9"/>
      <c r="N23" s="9"/>
      <c r="O23" s="10"/>
      <c r="P23" s="10"/>
      <c r="Q23" s="10"/>
      <c r="R23" s="10"/>
      <c r="S23" s="10"/>
      <c r="T23" s="55"/>
      <c r="U23" s="25"/>
    </row>
    <row r="24" spans="1:21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69.05034000000002</v>
      </c>
      <c r="F24" s="186">
        <f t="shared" si="12"/>
        <v>0</v>
      </c>
      <c r="G24" s="186">
        <f t="shared" si="12"/>
        <v>0</v>
      </c>
      <c r="H24" s="182">
        <f t="shared" si="2"/>
        <v>0</v>
      </c>
      <c r="I24" s="186"/>
      <c r="J24" s="13"/>
      <c r="K24" s="8"/>
      <c r="L24" s="8"/>
      <c r="M24" s="9"/>
      <c r="N24" s="9"/>
      <c r="O24" s="10"/>
      <c r="P24" s="10"/>
      <c r="Q24" s="10"/>
      <c r="R24" s="10"/>
      <c r="S24" s="10"/>
      <c r="T24" s="55"/>
      <c r="U24" s="25"/>
    </row>
    <row r="25" spans="1:21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6">
        <v>0</v>
      </c>
      <c r="G25" s="186">
        <v>0</v>
      </c>
      <c r="H25" s="182"/>
      <c r="I25" s="186"/>
      <c r="J25" s="13"/>
      <c r="K25" s="8"/>
      <c r="L25" s="8"/>
      <c r="M25" s="8"/>
      <c r="N25" s="8"/>
      <c r="O25" s="11"/>
      <c r="P25" s="11"/>
      <c r="Q25" s="7"/>
      <c r="R25" s="7"/>
      <c r="S25" s="7"/>
      <c r="T25" s="30"/>
    </row>
    <row r="26" spans="1:21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0</v>
      </c>
      <c r="F26" s="186"/>
      <c r="G26" s="186"/>
      <c r="H26" s="182"/>
      <c r="I26" s="186"/>
      <c r="J26" s="13"/>
      <c r="K26" s="8"/>
      <c r="L26" s="8"/>
      <c r="M26" s="8"/>
      <c r="N26" s="8"/>
      <c r="O26" s="11"/>
      <c r="P26" s="11"/>
      <c r="Q26" s="7"/>
      <c r="R26" s="7"/>
      <c r="S26" s="7"/>
      <c r="T26" s="30"/>
    </row>
    <row r="27" spans="1:21" ht="31.9" customHeight="1" x14ac:dyDescent="0.25">
      <c r="A27" s="269"/>
      <c r="B27" s="227" t="s">
        <v>141</v>
      </c>
      <c r="C27" s="4" t="s">
        <v>15</v>
      </c>
      <c r="D27" s="181">
        <f>D25*D26/10</f>
        <v>0</v>
      </c>
      <c r="E27" s="181">
        <f t="shared" ref="E27:G27" si="13">E25*E26/10</f>
        <v>0</v>
      </c>
      <c r="F27" s="181">
        <f t="shared" si="13"/>
        <v>0</v>
      </c>
      <c r="G27" s="181">
        <f t="shared" si="13"/>
        <v>0</v>
      </c>
      <c r="H27" s="182"/>
      <c r="I27" s="181"/>
      <c r="J27" s="13"/>
      <c r="K27" s="8"/>
      <c r="L27" s="8"/>
      <c r="M27" s="8"/>
      <c r="N27" s="8"/>
      <c r="O27" s="11"/>
      <c r="P27" s="11"/>
      <c r="Q27" s="7"/>
      <c r="R27" s="7"/>
      <c r="S27" s="7"/>
      <c r="T27" s="30"/>
    </row>
    <row r="28" spans="1:21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4">D31+D34</f>
        <v>1</v>
      </c>
      <c r="E28" s="181">
        <f t="shared" si="14"/>
        <v>1</v>
      </c>
      <c r="F28" s="181">
        <f t="shared" si="14"/>
        <v>1</v>
      </c>
      <c r="G28" s="181">
        <f t="shared" si="14"/>
        <v>1</v>
      </c>
      <c r="H28" s="182">
        <f t="shared" si="2"/>
        <v>100</v>
      </c>
      <c r="I28" s="181"/>
      <c r="J28" s="16"/>
      <c r="K28" s="12"/>
      <c r="L28" s="12"/>
      <c r="M28" s="12"/>
      <c r="N28" s="12"/>
      <c r="O28" s="7"/>
      <c r="P28" s="7"/>
      <c r="Q28" s="7"/>
      <c r="R28" s="7"/>
      <c r="S28" s="7"/>
      <c r="T28" s="30"/>
    </row>
    <row r="29" spans="1:21" ht="31.9" customHeight="1" x14ac:dyDescent="0.25">
      <c r="A29" s="2"/>
      <c r="B29" s="227" t="s">
        <v>139</v>
      </c>
      <c r="C29" s="4" t="s">
        <v>140</v>
      </c>
      <c r="D29" s="186">
        <f>D30/D28*10</f>
        <v>36.85</v>
      </c>
      <c r="E29" s="186">
        <f t="shared" ref="E29" si="15">E30/E28*10</f>
        <v>36.9</v>
      </c>
      <c r="F29" s="186">
        <v>0</v>
      </c>
      <c r="G29" s="186">
        <v>0</v>
      </c>
      <c r="H29" s="182"/>
      <c r="I29" s="186"/>
      <c r="J29" s="16"/>
      <c r="K29" s="12"/>
      <c r="L29" s="12"/>
      <c r="M29" s="12"/>
      <c r="N29" s="12"/>
      <c r="O29" s="7"/>
      <c r="P29" s="7"/>
      <c r="Q29" s="7"/>
      <c r="R29" s="7"/>
      <c r="S29" s="7"/>
      <c r="T29" s="30"/>
    </row>
    <row r="30" spans="1:21" ht="31.9" customHeight="1" x14ac:dyDescent="0.25">
      <c r="A30" s="2"/>
      <c r="B30" s="227" t="s">
        <v>141</v>
      </c>
      <c r="C30" s="4" t="s">
        <v>15</v>
      </c>
      <c r="D30" s="186">
        <f>D33+D36</f>
        <v>3.6850000000000001</v>
      </c>
      <c r="E30" s="186">
        <f t="shared" ref="E30:G30" si="16">E33+E36</f>
        <v>3.69</v>
      </c>
      <c r="F30" s="186">
        <f t="shared" si="16"/>
        <v>0</v>
      </c>
      <c r="G30" s="186">
        <f t="shared" si="16"/>
        <v>0</v>
      </c>
      <c r="H30" s="182">
        <f t="shared" si="2"/>
        <v>0</v>
      </c>
      <c r="I30" s="186"/>
      <c r="J30" s="16"/>
      <c r="K30" s="12"/>
      <c r="L30" s="12"/>
      <c r="M30" s="12"/>
      <c r="N30" s="12"/>
      <c r="O30" s="7"/>
      <c r="P30" s="7"/>
      <c r="Q30" s="7"/>
      <c r="R30" s="7"/>
      <c r="S30" s="7"/>
      <c r="T30" s="30"/>
    </row>
    <row r="31" spans="1:21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2"/>
      <c r="I31" s="181"/>
      <c r="J31" s="16"/>
      <c r="K31" s="12"/>
      <c r="L31" s="12"/>
      <c r="M31" s="12"/>
      <c r="N31" s="12"/>
      <c r="O31" s="7"/>
      <c r="P31" s="7"/>
      <c r="Q31" s="7"/>
      <c r="R31" s="7"/>
      <c r="S31" s="7"/>
      <c r="T31" s="30"/>
    </row>
    <row r="32" spans="1:21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2"/>
      <c r="I32" s="181"/>
      <c r="J32" s="16"/>
      <c r="K32" s="12"/>
      <c r="L32" s="12"/>
      <c r="M32" s="12"/>
      <c r="N32" s="12"/>
      <c r="O32" s="7"/>
      <c r="P32" s="7"/>
      <c r="Q32" s="7"/>
      <c r="R32" s="7"/>
      <c r="S32" s="7"/>
      <c r="T32" s="30"/>
    </row>
    <row r="33" spans="1:22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2"/>
      <c r="I33" s="181"/>
      <c r="J33" s="16"/>
      <c r="K33" s="12"/>
      <c r="L33" s="12"/>
      <c r="M33" s="12"/>
      <c r="N33" s="12"/>
      <c r="O33" s="7"/>
      <c r="P33" s="7"/>
      <c r="Q33" s="7"/>
      <c r="R33" s="7"/>
      <c r="S33" s="7"/>
      <c r="T33" s="30"/>
    </row>
    <row r="34" spans="1:22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2">
        <f t="shared" si="2"/>
        <v>100</v>
      </c>
      <c r="I34" s="186"/>
      <c r="J34" s="16"/>
      <c r="K34" s="12"/>
      <c r="L34" s="12"/>
      <c r="M34" s="12"/>
      <c r="N34" s="12"/>
      <c r="O34" s="7"/>
      <c r="P34" s="7"/>
      <c r="Q34" s="7"/>
      <c r="R34" s="7"/>
      <c r="S34" s="7"/>
      <c r="T34" s="30"/>
    </row>
    <row r="35" spans="1:22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2">
        <f t="shared" si="2"/>
        <v>0</v>
      </c>
      <c r="I35" s="186"/>
      <c r="J35" s="16"/>
      <c r="K35" s="12"/>
      <c r="L35" s="12"/>
      <c r="M35" s="12"/>
      <c r="N35" s="12"/>
      <c r="O35" s="7"/>
      <c r="P35" s="7"/>
      <c r="Q35" s="7"/>
      <c r="R35" s="7"/>
      <c r="S35" s="7"/>
      <c r="T35" s="30"/>
    </row>
    <row r="36" spans="1:22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7">E34*E35/10</f>
        <v>3.69</v>
      </c>
      <c r="F36" s="186">
        <f t="shared" si="17"/>
        <v>0</v>
      </c>
      <c r="G36" s="186">
        <f t="shared" si="17"/>
        <v>0</v>
      </c>
      <c r="H36" s="182">
        <f t="shared" si="2"/>
        <v>0</v>
      </c>
      <c r="I36" s="186"/>
      <c r="J36" s="16"/>
      <c r="K36" s="6"/>
      <c r="L36" s="61"/>
      <c r="M36" s="61"/>
      <c r="N36" s="61"/>
      <c r="O36" s="61"/>
      <c r="P36" s="10"/>
      <c r="Q36" s="7"/>
      <c r="R36" s="7"/>
      <c r="S36" s="7"/>
      <c r="T36" s="30"/>
    </row>
    <row r="37" spans="1:22" ht="31.9" customHeight="1" x14ac:dyDescent="0.25">
      <c r="A37" s="2">
        <v>2</v>
      </c>
      <c r="B37" s="225" t="s">
        <v>28</v>
      </c>
      <c r="C37" s="2" t="s">
        <v>4</v>
      </c>
      <c r="D37" s="181">
        <v>12</v>
      </c>
      <c r="E37" s="181">
        <v>11.63</v>
      </c>
      <c r="F37" s="181">
        <v>11.63</v>
      </c>
      <c r="G37" s="181">
        <v>11.63</v>
      </c>
      <c r="H37" s="182">
        <f t="shared" si="2"/>
        <v>100</v>
      </c>
      <c r="I37" s="186"/>
      <c r="J37" s="13"/>
      <c r="K37" s="60"/>
      <c r="L37" s="60"/>
      <c r="M37" s="29"/>
      <c r="N37" s="29"/>
      <c r="O37" s="29"/>
      <c r="P37" s="11"/>
      <c r="Q37" s="11"/>
      <c r="R37" s="11"/>
      <c r="S37" s="11"/>
      <c r="T37" s="11"/>
      <c r="U37" s="14"/>
      <c r="V37" s="14"/>
    </row>
    <row r="38" spans="1:22" ht="31.9" customHeight="1" x14ac:dyDescent="0.25">
      <c r="A38" s="2"/>
      <c r="B38" s="227" t="s">
        <v>139</v>
      </c>
      <c r="C38" s="4" t="s">
        <v>140</v>
      </c>
      <c r="D38" s="184"/>
      <c r="E38" s="188">
        <v>140</v>
      </c>
      <c r="F38" s="186"/>
      <c r="G38" s="186"/>
      <c r="H38" s="182">
        <f t="shared" si="2"/>
        <v>0</v>
      </c>
      <c r="I38" s="186"/>
      <c r="J38" s="13"/>
      <c r="K38" s="60"/>
      <c r="L38" s="60"/>
      <c r="M38" s="29"/>
      <c r="N38" s="29"/>
      <c r="O38" s="29"/>
      <c r="P38" s="11"/>
      <c r="Q38" s="11"/>
      <c r="R38" s="11"/>
      <c r="S38" s="11"/>
      <c r="T38" s="11"/>
      <c r="U38" s="14"/>
      <c r="V38" s="14"/>
    </row>
    <row r="39" spans="1:22" ht="31.9" customHeight="1" x14ac:dyDescent="0.25">
      <c r="A39" s="289"/>
      <c r="B39" s="236" t="s">
        <v>141</v>
      </c>
      <c r="C39" s="237" t="s">
        <v>15</v>
      </c>
      <c r="D39" s="200"/>
      <c r="E39" s="201">
        <f>E37*E38/10</f>
        <v>162.82</v>
      </c>
      <c r="F39" s="201">
        <f t="shared" ref="F39:G39" si="18">F37*F38/10</f>
        <v>0</v>
      </c>
      <c r="G39" s="201">
        <f t="shared" si="18"/>
        <v>0</v>
      </c>
      <c r="H39" s="182">
        <f t="shared" si="2"/>
        <v>0</v>
      </c>
      <c r="I39" s="186"/>
      <c r="J39" s="13"/>
      <c r="K39" s="60"/>
      <c r="L39" s="60"/>
      <c r="M39" s="29"/>
      <c r="N39" s="29"/>
      <c r="O39" s="29"/>
      <c r="P39" s="11"/>
      <c r="Q39" s="11"/>
      <c r="R39" s="11"/>
      <c r="S39" s="11"/>
      <c r="T39" s="11"/>
      <c r="U39" s="14"/>
      <c r="V39" s="14"/>
    </row>
    <row r="40" spans="1:22" ht="31.9" customHeight="1" x14ac:dyDescent="0.25">
      <c r="A40" s="222">
        <v>3</v>
      </c>
      <c r="B40" s="223" t="s">
        <v>162</v>
      </c>
      <c r="C40" s="222" t="s">
        <v>4</v>
      </c>
      <c r="D40" s="184"/>
      <c r="E40" s="184">
        <v>0</v>
      </c>
      <c r="F40" s="202"/>
      <c r="G40" s="186"/>
      <c r="H40" s="182"/>
      <c r="I40" s="186"/>
      <c r="J40" s="13"/>
      <c r="K40" s="60"/>
      <c r="L40" s="60"/>
      <c r="M40" s="29"/>
      <c r="N40" s="29"/>
      <c r="O40" s="29"/>
      <c r="P40" s="11"/>
      <c r="Q40" s="11"/>
      <c r="R40" s="11"/>
      <c r="S40" s="11"/>
      <c r="T40" s="11"/>
      <c r="U40" s="14"/>
      <c r="V40" s="14"/>
    </row>
    <row r="41" spans="1:22" ht="31.9" customHeight="1" x14ac:dyDescent="0.25">
      <c r="A41" s="222"/>
      <c r="B41" s="226" t="s">
        <v>139</v>
      </c>
      <c r="C41" s="233" t="s">
        <v>140</v>
      </c>
      <c r="D41" s="188"/>
      <c r="E41" s="188">
        <v>24.1</v>
      </c>
      <c r="F41" s="202"/>
      <c r="G41" s="186"/>
      <c r="H41" s="182">
        <f t="shared" si="2"/>
        <v>0</v>
      </c>
      <c r="I41" s="186"/>
      <c r="J41" s="13"/>
      <c r="K41" s="60"/>
      <c r="L41" s="60"/>
      <c r="M41" s="29"/>
      <c r="N41" s="29"/>
      <c r="O41" s="29"/>
      <c r="P41" s="11"/>
      <c r="Q41" s="11"/>
      <c r="R41" s="11"/>
      <c r="S41" s="11"/>
      <c r="T41" s="11"/>
      <c r="U41" s="14"/>
      <c r="V41" s="14"/>
    </row>
    <row r="42" spans="1:22" ht="31.9" customHeight="1" x14ac:dyDescent="0.25">
      <c r="A42" s="222"/>
      <c r="B42" s="226" t="s">
        <v>141</v>
      </c>
      <c r="C42" s="233" t="s">
        <v>15</v>
      </c>
      <c r="D42" s="188"/>
      <c r="E42" s="188">
        <f>E40*E41/10</f>
        <v>0</v>
      </c>
      <c r="F42" s="188">
        <f t="shared" ref="F42:G42" si="19">F40*F41/10</f>
        <v>0</v>
      </c>
      <c r="G42" s="188">
        <f t="shared" si="19"/>
        <v>0</v>
      </c>
      <c r="H42" s="182"/>
      <c r="I42" s="186"/>
      <c r="J42" s="13"/>
      <c r="K42" s="60"/>
      <c r="L42" s="60"/>
      <c r="M42" s="29"/>
      <c r="N42" s="29"/>
      <c r="O42" s="29"/>
      <c r="P42" s="11"/>
      <c r="Q42" s="11"/>
      <c r="R42" s="11"/>
      <c r="S42" s="11"/>
      <c r="T42" s="11"/>
      <c r="U42" s="14"/>
      <c r="V42" s="14"/>
    </row>
    <row r="43" spans="1:22" ht="31.9" customHeight="1" x14ac:dyDescent="0.25">
      <c r="A43" s="290">
        <v>4</v>
      </c>
      <c r="B43" s="225" t="s">
        <v>163</v>
      </c>
      <c r="C43" s="2" t="s">
        <v>4</v>
      </c>
      <c r="D43" s="182">
        <v>0.5</v>
      </c>
      <c r="E43" s="182">
        <v>0.5</v>
      </c>
      <c r="F43" s="181">
        <v>0.27</v>
      </c>
      <c r="G43" s="181">
        <f>F43</f>
        <v>0.27</v>
      </c>
      <c r="H43" s="182">
        <f t="shared" si="2"/>
        <v>54</v>
      </c>
      <c r="I43" s="181"/>
      <c r="J43" s="19"/>
      <c r="K43" s="26"/>
      <c r="L43" s="26"/>
      <c r="M43" s="26"/>
      <c r="N43" s="26"/>
      <c r="O43" s="26"/>
      <c r="P43" s="30"/>
      <c r="Q43" s="30"/>
      <c r="R43" s="30"/>
      <c r="S43" s="30"/>
      <c r="T43" s="30"/>
    </row>
    <row r="44" spans="1:22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2">
        <f t="shared" si="2"/>
        <v>0</v>
      </c>
      <c r="I44" s="186"/>
      <c r="J44" s="19"/>
      <c r="K44" s="26"/>
      <c r="L44" s="105"/>
      <c r="M44" s="105"/>
      <c r="N44" s="105"/>
      <c r="O44" s="105"/>
      <c r="P44" s="30"/>
      <c r="Q44" s="30"/>
      <c r="R44" s="30"/>
      <c r="S44" s="30"/>
      <c r="T44" s="30"/>
    </row>
    <row r="45" spans="1:22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20">F43*F44/10</f>
        <v>0</v>
      </c>
      <c r="G45" s="186">
        <f t="shared" si="20"/>
        <v>0</v>
      </c>
      <c r="H45" s="182">
        <f t="shared" si="2"/>
        <v>0</v>
      </c>
      <c r="I45" s="186"/>
      <c r="J45" s="19"/>
      <c r="K45" s="106"/>
      <c r="L45" s="47"/>
      <c r="M45" s="47"/>
      <c r="N45" s="47"/>
      <c r="O45" s="30"/>
      <c r="P45" s="30"/>
      <c r="Q45" s="30"/>
      <c r="R45" s="30"/>
      <c r="S45" s="30"/>
      <c r="T45" s="30"/>
    </row>
    <row r="46" spans="1:22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40.1</v>
      </c>
      <c r="E46" s="181">
        <f t="shared" ref="E46:G46" si="21">E47+E55+E64</f>
        <v>49</v>
      </c>
      <c r="F46" s="181">
        <f t="shared" si="21"/>
        <v>41</v>
      </c>
      <c r="G46" s="181">
        <f t="shared" si="21"/>
        <v>40.4</v>
      </c>
      <c r="H46" s="182">
        <f t="shared" si="2"/>
        <v>83.673469387755105</v>
      </c>
      <c r="I46" s="181"/>
      <c r="J46" s="19"/>
      <c r="K46" s="47"/>
      <c r="L46" s="47"/>
      <c r="M46" s="47"/>
      <c r="N46" s="47"/>
      <c r="O46" s="30"/>
      <c r="P46" s="30"/>
      <c r="Q46" s="30"/>
      <c r="R46" s="30"/>
      <c r="S46" s="30"/>
      <c r="T46" s="30"/>
    </row>
    <row r="47" spans="1:22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35.6</v>
      </c>
      <c r="E47" s="181">
        <f t="shared" ref="E47:G47" si="22">E48+E49</f>
        <v>43.6</v>
      </c>
      <c r="F47" s="181">
        <f t="shared" si="22"/>
        <v>36.200000000000003</v>
      </c>
      <c r="G47" s="181">
        <f t="shared" si="22"/>
        <v>35.6</v>
      </c>
      <c r="H47" s="182">
        <f t="shared" si="2"/>
        <v>83.027522935779814</v>
      </c>
      <c r="I47" s="181"/>
      <c r="J47" s="19"/>
      <c r="K47" s="47"/>
      <c r="L47" s="47"/>
      <c r="M47" s="47"/>
      <c r="N47" s="47"/>
      <c r="O47" s="30"/>
      <c r="P47" s="30"/>
      <c r="Q47" s="30"/>
      <c r="R47" s="30"/>
      <c r="S47" s="30"/>
      <c r="T47" s="30"/>
    </row>
    <row r="48" spans="1:22" ht="31.9" customHeight="1" x14ac:dyDescent="0.25">
      <c r="A48" s="5" t="s">
        <v>22</v>
      </c>
      <c r="B48" s="273" t="s">
        <v>117</v>
      </c>
      <c r="C48" s="274" t="s">
        <v>4</v>
      </c>
      <c r="D48" s="186">
        <v>20.7</v>
      </c>
      <c r="E48" s="186">
        <f>D48+D49</f>
        <v>35.6</v>
      </c>
      <c r="F48" s="186">
        <v>35.6</v>
      </c>
      <c r="G48" s="186">
        <v>35.6</v>
      </c>
      <c r="H48" s="182">
        <f t="shared" si="2"/>
        <v>100</v>
      </c>
      <c r="I48" s="186"/>
      <c r="J48" s="13"/>
      <c r="K48" s="8"/>
      <c r="L48" s="8"/>
      <c r="M48" s="8"/>
      <c r="N48" s="8"/>
      <c r="O48" s="11"/>
      <c r="P48" s="30"/>
      <c r="Q48" s="30"/>
      <c r="R48" s="30"/>
      <c r="S48" s="30"/>
      <c r="T48" s="30"/>
    </row>
    <row r="49" spans="1:20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14.9</v>
      </c>
      <c r="E49" s="181">
        <f t="shared" ref="E49:G49" si="23">E50+E51</f>
        <v>8</v>
      </c>
      <c r="F49" s="181">
        <f t="shared" si="23"/>
        <v>0.6</v>
      </c>
      <c r="G49" s="181">
        <f t="shared" si="23"/>
        <v>0</v>
      </c>
      <c r="H49" s="182">
        <f t="shared" si="2"/>
        <v>7.5</v>
      </c>
      <c r="I49" s="181"/>
      <c r="J49" s="103"/>
      <c r="K49" s="118"/>
      <c r="L49" s="118"/>
      <c r="M49" s="118"/>
      <c r="N49" s="118"/>
      <c r="O49" s="35"/>
      <c r="P49" s="35"/>
      <c r="Q49" s="35"/>
      <c r="R49" s="35"/>
      <c r="S49" s="35"/>
      <c r="T49" s="35"/>
    </row>
    <row r="50" spans="1:20" ht="31.9" customHeight="1" x14ac:dyDescent="0.25">
      <c r="A50" s="274" t="s">
        <v>16</v>
      </c>
      <c r="B50" s="276" t="s">
        <v>115</v>
      </c>
      <c r="C50" s="274" t="s">
        <v>4</v>
      </c>
      <c r="D50" s="186">
        <v>14.9</v>
      </c>
      <c r="E50" s="186">
        <v>8</v>
      </c>
      <c r="F50" s="186">
        <v>0.6</v>
      </c>
      <c r="G50" s="186">
        <v>0</v>
      </c>
      <c r="H50" s="182">
        <f t="shared" si="2"/>
        <v>7.5</v>
      </c>
      <c r="I50" s="186"/>
      <c r="J50" s="104"/>
      <c r="K50" s="47"/>
      <c r="L50" s="47"/>
      <c r="M50" s="47"/>
      <c r="N50" s="47"/>
      <c r="O50" s="30"/>
      <c r="P50" s="30"/>
      <c r="Q50" s="30"/>
      <c r="R50" s="30"/>
      <c r="S50" s="30"/>
      <c r="T50" s="30"/>
    </row>
    <row r="51" spans="1:20" ht="31.9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2"/>
      <c r="I51" s="186"/>
      <c r="J51" s="19"/>
      <c r="K51" s="47"/>
      <c r="L51" s="47"/>
      <c r="M51" s="47"/>
      <c r="N51" s="47"/>
      <c r="O51" s="30"/>
      <c r="P51" s="30"/>
      <c r="Q51" s="30"/>
      <c r="R51" s="30"/>
      <c r="S51" s="30"/>
      <c r="T51" s="30"/>
    </row>
    <row r="52" spans="1:20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11.46</v>
      </c>
      <c r="E52" s="181">
        <f t="shared" ref="E52:G52" si="24">E53+E54</f>
        <v>17.594999999999999</v>
      </c>
      <c r="F52" s="181">
        <f t="shared" si="24"/>
        <v>17.600000000000001</v>
      </c>
      <c r="G52" s="181">
        <f t="shared" si="24"/>
        <v>17.600000000000001</v>
      </c>
      <c r="H52" s="182">
        <f t="shared" si="2"/>
        <v>100.02841716396705</v>
      </c>
      <c r="I52" s="181"/>
      <c r="J52" s="103"/>
      <c r="K52" s="118"/>
      <c r="L52" s="118"/>
      <c r="M52" s="118"/>
      <c r="N52" s="118"/>
      <c r="O52" s="35"/>
      <c r="P52" s="35"/>
      <c r="Q52" s="35"/>
      <c r="R52" s="35"/>
      <c r="S52" s="35"/>
      <c r="T52" s="35"/>
    </row>
    <row r="53" spans="1:20" ht="31.9" customHeight="1" x14ac:dyDescent="0.25">
      <c r="A53" s="277" t="s">
        <v>16</v>
      </c>
      <c r="B53" s="276" t="s">
        <v>119</v>
      </c>
      <c r="C53" s="4" t="s">
        <v>4</v>
      </c>
      <c r="D53" s="186">
        <f>13.46-5</f>
        <v>8.4600000000000009</v>
      </c>
      <c r="E53" s="186">
        <f>D48*85%</f>
        <v>17.594999999999999</v>
      </c>
      <c r="F53" s="186">
        <v>17.600000000000001</v>
      </c>
      <c r="G53" s="186">
        <v>17.600000000000001</v>
      </c>
      <c r="H53" s="218">
        <f t="shared" si="2"/>
        <v>100.02841716396705</v>
      </c>
      <c r="I53" s="186"/>
      <c r="J53" s="19"/>
      <c r="K53" s="47"/>
      <c r="L53" s="47"/>
      <c r="M53" s="106"/>
      <c r="N53" s="47"/>
      <c r="O53" s="30"/>
      <c r="P53" s="30"/>
      <c r="Q53" s="30"/>
      <c r="R53" s="30"/>
      <c r="S53" s="30"/>
      <c r="T53" s="30"/>
    </row>
    <row r="54" spans="1:20" ht="31.9" customHeight="1" x14ac:dyDescent="0.25">
      <c r="A54" s="4"/>
      <c r="B54" s="276" t="s">
        <v>120</v>
      </c>
      <c r="C54" s="4" t="s">
        <v>4</v>
      </c>
      <c r="D54" s="186">
        <v>3</v>
      </c>
      <c r="E54" s="186"/>
      <c r="F54" s="186"/>
      <c r="G54" s="186"/>
      <c r="H54" s="218"/>
      <c r="I54" s="186"/>
      <c r="J54" s="19"/>
      <c r="K54" s="47"/>
      <c r="L54" s="47"/>
      <c r="M54" s="47"/>
      <c r="N54" s="47"/>
      <c r="O54" s="30"/>
      <c r="P54" s="30"/>
      <c r="Q54" s="30"/>
      <c r="R54" s="30"/>
      <c r="S54" s="30"/>
      <c r="T54" s="30"/>
    </row>
    <row r="55" spans="1:20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 t="shared" ref="E55:G55" si="25">E56+E57</f>
        <v>5.4</v>
      </c>
      <c r="F55" s="181">
        <f t="shared" si="25"/>
        <v>4.8</v>
      </c>
      <c r="G55" s="181">
        <f t="shared" si="25"/>
        <v>4.8</v>
      </c>
      <c r="H55" s="182">
        <f t="shared" si="2"/>
        <v>88.888888888888886</v>
      </c>
      <c r="I55" s="181"/>
      <c r="J55" s="19"/>
      <c r="K55" s="47"/>
      <c r="L55" s="47"/>
      <c r="M55" s="47"/>
      <c r="N55" s="47"/>
      <c r="O55" s="30"/>
      <c r="P55" s="30"/>
      <c r="Q55" s="30"/>
      <c r="R55" s="30"/>
      <c r="S55" s="30"/>
      <c r="T55" s="30"/>
    </row>
    <row r="56" spans="1:20" ht="31.9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v>4.8</v>
      </c>
      <c r="G56" s="186">
        <v>4.8</v>
      </c>
      <c r="H56" s="218">
        <f t="shared" si="2"/>
        <v>100</v>
      </c>
      <c r="I56" s="186"/>
      <c r="J56" s="19"/>
      <c r="K56" s="47"/>
      <c r="L56" s="47"/>
      <c r="M56" s="47"/>
      <c r="N56" s="47"/>
      <c r="O56" s="30"/>
      <c r="P56" s="30"/>
      <c r="Q56" s="30"/>
      <c r="R56" s="30"/>
      <c r="S56" s="30"/>
      <c r="T56" s="30"/>
    </row>
    <row r="57" spans="1:20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6">E58+E61</f>
        <v>0.60000000000000009</v>
      </c>
      <c r="F57" s="186">
        <f t="shared" si="26"/>
        <v>0</v>
      </c>
      <c r="G57" s="186">
        <f t="shared" si="26"/>
        <v>0</v>
      </c>
      <c r="H57" s="182">
        <f t="shared" si="2"/>
        <v>0</v>
      </c>
      <c r="I57" s="186"/>
      <c r="J57" s="19"/>
      <c r="K57" s="47"/>
      <c r="L57" s="47"/>
      <c r="M57" s="47"/>
      <c r="N57" s="47"/>
      <c r="O57" s="30"/>
      <c r="P57" s="30"/>
      <c r="Q57" s="30"/>
      <c r="R57" s="30"/>
      <c r="S57" s="30"/>
      <c r="T57" s="30"/>
    </row>
    <row r="58" spans="1:20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7">E59+E60</f>
        <v>0.30000000000000004</v>
      </c>
      <c r="F58" s="189">
        <f t="shared" si="27"/>
        <v>0</v>
      </c>
      <c r="G58" s="189">
        <f t="shared" si="27"/>
        <v>0</v>
      </c>
      <c r="H58" s="182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  <c r="R58" s="48"/>
      <c r="S58" s="48"/>
      <c r="T58" s="48"/>
    </row>
    <row r="59" spans="1:20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2">
        <f t="shared" si="2"/>
        <v>0</v>
      </c>
      <c r="I59" s="186"/>
      <c r="J59" s="104"/>
      <c r="K59" s="6"/>
      <c r="L59" s="6"/>
      <c r="M59" s="6"/>
      <c r="N59" s="6"/>
      <c r="O59" s="6"/>
      <c r="P59" s="30"/>
      <c r="Q59" s="30"/>
      <c r="R59" s="30"/>
      <c r="S59" s="30"/>
      <c r="T59" s="30"/>
    </row>
    <row r="60" spans="1:20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2">
        <f t="shared" si="2"/>
        <v>0</v>
      </c>
      <c r="I60" s="186"/>
      <c r="J60" s="104"/>
      <c r="K60" s="6"/>
      <c r="L60" s="6"/>
      <c r="M60" s="6"/>
      <c r="N60" s="6"/>
      <c r="O60" s="6"/>
      <c r="P60" s="30"/>
      <c r="Q60" s="30"/>
      <c r="R60" s="30"/>
      <c r="S60" s="30"/>
      <c r="T60" s="30"/>
    </row>
    <row r="61" spans="1:20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8">E62+E63</f>
        <v>0.30000000000000004</v>
      </c>
      <c r="F61" s="189">
        <f t="shared" si="28"/>
        <v>0</v>
      </c>
      <c r="G61" s="189">
        <f t="shared" si="28"/>
        <v>0</v>
      </c>
      <c r="H61" s="182">
        <f t="shared" si="2"/>
        <v>0</v>
      </c>
      <c r="I61" s="189"/>
      <c r="J61" s="104"/>
      <c r="K61" s="34"/>
      <c r="L61" s="108"/>
      <c r="M61" s="108"/>
      <c r="N61" s="108"/>
      <c r="O61" s="48"/>
      <c r="P61" s="48"/>
      <c r="Q61" s="48"/>
      <c r="R61" s="48"/>
      <c r="S61" s="48"/>
      <c r="T61" s="48"/>
    </row>
    <row r="62" spans="1:20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0.2</v>
      </c>
      <c r="F62" s="186">
        <v>0</v>
      </c>
      <c r="G62" s="186">
        <v>0</v>
      </c>
      <c r="H62" s="182">
        <f t="shared" si="2"/>
        <v>0</v>
      </c>
      <c r="I62" s="186"/>
      <c r="J62" s="104"/>
      <c r="K62" s="6"/>
      <c r="L62" s="6"/>
      <c r="M62" s="6"/>
      <c r="N62" s="6"/>
      <c r="O62" s="6"/>
      <c r="P62" s="30"/>
      <c r="Q62" s="30"/>
      <c r="R62" s="30"/>
      <c r="S62" s="30"/>
      <c r="T62" s="30"/>
    </row>
    <row r="63" spans="1:20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2">
        <f t="shared" si="2"/>
        <v>0</v>
      </c>
      <c r="I63" s="186"/>
      <c r="J63" s="104"/>
      <c r="K63" s="6"/>
      <c r="L63" s="6"/>
      <c r="M63" s="6"/>
      <c r="N63" s="6"/>
      <c r="O63" s="6"/>
      <c r="P63" s="30"/>
      <c r="Q63" s="30"/>
      <c r="R63" s="30"/>
      <c r="S63" s="30"/>
      <c r="T63" s="30"/>
    </row>
    <row r="64" spans="1:20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9">E65+E66</f>
        <v>0</v>
      </c>
      <c r="F64" s="181">
        <f t="shared" si="29"/>
        <v>0</v>
      </c>
      <c r="G64" s="181">
        <f t="shared" si="29"/>
        <v>0</v>
      </c>
      <c r="H64" s="182"/>
      <c r="I64" s="181"/>
      <c r="J64" s="19"/>
      <c r="K64" s="47"/>
      <c r="L64" s="47"/>
      <c r="M64" s="47"/>
      <c r="N64" s="47"/>
      <c r="O64" s="30"/>
      <c r="P64" s="30"/>
      <c r="Q64" s="30"/>
      <c r="R64" s="30"/>
      <c r="S64" s="30"/>
      <c r="T64" s="30"/>
    </row>
    <row r="65" spans="1:20" ht="31.9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2"/>
      <c r="I65" s="186"/>
      <c r="J65" s="19"/>
      <c r="K65" s="47"/>
      <c r="L65" s="47"/>
      <c r="M65" s="47"/>
      <c r="N65" s="47"/>
      <c r="O65" s="30"/>
      <c r="P65" s="30"/>
      <c r="Q65" s="30"/>
      <c r="R65" s="30"/>
      <c r="S65" s="30"/>
      <c r="T65" s="30"/>
    </row>
    <row r="66" spans="1:20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2"/>
      <c r="I66" s="186"/>
      <c r="J66" s="19"/>
      <c r="K66" s="47"/>
      <c r="L66" s="47"/>
      <c r="M66" s="47"/>
      <c r="N66" s="47"/>
      <c r="O66" s="30"/>
      <c r="P66" s="30"/>
      <c r="Q66" s="30"/>
      <c r="R66" s="30"/>
      <c r="S66" s="30"/>
      <c r="T66" s="30"/>
    </row>
    <row r="67" spans="1:20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24.11</v>
      </c>
      <c r="E67" s="181">
        <f t="shared" ref="E67:G67" si="30">E68+E71</f>
        <v>19.279999999999998</v>
      </c>
      <c r="F67" s="181">
        <f t="shared" si="30"/>
        <v>19.04</v>
      </c>
      <c r="G67" s="181">
        <f t="shared" si="30"/>
        <v>19.04</v>
      </c>
      <c r="H67" s="182">
        <f t="shared" si="2"/>
        <v>98.755186721991706</v>
      </c>
      <c r="I67" s="181"/>
      <c r="J67" s="19"/>
      <c r="K67" s="47"/>
      <c r="L67" s="47"/>
      <c r="M67" s="47"/>
      <c r="N67" s="47"/>
      <c r="O67" s="30"/>
      <c r="P67" s="30"/>
      <c r="Q67" s="30"/>
      <c r="R67" s="30"/>
      <c r="S67" s="30"/>
      <c r="T67" s="30"/>
    </row>
    <row r="68" spans="1:20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1">E69+E70</f>
        <v>0</v>
      </c>
      <c r="F68" s="181">
        <f t="shared" si="31"/>
        <v>0</v>
      </c>
      <c r="G68" s="181">
        <f t="shared" si="31"/>
        <v>0</v>
      </c>
      <c r="H68" s="182"/>
      <c r="I68" s="181"/>
      <c r="J68" s="19"/>
      <c r="K68" s="47"/>
      <c r="L68" s="47"/>
      <c r="M68" s="47"/>
      <c r="N68" s="47"/>
      <c r="O68" s="30"/>
      <c r="P68" s="30"/>
      <c r="Q68" s="30"/>
      <c r="R68" s="30"/>
      <c r="S68" s="30"/>
      <c r="T68" s="30"/>
    </row>
    <row r="69" spans="1:20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2"/>
      <c r="I69" s="186"/>
      <c r="J69" s="19"/>
      <c r="K69" s="47"/>
      <c r="L69" s="47"/>
      <c r="M69" s="47"/>
      <c r="N69" s="47"/>
      <c r="O69" s="30"/>
      <c r="P69" s="30"/>
      <c r="Q69" s="30"/>
      <c r="R69" s="30"/>
      <c r="S69" s="30"/>
      <c r="T69" s="30"/>
    </row>
    <row r="70" spans="1:20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>
        <v>0</v>
      </c>
      <c r="F70" s="186"/>
      <c r="G70" s="186"/>
      <c r="H70" s="182"/>
      <c r="I70" s="186"/>
      <c r="J70" s="19"/>
      <c r="K70" s="8"/>
      <c r="L70" s="8"/>
      <c r="M70" s="135"/>
      <c r="N70" s="47"/>
      <c r="O70" s="30"/>
      <c r="P70" s="30"/>
      <c r="Q70" s="30"/>
      <c r="R70" s="30"/>
      <c r="S70" s="30"/>
      <c r="T70" s="30"/>
    </row>
    <row r="71" spans="1:20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24.11</v>
      </c>
      <c r="E71" s="181">
        <f t="shared" ref="E71:G71" si="32">E72+E73</f>
        <v>19.279999999999998</v>
      </c>
      <c r="F71" s="181">
        <f t="shared" si="32"/>
        <v>19.04</v>
      </c>
      <c r="G71" s="181">
        <f t="shared" si="32"/>
        <v>19.04</v>
      </c>
      <c r="H71" s="182">
        <f t="shared" si="2"/>
        <v>98.755186721991706</v>
      </c>
      <c r="I71" s="181"/>
      <c r="J71" s="19"/>
      <c r="K71" s="47"/>
      <c r="L71" s="47"/>
      <c r="M71" s="47"/>
      <c r="N71" s="47"/>
      <c r="O71" s="30"/>
      <c r="P71" s="30"/>
      <c r="Q71" s="30"/>
      <c r="R71" s="30"/>
      <c r="S71" s="30"/>
      <c r="T71" s="30"/>
    </row>
    <row r="72" spans="1:20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23.11</v>
      </c>
      <c r="E72" s="192">
        <f t="shared" ref="E72:G73" si="33">E75+E82</f>
        <v>19.04</v>
      </c>
      <c r="F72" s="192">
        <f t="shared" si="33"/>
        <v>19.04</v>
      </c>
      <c r="G72" s="192">
        <f t="shared" si="33"/>
        <v>19.04</v>
      </c>
      <c r="H72" s="182">
        <f t="shared" si="2"/>
        <v>100</v>
      </c>
      <c r="I72" s="192"/>
      <c r="J72" s="19"/>
      <c r="K72" s="47"/>
      <c r="L72" s="47"/>
      <c r="M72" s="47"/>
      <c r="N72" s="47"/>
      <c r="O72" s="30"/>
      <c r="P72" s="30"/>
      <c r="Q72" s="30"/>
      <c r="R72" s="30"/>
      <c r="S72" s="30"/>
      <c r="T72" s="30"/>
    </row>
    <row r="73" spans="1:20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1</v>
      </c>
      <c r="E73" s="181">
        <f t="shared" si="33"/>
        <v>0.24</v>
      </c>
      <c r="F73" s="181">
        <f t="shared" si="33"/>
        <v>0</v>
      </c>
      <c r="G73" s="181">
        <f t="shared" si="33"/>
        <v>0</v>
      </c>
      <c r="H73" s="182">
        <f t="shared" si="2"/>
        <v>0</v>
      </c>
      <c r="I73" s="181"/>
      <c r="J73" s="103"/>
      <c r="K73" s="118"/>
      <c r="L73" s="118"/>
      <c r="M73" s="118"/>
      <c r="N73" s="118"/>
      <c r="O73" s="30"/>
      <c r="P73" s="30"/>
      <c r="Q73" s="30"/>
      <c r="R73" s="30"/>
      <c r="S73" s="30"/>
      <c r="T73" s="30"/>
    </row>
    <row r="74" spans="1:20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18.04</v>
      </c>
      <c r="E74" s="194">
        <f t="shared" ref="E74:G74" si="34">E75+E76</f>
        <v>18.04</v>
      </c>
      <c r="F74" s="194">
        <f t="shared" si="34"/>
        <v>18.04</v>
      </c>
      <c r="G74" s="194">
        <f t="shared" si="34"/>
        <v>18.04</v>
      </c>
      <c r="H74" s="219">
        <f t="shared" ref="H74:H93" si="35">F74/E74*100</f>
        <v>100</v>
      </c>
      <c r="I74" s="194"/>
      <c r="J74" s="36"/>
      <c r="K74" s="119"/>
      <c r="L74" s="42"/>
      <c r="M74" s="42"/>
      <c r="N74" s="42"/>
      <c r="O74" s="42"/>
      <c r="P74" s="42"/>
      <c r="Q74" s="42"/>
      <c r="R74" s="39"/>
      <c r="S74" s="30"/>
      <c r="T74" s="30"/>
    </row>
    <row r="75" spans="1:20" ht="31.9" customHeight="1" x14ac:dyDescent="0.25">
      <c r="A75" s="5" t="s">
        <v>22</v>
      </c>
      <c r="B75" s="281" t="s">
        <v>117</v>
      </c>
      <c r="C75" s="4" t="s">
        <v>4</v>
      </c>
      <c r="D75" s="196">
        <f>14.04+4</f>
        <v>18.04</v>
      </c>
      <c r="E75" s="196">
        <f>D75+D76</f>
        <v>18.04</v>
      </c>
      <c r="F75" s="196">
        <v>18.04</v>
      </c>
      <c r="G75" s="196">
        <v>18.04</v>
      </c>
      <c r="H75" s="218">
        <f t="shared" si="35"/>
        <v>100</v>
      </c>
      <c r="I75" s="186"/>
      <c r="J75" s="19"/>
      <c r="K75" s="47"/>
      <c r="L75" s="24"/>
      <c r="M75" s="24"/>
      <c r="N75" s="24"/>
      <c r="O75" s="39"/>
      <c r="P75" s="39"/>
      <c r="Q75" s="39"/>
      <c r="R75" s="39"/>
      <c r="S75" s="30"/>
      <c r="T75" s="30"/>
    </row>
    <row r="76" spans="1:20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>SUM(E77:E80)</f>
        <v>0</v>
      </c>
      <c r="F76" s="197">
        <f t="shared" ref="F76:G76" si="36">SUM(F77:F80)</f>
        <v>0</v>
      </c>
      <c r="G76" s="197">
        <f t="shared" si="36"/>
        <v>0</v>
      </c>
      <c r="H76" s="182"/>
      <c r="I76" s="197"/>
      <c r="J76" s="107"/>
      <c r="K76" s="108"/>
      <c r="L76" s="34"/>
      <c r="M76" s="34"/>
      <c r="N76" s="34"/>
      <c r="O76" s="39"/>
      <c r="P76" s="39"/>
      <c r="Q76" s="39"/>
      <c r="R76" s="39"/>
      <c r="S76" s="30"/>
      <c r="T76" s="30"/>
    </row>
    <row r="77" spans="1:20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/>
      <c r="F77" s="186"/>
      <c r="G77" s="186"/>
      <c r="H77" s="218"/>
      <c r="I77" s="186"/>
      <c r="J77" s="107"/>
      <c r="K77" s="108"/>
      <c r="L77" s="34"/>
      <c r="M77" s="120"/>
      <c r="N77" s="120"/>
      <c r="O77" s="39"/>
      <c r="P77" s="49"/>
      <c r="Q77" s="49"/>
      <c r="R77" s="39"/>
      <c r="S77" s="30"/>
      <c r="T77" s="30"/>
    </row>
    <row r="78" spans="1:20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218"/>
      <c r="I78" s="186"/>
      <c r="J78" s="107"/>
      <c r="K78" s="108"/>
      <c r="L78" s="34"/>
      <c r="M78" s="34"/>
      <c r="N78" s="34"/>
      <c r="O78" s="39"/>
      <c r="P78" s="39"/>
      <c r="Q78" s="39"/>
      <c r="R78" s="39"/>
      <c r="S78" s="30"/>
      <c r="T78" s="30"/>
    </row>
    <row r="79" spans="1:20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218"/>
      <c r="I79" s="186"/>
      <c r="J79" s="107"/>
      <c r="K79" s="108"/>
      <c r="L79" s="34"/>
      <c r="M79" s="34"/>
      <c r="N79" s="34"/>
      <c r="O79" s="39"/>
      <c r="P79" s="39"/>
      <c r="Q79" s="39"/>
      <c r="R79" s="39"/>
      <c r="S79" s="30"/>
      <c r="T79" s="30"/>
    </row>
    <row r="80" spans="1:20" ht="31.9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218"/>
      <c r="I80" s="186"/>
      <c r="J80" s="107"/>
      <c r="K80" s="108"/>
      <c r="L80" s="34"/>
      <c r="M80" s="34"/>
      <c r="N80" s="34"/>
      <c r="O80" s="39"/>
      <c r="P80" s="39"/>
      <c r="Q80" s="39"/>
      <c r="R80" s="39"/>
      <c r="S80" s="30"/>
      <c r="T80" s="30"/>
    </row>
    <row r="81" spans="1:20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6.07</v>
      </c>
      <c r="E81" s="194">
        <f t="shared" ref="E81:G81" si="37">E82+E83</f>
        <v>1.24</v>
      </c>
      <c r="F81" s="194">
        <f t="shared" si="37"/>
        <v>1</v>
      </c>
      <c r="G81" s="194">
        <f t="shared" si="37"/>
        <v>1</v>
      </c>
      <c r="H81" s="182">
        <f t="shared" si="35"/>
        <v>80.645161290322591</v>
      </c>
      <c r="I81" s="194"/>
      <c r="J81" s="36"/>
      <c r="K81" s="119"/>
      <c r="L81" s="42"/>
      <c r="M81" s="42"/>
      <c r="N81" s="42"/>
      <c r="O81" s="42"/>
      <c r="P81" s="42"/>
      <c r="Q81" s="42"/>
      <c r="R81" s="136"/>
      <c r="S81" s="50"/>
      <c r="T81" s="50"/>
    </row>
    <row r="82" spans="1:20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5.07</v>
      </c>
      <c r="E82" s="189">
        <v>1</v>
      </c>
      <c r="F82" s="189">
        <v>1</v>
      </c>
      <c r="G82" s="189">
        <v>1</v>
      </c>
      <c r="H82" s="218">
        <f t="shared" si="35"/>
        <v>100</v>
      </c>
      <c r="I82" s="189"/>
      <c r="J82" s="107"/>
      <c r="K82" s="137"/>
      <c r="L82" s="34"/>
      <c r="M82" s="34"/>
      <c r="N82" s="34"/>
      <c r="O82" s="51"/>
      <c r="P82" s="51"/>
      <c r="Q82" s="51"/>
      <c r="R82" s="51"/>
      <c r="S82" s="48"/>
      <c r="T82" s="48"/>
    </row>
    <row r="83" spans="1:20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:G83" si="38">SUM(D84:D87)</f>
        <v>1</v>
      </c>
      <c r="E83" s="196">
        <f>SUM(E84:E87)</f>
        <v>0.24</v>
      </c>
      <c r="F83" s="196">
        <f t="shared" si="38"/>
        <v>0</v>
      </c>
      <c r="G83" s="196">
        <f t="shared" si="38"/>
        <v>0</v>
      </c>
      <c r="H83" s="182">
        <f t="shared" si="35"/>
        <v>0</v>
      </c>
      <c r="I83" s="196"/>
      <c r="J83" s="107"/>
      <c r="K83" s="108"/>
      <c r="L83" s="108"/>
      <c r="M83" s="108"/>
      <c r="N83" s="108"/>
      <c r="O83" s="30"/>
      <c r="P83" s="30"/>
      <c r="Q83" s="30"/>
      <c r="R83" s="30"/>
      <c r="S83" s="30"/>
      <c r="T83" s="30"/>
    </row>
    <row r="84" spans="1:20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2"/>
      <c r="I84" s="186"/>
      <c r="J84" s="109"/>
      <c r="K84" s="34"/>
      <c r="L84" s="34"/>
      <c r="M84" s="34"/>
      <c r="N84" s="34"/>
      <c r="O84" s="30"/>
      <c r="P84" s="30"/>
      <c r="Q84" s="30"/>
      <c r="R84" s="30"/>
      <c r="S84" s="30"/>
      <c r="T84" s="30"/>
    </row>
    <row r="85" spans="1:20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2"/>
      <c r="I85" s="186"/>
      <c r="J85" s="109"/>
      <c r="K85" s="34"/>
      <c r="L85" s="34"/>
      <c r="M85" s="34"/>
      <c r="N85" s="34"/>
      <c r="O85" s="30"/>
      <c r="P85" s="30"/>
      <c r="Q85" s="30"/>
      <c r="R85" s="30"/>
      <c r="S85" s="30"/>
      <c r="T85" s="30"/>
    </row>
    <row r="86" spans="1:20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2"/>
      <c r="I86" s="186"/>
      <c r="J86" s="109"/>
      <c r="K86" s="34"/>
      <c r="L86" s="34"/>
      <c r="M86" s="34"/>
      <c r="N86" s="39"/>
      <c r="O86" s="39"/>
      <c r="P86" s="39"/>
      <c r="Q86" s="39"/>
      <c r="R86" s="30"/>
      <c r="S86" s="30"/>
      <c r="T86" s="30"/>
    </row>
    <row r="87" spans="1:20" ht="31.9" customHeight="1" x14ac:dyDescent="0.25">
      <c r="A87" s="282" t="s">
        <v>16</v>
      </c>
      <c r="B87" s="283" t="s">
        <v>114</v>
      </c>
      <c r="C87" s="3" t="s">
        <v>4</v>
      </c>
      <c r="D87" s="186">
        <v>1</v>
      </c>
      <c r="E87" s="186">
        <v>0.24</v>
      </c>
      <c r="F87" s="186">
        <v>0</v>
      </c>
      <c r="G87" s="186">
        <v>0</v>
      </c>
      <c r="H87" s="182">
        <f t="shared" si="35"/>
        <v>0</v>
      </c>
      <c r="I87" s="186"/>
      <c r="J87" s="109"/>
      <c r="K87" s="34"/>
      <c r="L87" s="34"/>
      <c r="M87" s="120"/>
      <c r="N87" s="120"/>
      <c r="O87" s="49"/>
      <c r="P87" s="49"/>
      <c r="Q87" s="49"/>
      <c r="R87" s="49"/>
      <c r="S87" s="30"/>
      <c r="T87" s="30"/>
    </row>
    <row r="88" spans="1:20" ht="31.9" customHeight="1" x14ac:dyDescent="0.25">
      <c r="A88" s="2" t="s">
        <v>42</v>
      </c>
      <c r="B88" s="224" t="s">
        <v>43</v>
      </c>
      <c r="C88" s="2"/>
      <c r="D88" s="181">
        <f>SUM(D89:D93)</f>
        <v>567</v>
      </c>
      <c r="E88" s="181">
        <f t="shared" ref="E88:G88" si="39">SUM(E89:E93)</f>
        <v>548</v>
      </c>
      <c r="F88" s="181">
        <f>SUM(F89:F93)</f>
        <v>459</v>
      </c>
      <c r="G88" s="181">
        <f t="shared" si="39"/>
        <v>459</v>
      </c>
      <c r="H88" s="182">
        <f t="shared" si="35"/>
        <v>83.759124087591246</v>
      </c>
      <c r="I88" s="181"/>
      <c r="J88" s="20"/>
      <c r="K88" s="24"/>
      <c r="L88" s="28"/>
      <c r="M88" s="28"/>
      <c r="N88" s="24"/>
      <c r="O88" s="30"/>
      <c r="P88" s="30"/>
      <c r="Q88" s="30"/>
      <c r="R88" s="30"/>
      <c r="S88" s="30"/>
      <c r="T88" s="30"/>
    </row>
    <row r="89" spans="1:20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53</v>
      </c>
      <c r="E89" s="186">
        <f>95+51</f>
        <v>146</v>
      </c>
      <c r="F89" s="186">
        <v>144</v>
      </c>
      <c r="G89" s="186">
        <f>F89</f>
        <v>144</v>
      </c>
      <c r="H89" s="218">
        <f t="shared" si="35"/>
        <v>98.630136986301366</v>
      </c>
      <c r="I89" s="186"/>
      <c r="J89" s="112"/>
      <c r="K89" s="63"/>
      <c r="L89" s="208"/>
      <c r="M89" s="209"/>
      <c r="N89" s="121"/>
      <c r="O89" s="92"/>
      <c r="P89" s="92"/>
      <c r="Q89" s="92"/>
      <c r="R89" s="92"/>
      <c r="S89" s="92"/>
      <c r="T89" s="92"/>
    </row>
    <row r="90" spans="1:20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f>88-5</f>
        <v>83</v>
      </c>
      <c r="E90" s="186">
        <f>40+6</f>
        <v>46</v>
      </c>
      <c r="F90" s="186">
        <v>43</v>
      </c>
      <c r="G90" s="186">
        <f>F90</f>
        <v>43</v>
      </c>
      <c r="H90" s="218">
        <f t="shared" si="35"/>
        <v>93.478260869565219</v>
      </c>
      <c r="I90" s="186"/>
      <c r="J90" s="112"/>
      <c r="K90" s="63"/>
      <c r="L90" s="208"/>
      <c r="M90" s="209"/>
      <c r="N90" s="121"/>
      <c r="O90" s="92"/>
      <c r="P90" s="92"/>
      <c r="Q90" s="92"/>
      <c r="R90" s="92"/>
      <c r="S90" s="92"/>
      <c r="T90" s="92"/>
    </row>
    <row r="91" spans="1:20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f>50-5</f>
        <v>45</v>
      </c>
      <c r="E91" s="186">
        <f>20+6</f>
        <v>26</v>
      </c>
      <c r="F91" s="186">
        <v>22</v>
      </c>
      <c r="G91" s="186">
        <f>F91</f>
        <v>22</v>
      </c>
      <c r="H91" s="218">
        <f t="shared" si="35"/>
        <v>84.615384615384613</v>
      </c>
      <c r="I91" s="186"/>
      <c r="J91" s="112"/>
      <c r="K91" s="63"/>
      <c r="L91" s="208"/>
      <c r="M91" s="209"/>
      <c r="N91" s="121"/>
      <c r="O91" s="92"/>
      <c r="P91" s="92"/>
      <c r="Q91" s="92"/>
      <c r="R91" s="92"/>
      <c r="S91" s="92"/>
      <c r="T91" s="92"/>
    </row>
    <row r="92" spans="1:20" ht="31.9" customHeight="1" x14ac:dyDescent="0.25">
      <c r="A92" s="4">
        <v>4</v>
      </c>
      <c r="B92" s="227" t="s">
        <v>47</v>
      </c>
      <c r="C92" s="4" t="s">
        <v>6</v>
      </c>
      <c r="D92" s="186"/>
      <c r="E92" s="186">
        <v>0</v>
      </c>
      <c r="F92" s="186"/>
      <c r="G92" s="186"/>
      <c r="H92" s="182"/>
      <c r="I92" s="186"/>
      <c r="J92" s="20"/>
      <c r="K92" s="8"/>
      <c r="L92" s="210"/>
      <c r="M92" s="209"/>
      <c r="N92" s="24"/>
      <c r="O92" s="30"/>
      <c r="P92" s="30"/>
      <c r="Q92" s="30"/>
      <c r="R92" s="30"/>
      <c r="S92" s="30"/>
      <c r="T92" s="30"/>
    </row>
    <row r="93" spans="1:20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386</v>
      </c>
      <c r="E93" s="186">
        <f>365-35</f>
        <v>330</v>
      </c>
      <c r="F93" s="186">
        <v>250</v>
      </c>
      <c r="G93" s="186">
        <f>F93</f>
        <v>250</v>
      </c>
      <c r="H93" s="218">
        <f t="shared" si="35"/>
        <v>75.757575757575751</v>
      </c>
      <c r="I93" s="186"/>
      <c r="J93" s="157"/>
      <c r="K93" s="105"/>
      <c r="L93" s="210"/>
      <c r="M93" s="209"/>
      <c r="N93" s="121"/>
      <c r="O93" s="92"/>
      <c r="P93" s="92"/>
      <c r="Q93" s="92"/>
      <c r="R93" s="92"/>
      <c r="S93" s="92"/>
      <c r="T93" s="92"/>
    </row>
    <row r="94" spans="1:20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40">E95</f>
        <v>0</v>
      </c>
      <c r="F94" s="181">
        <f t="shared" si="40"/>
        <v>0</v>
      </c>
      <c r="G94" s="181">
        <f t="shared" si="40"/>
        <v>0</v>
      </c>
      <c r="H94" s="182"/>
      <c r="I94" s="181"/>
      <c r="J94" s="22"/>
      <c r="K94" s="21"/>
      <c r="L94" s="21"/>
      <c r="M94" s="21"/>
      <c r="N94" s="21"/>
      <c r="O94" s="35"/>
      <c r="P94" s="35"/>
      <c r="Q94" s="35"/>
      <c r="R94" s="35"/>
      <c r="S94" s="35"/>
      <c r="T94" s="35"/>
    </row>
    <row r="95" spans="1:20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2"/>
      <c r="I95" s="186"/>
      <c r="J95" s="104"/>
      <c r="K95" s="24"/>
      <c r="L95" s="24"/>
      <c r="M95" s="24"/>
      <c r="N95" s="24"/>
      <c r="O95" s="30"/>
      <c r="P95" s="30"/>
      <c r="Q95" s="30"/>
      <c r="R95" s="30"/>
      <c r="S95" s="30"/>
      <c r="T95" s="30"/>
    </row>
    <row r="96" spans="1:20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0</v>
      </c>
      <c r="E96" s="181">
        <f t="shared" ref="E96:G96" si="41">E97+E98</f>
        <v>0</v>
      </c>
      <c r="F96" s="181">
        <f t="shared" si="41"/>
        <v>0</v>
      </c>
      <c r="G96" s="181">
        <f t="shared" si="41"/>
        <v>0</v>
      </c>
      <c r="H96" s="182"/>
      <c r="I96" s="181"/>
      <c r="J96" s="20"/>
      <c r="K96" s="24"/>
      <c r="L96" s="24"/>
      <c r="M96" s="24"/>
      <c r="N96" s="24"/>
      <c r="O96" s="30"/>
      <c r="P96" s="30"/>
      <c r="Q96" s="30"/>
      <c r="R96" s="30"/>
      <c r="S96" s="30"/>
      <c r="T96" s="30"/>
    </row>
    <row r="97" spans="1:20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2"/>
      <c r="I97" s="186"/>
      <c r="J97" s="20"/>
      <c r="K97" s="24"/>
      <c r="L97" s="24"/>
      <c r="M97" s="24"/>
      <c r="N97" s="24"/>
      <c r="O97" s="30"/>
      <c r="P97" s="30"/>
      <c r="Q97" s="30"/>
      <c r="R97" s="30"/>
      <c r="S97" s="30"/>
      <c r="T97" s="30"/>
    </row>
    <row r="98" spans="1:20" ht="31.9" customHeight="1" x14ac:dyDescent="0.25">
      <c r="A98" s="285" t="s">
        <v>16</v>
      </c>
      <c r="B98" s="281" t="s">
        <v>54</v>
      </c>
      <c r="C98" s="3" t="s">
        <v>4</v>
      </c>
      <c r="D98" s="186"/>
      <c r="E98" s="186"/>
      <c r="F98" s="186"/>
      <c r="G98" s="186"/>
      <c r="H98" s="182"/>
      <c r="I98" s="186"/>
      <c r="J98" s="20"/>
      <c r="K98" s="24"/>
      <c r="L98" s="24"/>
      <c r="M98" s="24"/>
      <c r="N98" s="24"/>
      <c r="O98" s="30"/>
      <c r="P98" s="30"/>
      <c r="Q98" s="30"/>
      <c r="R98" s="30"/>
      <c r="S98" s="30"/>
      <c r="T98" s="30"/>
    </row>
    <row r="99" spans="1:20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47"/>
      <c r="L99" s="47"/>
      <c r="M99" s="47"/>
      <c r="N99" s="47"/>
      <c r="O99" s="30"/>
      <c r="P99" s="30"/>
      <c r="Q99" s="30"/>
      <c r="R99" s="30"/>
      <c r="S99" s="30"/>
      <c r="T99" s="30"/>
    </row>
    <row r="100" spans="1:20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47"/>
      <c r="L100" s="47"/>
      <c r="M100" s="47"/>
      <c r="N100" s="47"/>
      <c r="O100" s="30"/>
      <c r="P100" s="30"/>
      <c r="Q100" s="30"/>
      <c r="R100" s="30"/>
      <c r="S100" s="30"/>
      <c r="T100" s="30"/>
    </row>
    <row r="101" spans="1:20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47"/>
      <c r="L101" s="47"/>
      <c r="M101" s="47"/>
      <c r="N101" s="47"/>
      <c r="O101" s="30"/>
      <c r="P101" s="30"/>
      <c r="Q101" s="30"/>
      <c r="R101" s="30"/>
      <c r="S101" s="30"/>
      <c r="T101" s="30"/>
    </row>
    <row r="102" spans="1:20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47"/>
      <c r="L102" s="47"/>
      <c r="M102" s="47"/>
      <c r="N102" s="47"/>
      <c r="O102" s="30"/>
      <c r="P102" s="30"/>
      <c r="Q102" s="30"/>
      <c r="R102" s="30"/>
      <c r="S102" s="30"/>
      <c r="T102" s="30"/>
    </row>
    <row r="103" spans="1:20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47"/>
      <c r="L103" s="47"/>
      <c r="M103" s="47"/>
      <c r="N103" s="47"/>
      <c r="O103" s="30"/>
      <c r="P103" s="30"/>
      <c r="Q103" s="30"/>
      <c r="R103" s="30"/>
      <c r="S103" s="30"/>
      <c r="T103" s="30"/>
    </row>
    <row r="104" spans="1:20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47"/>
      <c r="L104" s="47"/>
      <c r="M104" s="47"/>
      <c r="N104" s="47"/>
      <c r="O104" s="30"/>
      <c r="P104" s="30"/>
      <c r="Q104" s="30"/>
      <c r="R104" s="30"/>
      <c r="S104" s="30"/>
      <c r="T104" s="30"/>
    </row>
    <row r="105" spans="1:20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47"/>
      <c r="L105" s="47"/>
      <c r="M105" s="47"/>
      <c r="N105" s="47"/>
      <c r="O105" s="30"/>
      <c r="P105" s="30"/>
      <c r="Q105" s="30"/>
      <c r="R105" s="30"/>
      <c r="S105" s="30"/>
      <c r="T105" s="30"/>
    </row>
    <row r="106" spans="1:20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47"/>
      <c r="L106" s="47"/>
      <c r="M106" s="47"/>
      <c r="N106" s="47"/>
      <c r="O106" s="30"/>
      <c r="P106" s="30"/>
      <c r="Q106" s="30"/>
      <c r="R106" s="30"/>
      <c r="S106" s="30"/>
      <c r="T106" s="30"/>
    </row>
    <row r="107" spans="1:20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47"/>
      <c r="L107" s="47"/>
      <c r="M107" s="47"/>
      <c r="N107" s="47"/>
      <c r="O107" s="30"/>
      <c r="P107" s="30"/>
      <c r="Q107" s="30"/>
      <c r="R107" s="30"/>
      <c r="S107" s="30"/>
      <c r="T107" s="30"/>
    </row>
    <row r="108" spans="1:20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47"/>
      <c r="L108" s="47"/>
      <c r="M108" s="47"/>
      <c r="N108" s="47"/>
      <c r="O108" s="30"/>
      <c r="P108" s="30"/>
      <c r="Q108" s="30"/>
      <c r="R108" s="30"/>
      <c r="S108" s="30"/>
      <c r="T108" s="30"/>
    </row>
    <row r="109" spans="1:20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20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20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20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I7:I8"/>
    <mergeCell ref="E7:H7"/>
    <mergeCell ref="A5:I5"/>
  </mergeCells>
  <pageMargins left="0.43307086614173229" right="0.35433070866141736" top="0.51181102362204722" bottom="0.43307086614173229" header="0" footer="0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6640625" style="220" customWidth="1"/>
    <col min="2" max="2" width="30.33203125" style="220" customWidth="1"/>
    <col min="3" max="3" width="9.77734375" style="220" customWidth="1"/>
    <col min="4" max="5" width="18.109375" style="220" customWidth="1"/>
    <col min="6" max="8" width="12.6640625" style="220" customWidth="1"/>
    <col min="9" max="9" width="11.21875" style="220" customWidth="1"/>
    <col min="10" max="10" width="8.88671875" style="17" customWidth="1"/>
    <col min="11" max="11" width="19.3320312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149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'TU CẤP(5)'!A5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38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143</v>
      </c>
      <c r="M8" s="19"/>
      <c r="N8" s="19"/>
    </row>
    <row r="9" spans="1:18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71.73</v>
      </c>
      <c r="E9" s="181">
        <f t="shared" ref="E9:G9" si="0">E13+E28+E37+E43+E46+E67</f>
        <v>75.790000000000006</v>
      </c>
      <c r="F9" s="181">
        <f t="shared" si="0"/>
        <v>59.64</v>
      </c>
      <c r="G9" s="181">
        <f t="shared" si="0"/>
        <v>59.54</v>
      </c>
      <c r="H9" s="181">
        <f>F9/E9*100</f>
        <v>78.691120200554153</v>
      </c>
      <c r="I9" s="181"/>
      <c r="J9" s="103"/>
      <c r="K9" s="103"/>
      <c r="L9" s="103"/>
      <c r="M9" s="103"/>
      <c r="N9" s="103"/>
    </row>
    <row r="10" spans="1:18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7.57</v>
      </c>
      <c r="F10" s="181">
        <f t="shared" si="1"/>
        <v>2.17</v>
      </c>
      <c r="G10" s="181">
        <f t="shared" si="1"/>
        <v>2.17</v>
      </c>
      <c r="H10" s="181">
        <f t="shared" ref="H10:H73" si="2">F10/E10*100</f>
        <v>28.66578599735799</v>
      </c>
      <c r="I10" s="181"/>
      <c r="J10" s="103"/>
      <c r="K10" s="103"/>
      <c r="L10" s="103"/>
      <c r="M10" s="103"/>
      <c r="N10" s="103"/>
    </row>
    <row r="11" spans="1:18" s="23" customFormat="1" ht="31.9" customHeight="1" x14ac:dyDescent="0.25">
      <c r="A11" s="2"/>
      <c r="B11" s="224" t="s">
        <v>14</v>
      </c>
      <c r="C11" s="2" t="s">
        <v>15</v>
      </c>
      <c r="D11" s="186">
        <f>D12+D30</f>
        <v>3.6850000000000001</v>
      </c>
      <c r="E11" s="186">
        <f t="shared" ref="E11:G11" si="3">E12+E30</f>
        <v>28.313100000000002</v>
      </c>
      <c r="F11" s="186">
        <f t="shared" si="3"/>
        <v>0</v>
      </c>
      <c r="G11" s="186">
        <f t="shared" si="3"/>
        <v>0</v>
      </c>
      <c r="H11" s="181">
        <f t="shared" si="2"/>
        <v>0</v>
      </c>
      <c r="I11" s="186"/>
      <c r="J11" s="103"/>
      <c r="K11" s="103"/>
      <c r="L11" s="103"/>
      <c r="M11" s="103"/>
      <c r="N11" s="103"/>
    </row>
    <row r="12" spans="1:18" s="23" customFormat="1" ht="31.9" customHeight="1" x14ac:dyDescent="0.25">
      <c r="A12" s="2"/>
      <c r="B12" s="225" t="s">
        <v>142</v>
      </c>
      <c r="C12" s="2" t="s">
        <v>15</v>
      </c>
      <c r="D12" s="186">
        <f>D15</f>
        <v>0</v>
      </c>
      <c r="E12" s="186">
        <f t="shared" ref="E12:G12" si="4">E15</f>
        <v>24.623100000000001</v>
      </c>
      <c r="F12" s="186">
        <f t="shared" si="4"/>
        <v>0</v>
      </c>
      <c r="G12" s="186">
        <f t="shared" si="4"/>
        <v>0</v>
      </c>
      <c r="H12" s="181">
        <f t="shared" si="2"/>
        <v>0</v>
      </c>
      <c r="I12" s="186"/>
      <c r="J12" s="103"/>
      <c r="K12" s="103"/>
      <c r="L12" s="103"/>
      <c r="M12" s="103"/>
      <c r="N12" s="103"/>
    </row>
    <row r="13" spans="1:18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6.57</v>
      </c>
      <c r="F13" s="181">
        <f t="shared" si="5"/>
        <v>1.17</v>
      </c>
      <c r="G13" s="181">
        <f t="shared" si="5"/>
        <v>1.17</v>
      </c>
      <c r="H13" s="181">
        <f t="shared" si="2"/>
        <v>17.80821917808219</v>
      </c>
      <c r="I13" s="181"/>
      <c r="J13" s="19"/>
      <c r="K13" s="133"/>
      <c r="L13" s="133"/>
      <c r="M13" s="133"/>
      <c r="N13" s="19"/>
    </row>
    <row r="14" spans="1:18" ht="31.9" customHeight="1" x14ac:dyDescent="0.25">
      <c r="A14" s="2"/>
      <c r="B14" s="227" t="s">
        <v>139</v>
      </c>
      <c r="C14" s="4" t="s">
        <v>140</v>
      </c>
      <c r="D14" s="186"/>
      <c r="E14" s="186">
        <f t="shared" ref="E14:G14" si="6">E15/E13*10</f>
        <v>37.478082191780821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9"/>
      <c r="M14" s="19"/>
      <c r="N14" s="19"/>
    </row>
    <row r="15" spans="1:18" ht="31.9" customHeight="1" x14ac:dyDescent="0.25">
      <c r="A15" s="2"/>
      <c r="B15" s="227" t="s">
        <v>141</v>
      </c>
      <c r="C15" s="4" t="s">
        <v>15</v>
      </c>
      <c r="D15" s="186">
        <f>D18+D21</f>
        <v>0</v>
      </c>
      <c r="E15" s="186">
        <f t="shared" ref="E15:G15" si="7">E18+E21</f>
        <v>24.623100000000001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9"/>
      <c r="M15" s="19"/>
      <c r="N15" s="19"/>
    </row>
    <row r="16" spans="1:18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1.17</v>
      </c>
      <c r="F16" s="181">
        <v>1.17</v>
      </c>
      <c r="G16" s="181">
        <v>1.17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1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/>
      <c r="G17" s="186">
        <v>0</v>
      </c>
      <c r="H17" s="181">
        <f t="shared" si="2"/>
        <v>0</v>
      </c>
      <c r="I17" s="186"/>
      <c r="J17" s="104"/>
      <c r="K17" s="104"/>
      <c r="L17" s="104"/>
      <c r="M17" s="104"/>
      <c r="N17" s="104"/>
      <c r="O17" s="27"/>
      <c r="P17" s="27"/>
      <c r="Q17" s="27"/>
      <c r="R17" s="27"/>
    </row>
    <row r="18" spans="1:21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3.9195000000000002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04"/>
      <c r="M18" s="104"/>
      <c r="N18" s="104"/>
      <c r="O18" s="27"/>
      <c r="P18" s="27"/>
      <c r="Q18" s="27"/>
      <c r="R18" s="27"/>
    </row>
    <row r="19" spans="1:21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5.4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113"/>
      <c r="O19" s="25"/>
      <c r="P19" s="25"/>
      <c r="Q19" s="25"/>
      <c r="R19" s="25"/>
      <c r="S19" s="25"/>
      <c r="T19" s="25"/>
      <c r="U19" s="25"/>
    </row>
    <row r="20" spans="1:21" ht="31.9" customHeight="1" x14ac:dyDescent="0.25">
      <c r="A20" s="269"/>
      <c r="B20" s="227" t="s">
        <v>139</v>
      </c>
      <c r="C20" s="4" t="s">
        <v>140</v>
      </c>
      <c r="D20" s="186"/>
      <c r="E20" s="186">
        <f t="shared" ref="E20" si="10">E21/E19*10</f>
        <v>38.340000000000003</v>
      </c>
      <c r="F20" s="186"/>
      <c r="G20" s="186">
        <v>0</v>
      </c>
      <c r="H20" s="181"/>
      <c r="I20" s="186"/>
      <c r="J20" s="20"/>
      <c r="K20" s="20"/>
      <c r="L20" s="20"/>
      <c r="M20" s="20"/>
      <c r="N20" s="113"/>
      <c r="O20" s="25"/>
      <c r="P20" s="25"/>
      <c r="Q20" s="25"/>
      <c r="R20" s="25"/>
      <c r="S20" s="25"/>
      <c r="T20" s="25"/>
      <c r="U20" s="25"/>
    </row>
    <row r="21" spans="1:21" ht="31.9" customHeight="1" x14ac:dyDescent="0.25">
      <c r="A21" s="269"/>
      <c r="B21" s="227" t="s">
        <v>141</v>
      </c>
      <c r="C21" s="4" t="s">
        <v>15</v>
      </c>
      <c r="D21" s="186">
        <f>D24+D27</f>
        <v>0</v>
      </c>
      <c r="E21" s="186">
        <f t="shared" ref="E21:G21" si="11">E24+E27</f>
        <v>20.703600000000002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20"/>
      <c r="M21" s="20"/>
      <c r="N21" s="113"/>
      <c r="O21" s="25"/>
      <c r="P21" s="25"/>
      <c r="Q21" s="25"/>
      <c r="R21" s="25"/>
      <c r="S21" s="25"/>
      <c r="T21" s="25"/>
      <c r="U21" s="25"/>
    </row>
    <row r="22" spans="1:21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5.4</v>
      </c>
      <c r="F22" s="186">
        <v>0</v>
      </c>
      <c r="G22" s="181">
        <v>0</v>
      </c>
      <c r="H22" s="181">
        <f t="shared" si="2"/>
        <v>0</v>
      </c>
      <c r="I22" s="186"/>
      <c r="J22" s="13"/>
      <c r="K22" s="13"/>
      <c r="L22" s="13"/>
      <c r="M22" s="13"/>
      <c r="N22" s="37"/>
      <c r="O22" s="38"/>
      <c r="P22" s="38"/>
      <c r="Q22" s="38"/>
      <c r="R22" s="38"/>
      <c r="S22" s="38"/>
      <c r="T22" s="38"/>
      <c r="U22" s="38"/>
    </row>
    <row r="23" spans="1:21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>
        <v>0</v>
      </c>
      <c r="G23" s="186"/>
      <c r="H23" s="181">
        <f t="shared" si="2"/>
        <v>0</v>
      </c>
      <c r="I23" s="186"/>
      <c r="J23" s="13"/>
      <c r="K23" s="13"/>
      <c r="L23" s="13"/>
      <c r="M23" s="13"/>
      <c r="N23" s="37"/>
      <c r="O23" s="38"/>
      <c r="P23" s="38"/>
      <c r="Q23" s="38"/>
      <c r="R23" s="38"/>
      <c r="S23" s="38"/>
      <c r="T23" s="38"/>
      <c r="U23" s="38"/>
    </row>
    <row r="24" spans="1:21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20.703600000000002</v>
      </c>
      <c r="F24" s="186">
        <f t="shared" si="12"/>
        <v>0</v>
      </c>
      <c r="G24" s="186">
        <f t="shared" si="12"/>
        <v>0</v>
      </c>
      <c r="H24" s="181">
        <f t="shared" si="2"/>
        <v>0</v>
      </c>
      <c r="I24" s="186"/>
      <c r="J24" s="13"/>
      <c r="K24" s="13"/>
      <c r="L24" s="13"/>
      <c r="M24" s="13"/>
      <c r="N24" s="37"/>
      <c r="O24" s="38"/>
      <c r="P24" s="38"/>
      <c r="Q24" s="38"/>
      <c r="R24" s="38"/>
      <c r="S24" s="38"/>
      <c r="T24" s="38"/>
      <c r="U24" s="38"/>
    </row>
    <row r="25" spans="1:21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6">
        <v>0</v>
      </c>
      <c r="G25" s="186">
        <v>0</v>
      </c>
      <c r="H25" s="181"/>
      <c r="I25" s="186"/>
      <c r="J25" s="13"/>
      <c r="K25" s="13"/>
      <c r="L25" s="13"/>
      <c r="M25" s="13"/>
      <c r="N25" s="13"/>
      <c r="O25" s="14"/>
      <c r="P25" s="14"/>
      <c r="Q25" s="15"/>
      <c r="R25" s="15"/>
      <c r="S25" s="15"/>
      <c r="T25" s="15"/>
      <c r="U25" s="15"/>
    </row>
    <row r="26" spans="1:21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0</v>
      </c>
      <c r="F26" s="186">
        <v>0</v>
      </c>
      <c r="G26" s="186">
        <v>0</v>
      </c>
      <c r="H26" s="181"/>
      <c r="I26" s="186"/>
      <c r="J26" s="13"/>
      <c r="K26" s="13"/>
      <c r="L26" s="13"/>
      <c r="M26" s="13"/>
      <c r="N26" s="13"/>
      <c r="O26" s="14"/>
      <c r="P26" s="14"/>
      <c r="Q26" s="15"/>
      <c r="R26" s="15"/>
      <c r="S26" s="15"/>
      <c r="T26" s="15"/>
      <c r="U26" s="15"/>
    </row>
    <row r="27" spans="1:21" ht="31.9" customHeight="1" x14ac:dyDescent="0.25">
      <c r="A27" s="269"/>
      <c r="B27" s="227" t="s">
        <v>141</v>
      </c>
      <c r="C27" s="4" t="s">
        <v>15</v>
      </c>
      <c r="D27" s="186">
        <f>D25*D26/10</f>
        <v>0</v>
      </c>
      <c r="E27" s="186">
        <f t="shared" ref="E27" si="13">E25*E26/10</f>
        <v>0</v>
      </c>
      <c r="F27" s="186">
        <v>0</v>
      </c>
      <c r="G27" s="186">
        <v>0</v>
      </c>
      <c r="H27" s="181"/>
      <c r="I27" s="186"/>
      <c r="J27" s="13"/>
      <c r="K27" s="13"/>
      <c r="L27" s="13"/>
      <c r="M27" s="13"/>
      <c r="N27" s="13"/>
      <c r="O27" s="14"/>
      <c r="P27" s="14"/>
      <c r="Q27" s="15"/>
      <c r="R27" s="15"/>
      <c r="S27" s="15"/>
      <c r="T27" s="15"/>
      <c r="U27" s="15"/>
    </row>
    <row r="28" spans="1:21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4">D31+D34</f>
        <v>1</v>
      </c>
      <c r="E28" s="181">
        <f t="shared" si="14"/>
        <v>1</v>
      </c>
      <c r="F28" s="181">
        <f t="shared" si="14"/>
        <v>1</v>
      </c>
      <c r="G28" s="181">
        <f t="shared" si="14"/>
        <v>1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  <c r="T28" s="15"/>
      <c r="U28" s="15"/>
    </row>
    <row r="29" spans="1:21" ht="31.9" customHeight="1" x14ac:dyDescent="0.25">
      <c r="A29" s="2"/>
      <c r="B29" s="227" t="s">
        <v>139</v>
      </c>
      <c r="C29" s="4" t="s">
        <v>140</v>
      </c>
      <c r="D29" s="186">
        <f>D30/D28*10</f>
        <v>36.85</v>
      </c>
      <c r="E29" s="186">
        <f t="shared" ref="E29:G29" si="15">E30/E28*10</f>
        <v>36.9</v>
      </c>
      <c r="F29" s="186"/>
      <c r="G29" s="186">
        <f t="shared" si="15"/>
        <v>0</v>
      </c>
      <c r="H29" s="181">
        <f t="shared" si="2"/>
        <v>0</v>
      </c>
      <c r="I29" s="186"/>
      <c r="J29" s="16"/>
      <c r="K29" s="16"/>
      <c r="L29" s="16"/>
      <c r="M29" s="16"/>
      <c r="N29" s="16"/>
      <c r="O29" s="15"/>
      <c r="P29" s="15"/>
      <c r="Q29" s="15"/>
      <c r="R29" s="15"/>
      <c r="S29" s="15"/>
      <c r="T29" s="15"/>
      <c r="U29" s="15"/>
    </row>
    <row r="30" spans="1:21" ht="31.9" customHeight="1" x14ac:dyDescent="0.25">
      <c r="A30" s="2"/>
      <c r="B30" s="227" t="s">
        <v>141</v>
      </c>
      <c r="C30" s="4" t="s">
        <v>15</v>
      </c>
      <c r="D30" s="186">
        <f>D33+D36</f>
        <v>3.6850000000000001</v>
      </c>
      <c r="E30" s="186">
        <f t="shared" ref="E30:G30" si="16">E33+E36</f>
        <v>3.69</v>
      </c>
      <c r="F30" s="186">
        <f t="shared" si="16"/>
        <v>0</v>
      </c>
      <c r="G30" s="186">
        <f t="shared" si="16"/>
        <v>0</v>
      </c>
      <c r="H30" s="181">
        <f t="shared" si="2"/>
        <v>0</v>
      </c>
      <c r="I30" s="186"/>
      <c r="J30" s="16"/>
      <c r="K30" s="16"/>
      <c r="L30" s="16"/>
      <c r="M30" s="16"/>
      <c r="N30" s="16"/>
      <c r="O30" s="15"/>
      <c r="P30" s="15"/>
      <c r="Q30" s="15"/>
      <c r="R30" s="15"/>
      <c r="S30" s="15"/>
      <c r="T30" s="15"/>
      <c r="U30" s="15"/>
    </row>
    <row r="31" spans="1:21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>
        <v>0</v>
      </c>
      <c r="G31" s="181">
        <v>0</v>
      </c>
      <c r="H31" s="181"/>
      <c r="I31" s="181"/>
      <c r="J31" s="16"/>
      <c r="K31" s="16"/>
      <c r="L31" s="16"/>
      <c r="M31" s="16"/>
      <c r="N31" s="16"/>
      <c r="O31" s="15"/>
      <c r="P31" s="15"/>
      <c r="Q31" s="15"/>
      <c r="R31" s="15"/>
      <c r="S31" s="15"/>
      <c r="T31" s="15"/>
      <c r="U31" s="15"/>
    </row>
    <row r="32" spans="1:21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16"/>
      <c r="L32" s="16"/>
      <c r="M32" s="16"/>
      <c r="N32" s="16"/>
      <c r="O32" s="15"/>
      <c r="P32" s="15"/>
      <c r="Q32" s="15"/>
      <c r="R32" s="15"/>
      <c r="S32" s="15"/>
      <c r="T32" s="15"/>
      <c r="U32" s="15"/>
    </row>
    <row r="33" spans="1:24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16"/>
      <c r="L33" s="16"/>
      <c r="M33" s="16"/>
      <c r="N33" s="16"/>
      <c r="O33" s="15"/>
      <c r="P33" s="15"/>
      <c r="Q33" s="15"/>
      <c r="R33" s="15"/>
      <c r="S33" s="15"/>
      <c r="T33" s="15"/>
      <c r="U33" s="15"/>
    </row>
    <row r="34" spans="1:24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6"/>
      <c r="J34" s="16"/>
      <c r="K34" s="16"/>
      <c r="L34" s="16"/>
      <c r="M34" s="16"/>
      <c r="N34" s="16"/>
      <c r="O34" s="15"/>
      <c r="P34" s="15"/>
      <c r="Q34" s="15"/>
      <c r="R34" s="15"/>
      <c r="S34" s="15"/>
      <c r="T34" s="15"/>
      <c r="U34" s="15"/>
    </row>
    <row r="35" spans="1:24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6"/>
      <c r="K35" s="16"/>
      <c r="L35" s="16"/>
      <c r="M35" s="16"/>
      <c r="N35" s="16"/>
      <c r="O35" s="15"/>
      <c r="P35" s="15"/>
      <c r="Q35" s="15"/>
      <c r="R35" s="15"/>
      <c r="S35" s="15"/>
      <c r="T35" s="15"/>
      <c r="U35" s="15"/>
    </row>
    <row r="36" spans="1:24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7">E34*E35/10</f>
        <v>3.69</v>
      </c>
      <c r="F36" s="186">
        <f t="shared" si="17"/>
        <v>0</v>
      </c>
      <c r="G36" s="186">
        <f t="shared" si="17"/>
        <v>0</v>
      </c>
      <c r="H36" s="181">
        <f t="shared" si="2"/>
        <v>0</v>
      </c>
      <c r="I36" s="186"/>
      <c r="J36" s="16"/>
      <c r="K36" s="94"/>
      <c r="L36" s="62"/>
      <c r="M36" s="62"/>
      <c r="N36" s="62"/>
      <c r="O36" s="62"/>
      <c r="P36" s="15"/>
      <c r="Q36" s="15"/>
      <c r="R36" s="15"/>
      <c r="S36" s="15"/>
      <c r="T36" s="15"/>
      <c r="U36" s="15"/>
    </row>
    <row r="37" spans="1:24" ht="31.9" customHeight="1" x14ac:dyDescent="0.25">
      <c r="A37" s="2">
        <v>2</v>
      </c>
      <c r="B37" s="225" t="s">
        <v>28</v>
      </c>
      <c r="C37" s="2" t="s">
        <v>4</v>
      </c>
      <c r="D37" s="181">
        <v>24</v>
      </c>
      <c r="E37" s="181">
        <v>10.57</v>
      </c>
      <c r="F37" s="181">
        <v>10.57</v>
      </c>
      <c r="G37" s="181">
        <v>10.57</v>
      </c>
      <c r="H37" s="181">
        <f t="shared" si="2"/>
        <v>100</v>
      </c>
      <c r="I37" s="186"/>
      <c r="J37" s="13"/>
      <c r="K37" s="134"/>
      <c r="L37" s="134"/>
      <c r="M37" s="89"/>
      <c r="N37" s="29"/>
      <c r="O37" s="29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3"/>
      <c r="K38" s="60"/>
      <c r="L38" s="60"/>
      <c r="M38" s="29"/>
      <c r="N38" s="29"/>
      <c r="O38" s="29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31.9" customHeight="1" x14ac:dyDescent="0.25">
      <c r="A39" s="2"/>
      <c r="B39" s="227" t="s">
        <v>141</v>
      </c>
      <c r="C39" s="4" t="s">
        <v>15</v>
      </c>
      <c r="D39" s="186">
        <f>D37*D38/10</f>
        <v>330</v>
      </c>
      <c r="E39" s="186">
        <f>E37*E38/10</f>
        <v>147.97999999999999</v>
      </c>
      <c r="F39" s="186">
        <f t="shared" ref="F39:G39" si="18">F37*F38/10</f>
        <v>0</v>
      </c>
      <c r="G39" s="186">
        <f t="shared" si="18"/>
        <v>0</v>
      </c>
      <c r="H39" s="181">
        <f t="shared" si="2"/>
        <v>0</v>
      </c>
      <c r="I39" s="186"/>
      <c r="J39" s="13"/>
      <c r="K39" s="60"/>
      <c r="L39" s="60"/>
      <c r="M39" s="29"/>
      <c r="N39" s="29"/>
      <c r="O39" s="29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31.9" customHeight="1" x14ac:dyDescent="0.25">
      <c r="A40" s="2">
        <v>3</v>
      </c>
      <c r="B40" s="223" t="s">
        <v>162</v>
      </c>
      <c r="C40" s="222" t="s">
        <v>4</v>
      </c>
      <c r="D40" s="184"/>
      <c r="E40" s="184">
        <v>0</v>
      </c>
      <c r="F40" s="186"/>
      <c r="G40" s="186"/>
      <c r="H40" s="181"/>
      <c r="I40" s="186"/>
      <c r="J40" s="13"/>
      <c r="K40" s="60"/>
      <c r="L40" s="60"/>
      <c r="M40" s="29"/>
      <c r="N40" s="29"/>
      <c r="O40" s="29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31.9" customHeight="1" x14ac:dyDescent="0.25">
      <c r="A41" s="2"/>
      <c r="B41" s="226" t="s">
        <v>139</v>
      </c>
      <c r="C41" s="233" t="s">
        <v>140</v>
      </c>
      <c r="D41" s="188"/>
      <c r="E41" s="188">
        <v>24.1</v>
      </c>
      <c r="F41" s="186"/>
      <c r="G41" s="186"/>
      <c r="H41" s="181">
        <f t="shared" si="2"/>
        <v>0</v>
      </c>
      <c r="I41" s="186"/>
      <c r="J41" s="13"/>
      <c r="K41" s="60"/>
      <c r="L41" s="60"/>
      <c r="M41" s="29"/>
      <c r="N41" s="29"/>
      <c r="O41" s="29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31.9" customHeight="1" x14ac:dyDescent="0.25">
      <c r="A42" s="2"/>
      <c r="B42" s="226" t="s">
        <v>141</v>
      </c>
      <c r="C42" s="233" t="s">
        <v>15</v>
      </c>
      <c r="D42" s="188"/>
      <c r="E42" s="188">
        <f>E40*E41/10</f>
        <v>0</v>
      </c>
      <c r="F42" s="188">
        <f t="shared" ref="F42:G42" si="19">F40*F41/10</f>
        <v>0</v>
      </c>
      <c r="G42" s="188">
        <f t="shared" si="19"/>
        <v>0</v>
      </c>
      <c r="H42" s="181"/>
      <c r="I42" s="186"/>
      <c r="J42" s="13"/>
      <c r="K42" s="60"/>
      <c r="L42" s="60"/>
      <c r="M42" s="29"/>
      <c r="N42" s="29"/>
      <c r="O42" s="29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60"/>
      <c r="L43" s="60"/>
      <c r="M43" s="60"/>
      <c r="N43" s="60"/>
      <c r="O43" s="60"/>
    </row>
    <row r="44" spans="1:24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60"/>
      <c r="L44" s="127"/>
      <c r="M44" s="127"/>
      <c r="N44" s="127"/>
      <c r="O44" s="127"/>
    </row>
    <row r="45" spans="1:24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20">F43*F44/10</f>
        <v>0</v>
      </c>
      <c r="G45" s="186">
        <f t="shared" si="20"/>
        <v>0</v>
      </c>
      <c r="H45" s="181">
        <f t="shared" si="2"/>
        <v>0</v>
      </c>
      <c r="I45" s="186"/>
      <c r="J45" s="19"/>
      <c r="K45" s="114"/>
      <c r="L45" s="19"/>
      <c r="M45" s="19"/>
      <c r="N45" s="19"/>
    </row>
    <row r="46" spans="1:24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31.87</v>
      </c>
      <c r="E46" s="181">
        <f t="shared" ref="E46:G46" si="21">E47+E55+E64</f>
        <v>42.67</v>
      </c>
      <c r="F46" s="181">
        <f t="shared" si="21"/>
        <v>32.270000000000003</v>
      </c>
      <c r="G46" s="181">
        <f t="shared" si="21"/>
        <v>32.17</v>
      </c>
      <c r="H46" s="181">
        <f t="shared" si="2"/>
        <v>75.626904148113425</v>
      </c>
      <c r="I46" s="181"/>
      <c r="J46" s="19"/>
      <c r="K46" s="19"/>
      <c r="L46" s="19"/>
      <c r="M46" s="19"/>
      <c r="N46" s="19"/>
    </row>
    <row r="47" spans="1:24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27.37</v>
      </c>
      <c r="E47" s="181">
        <f t="shared" ref="E47:G47" si="22">E48+E49</f>
        <v>37.370000000000005</v>
      </c>
      <c r="F47" s="181">
        <f t="shared" si="22"/>
        <v>27.470000000000002</v>
      </c>
      <c r="G47" s="181">
        <f t="shared" si="22"/>
        <v>27.37</v>
      </c>
      <c r="H47" s="181">
        <f t="shared" si="2"/>
        <v>73.508161626973504</v>
      </c>
      <c r="I47" s="181"/>
      <c r="J47" s="19"/>
      <c r="K47" s="19"/>
      <c r="L47" s="19"/>
      <c r="M47" s="19"/>
      <c r="N47" s="19"/>
    </row>
    <row r="48" spans="1:24" ht="31.9" customHeight="1" x14ac:dyDescent="0.25">
      <c r="A48" s="5" t="s">
        <v>22</v>
      </c>
      <c r="B48" s="273" t="s">
        <v>117</v>
      </c>
      <c r="C48" s="274" t="s">
        <v>4</v>
      </c>
      <c r="D48" s="186">
        <v>11.25</v>
      </c>
      <c r="E48" s="186">
        <f>D48+D49</f>
        <v>27.37</v>
      </c>
      <c r="F48" s="186">
        <v>27.37</v>
      </c>
      <c r="G48" s="186">
        <v>27.37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</row>
    <row r="49" spans="1:17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16.12</v>
      </c>
      <c r="E49" s="181">
        <f t="shared" ref="E49:G49" si="23">E50+E51</f>
        <v>10</v>
      </c>
      <c r="F49" s="181">
        <f t="shared" si="23"/>
        <v>0.1</v>
      </c>
      <c r="G49" s="181">
        <f t="shared" si="23"/>
        <v>0</v>
      </c>
      <c r="H49" s="181">
        <f t="shared" si="2"/>
        <v>1</v>
      </c>
      <c r="I49" s="181"/>
      <c r="J49" s="103"/>
      <c r="K49" s="103"/>
      <c r="L49" s="103"/>
      <c r="M49" s="103"/>
      <c r="N49" s="103"/>
    </row>
    <row r="50" spans="1:17" ht="31.9" customHeight="1" x14ac:dyDescent="0.25">
      <c r="A50" s="274" t="s">
        <v>16</v>
      </c>
      <c r="B50" s="276" t="s">
        <v>115</v>
      </c>
      <c r="C50" s="274" t="s">
        <v>4</v>
      </c>
      <c r="D50" s="186">
        <v>16.12</v>
      </c>
      <c r="E50" s="186">
        <v>10</v>
      </c>
      <c r="F50" s="186">
        <v>0.1</v>
      </c>
      <c r="G50" s="186">
        <v>0</v>
      </c>
      <c r="H50" s="181">
        <f t="shared" si="2"/>
        <v>1</v>
      </c>
      <c r="I50" s="186"/>
      <c r="J50" s="104"/>
      <c r="K50" s="116"/>
      <c r="L50" s="116"/>
      <c r="M50" s="116"/>
      <c r="N50" s="19"/>
    </row>
    <row r="51" spans="1:17" ht="31.9" customHeight="1" x14ac:dyDescent="0.25">
      <c r="A51" s="274" t="s">
        <v>16</v>
      </c>
      <c r="B51" s="276" t="s">
        <v>33</v>
      </c>
      <c r="C51" s="4" t="s">
        <v>4</v>
      </c>
      <c r="D51" s="186"/>
      <c r="E51" s="186"/>
      <c r="F51" s="186"/>
      <c r="G51" s="186"/>
      <c r="H51" s="181"/>
      <c r="I51" s="186"/>
      <c r="J51" s="19"/>
      <c r="K51" s="19"/>
      <c r="L51" s="19"/>
      <c r="M51" s="19"/>
      <c r="N51" s="19"/>
    </row>
    <row r="52" spans="1:17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9.3099999999999987</v>
      </c>
      <c r="E52" s="181">
        <f t="shared" ref="E52:G52" si="24">E53+E54</f>
        <v>9.5625</v>
      </c>
      <c r="F52" s="181">
        <f t="shared" si="24"/>
        <v>9.56</v>
      </c>
      <c r="G52" s="181">
        <f t="shared" si="24"/>
        <v>9.56</v>
      </c>
      <c r="H52" s="181">
        <f t="shared" si="2"/>
        <v>99.973856209150341</v>
      </c>
      <c r="I52" s="181"/>
      <c r="J52" s="103"/>
      <c r="K52" s="103"/>
      <c r="L52" s="103"/>
      <c r="M52" s="103"/>
      <c r="N52" s="103"/>
    </row>
    <row r="53" spans="1:17" ht="31.9" customHeight="1" x14ac:dyDescent="0.25">
      <c r="A53" s="277" t="s">
        <v>16</v>
      </c>
      <c r="B53" s="276" t="s">
        <v>119</v>
      </c>
      <c r="C53" s="4" t="s">
        <v>4</v>
      </c>
      <c r="D53" s="186">
        <f>7.31-1</f>
        <v>6.31</v>
      </c>
      <c r="E53" s="186">
        <f>D48*85%</f>
        <v>9.5625</v>
      </c>
      <c r="F53" s="186">
        <v>9.56</v>
      </c>
      <c r="G53" s="186">
        <v>9.56</v>
      </c>
      <c r="H53" s="186">
        <f t="shared" si="2"/>
        <v>99.973856209150341</v>
      </c>
      <c r="I53" s="186"/>
      <c r="J53" s="19"/>
      <c r="K53" s="19"/>
      <c r="L53" s="19"/>
      <c r="M53" s="114"/>
      <c r="N53" s="19"/>
    </row>
    <row r="54" spans="1:17" ht="31.9" customHeight="1" x14ac:dyDescent="0.25">
      <c r="A54" s="4"/>
      <c r="B54" s="276" t="s">
        <v>120</v>
      </c>
      <c r="C54" s="4" t="s">
        <v>4</v>
      </c>
      <c r="D54" s="186">
        <v>3</v>
      </c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7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 t="shared" ref="E55:G55" si="25">E56+E57</f>
        <v>5.3</v>
      </c>
      <c r="F55" s="181">
        <f t="shared" si="25"/>
        <v>4.8</v>
      </c>
      <c r="G55" s="181">
        <f t="shared" si="25"/>
        <v>4.8</v>
      </c>
      <c r="H55" s="181">
        <f t="shared" si="2"/>
        <v>90.566037735849065</v>
      </c>
      <c r="I55" s="181"/>
      <c r="J55" s="19"/>
      <c r="K55" s="19"/>
      <c r="L55" s="19"/>
      <c r="M55" s="19"/>
      <c r="N55" s="19"/>
    </row>
    <row r="56" spans="1:17" ht="31.9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v>4.8</v>
      </c>
      <c r="G56" s="186">
        <v>4.8</v>
      </c>
      <c r="H56" s="186">
        <f t="shared" si="2"/>
        <v>100</v>
      </c>
      <c r="I56" s="186"/>
      <c r="J56" s="19"/>
      <c r="K56" s="19"/>
      <c r="L56" s="19"/>
      <c r="M56" s="19"/>
      <c r="N56" s="19"/>
    </row>
    <row r="57" spans="1:17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6">E58+E61</f>
        <v>0.5</v>
      </c>
      <c r="F57" s="186">
        <f t="shared" si="26"/>
        <v>0</v>
      </c>
      <c r="G57" s="186">
        <f t="shared" si="26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7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7">E59+E60</f>
        <v>0.30000000000000004</v>
      </c>
      <c r="F58" s="189">
        <f t="shared" si="27"/>
        <v>0</v>
      </c>
      <c r="G58" s="189">
        <f t="shared" si="27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</row>
    <row r="59" spans="1:17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6"/>
      <c r="L59" s="6"/>
      <c r="M59" s="6"/>
      <c r="N59" s="6"/>
      <c r="O59" s="6"/>
      <c r="P59" s="30"/>
      <c r="Q59" s="30"/>
    </row>
    <row r="60" spans="1:17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6"/>
      <c r="L60" s="6"/>
      <c r="M60" s="6"/>
      <c r="N60" s="6"/>
      <c r="O60" s="6"/>
      <c r="P60" s="30"/>
      <c r="Q60" s="30"/>
    </row>
    <row r="61" spans="1:17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8">E62+E63</f>
        <v>0.2</v>
      </c>
      <c r="F61" s="189">
        <f t="shared" si="28"/>
        <v>0</v>
      </c>
      <c r="G61" s="189">
        <f t="shared" si="28"/>
        <v>0</v>
      </c>
      <c r="H61" s="181">
        <f t="shared" si="2"/>
        <v>0</v>
      </c>
      <c r="I61" s="189"/>
      <c r="J61" s="104"/>
      <c r="K61" s="34"/>
      <c r="L61" s="108"/>
      <c r="M61" s="108"/>
      <c r="N61" s="108"/>
      <c r="O61" s="48"/>
      <c r="P61" s="48"/>
      <c r="Q61" s="48"/>
    </row>
    <row r="62" spans="1:17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0.1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6"/>
      <c r="L62" s="6"/>
      <c r="M62" s="6"/>
      <c r="N62" s="6"/>
      <c r="O62" s="6"/>
      <c r="P62" s="30"/>
      <c r="Q62" s="30"/>
    </row>
    <row r="63" spans="1:17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6"/>
      <c r="L63" s="6"/>
      <c r="M63" s="6"/>
      <c r="N63" s="6"/>
      <c r="O63" s="6"/>
      <c r="P63" s="30"/>
      <c r="Q63" s="30"/>
    </row>
    <row r="64" spans="1:17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9">E65+E66</f>
        <v>0</v>
      </c>
      <c r="F64" s="181">
        <f t="shared" si="29"/>
        <v>0</v>
      </c>
      <c r="G64" s="181">
        <f t="shared" si="29"/>
        <v>0</v>
      </c>
      <c r="H64" s="181"/>
      <c r="I64" s="181"/>
      <c r="J64" s="104"/>
      <c r="K64" s="47"/>
      <c r="L64" s="47"/>
      <c r="M64" s="47"/>
      <c r="N64" s="47"/>
      <c r="O64" s="30"/>
      <c r="P64" s="30"/>
      <c r="Q64" s="30"/>
    </row>
    <row r="65" spans="1:17" ht="31.9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1"/>
      <c r="I65" s="186"/>
      <c r="J65" s="19"/>
      <c r="K65" s="47"/>
      <c r="L65" s="47"/>
      <c r="M65" s="47"/>
      <c r="N65" s="47"/>
      <c r="O65" s="30"/>
      <c r="P65" s="30"/>
      <c r="Q65" s="30"/>
    </row>
    <row r="66" spans="1:17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1"/>
      <c r="I66" s="186"/>
      <c r="J66" s="19"/>
      <c r="K66" s="19"/>
      <c r="L66" s="19"/>
      <c r="M66" s="19"/>
      <c r="N66" s="19"/>
    </row>
    <row r="67" spans="1:17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14.360000000000001</v>
      </c>
      <c r="E67" s="181">
        <f t="shared" ref="E67:G67" si="30">E68+E71</f>
        <v>14.48</v>
      </c>
      <c r="F67" s="181">
        <f t="shared" si="30"/>
        <v>14.360000000000001</v>
      </c>
      <c r="G67" s="181">
        <f t="shared" si="30"/>
        <v>14.360000000000001</v>
      </c>
      <c r="H67" s="181">
        <f t="shared" si="2"/>
        <v>99.171270718232051</v>
      </c>
      <c r="I67" s="181"/>
      <c r="J67" s="19"/>
      <c r="K67" s="19"/>
      <c r="L67" s="19"/>
      <c r="M67" s="19"/>
      <c r="N67" s="19"/>
    </row>
    <row r="68" spans="1:17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0.55000000000000004</v>
      </c>
      <c r="E68" s="181">
        <f t="shared" ref="E68:G68" si="31">E69+E70</f>
        <v>0.55000000000000004</v>
      </c>
      <c r="F68" s="181">
        <f t="shared" si="31"/>
        <v>0.55000000000000004</v>
      </c>
      <c r="G68" s="181">
        <f t="shared" si="31"/>
        <v>0.55000000000000004</v>
      </c>
      <c r="H68" s="181">
        <f t="shared" si="2"/>
        <v>100</v>
      </c>
      <c r="I68" s="181"/>
      <c r="J68" s="19"/>
      <c r="K68" s="19"/>
      <c r="L68" s="19"/>
      <c r="M68" s="19"/>
      <c r="N68" s="19"/>
    </row>
    <row r="69" spans="1:17" ht="31.9" customHeight="1" x14ac:dyDescent="0.25">
      <c r="A69" s="4" t="s">
        <v>16</v>
      </c>
      <c r="B69" s="273" t="s">
        <v>126</v>
      </c>
      <c r="C69" s="4" t="s">
        <v>4</v>
      </c>
      <c r="D69" s="186">
        <v>0.5</v>
      </c>
      <c r="E69" s="186">
        <f>D69+D70</f>
        <v>0.55000000000000004</v>
      </c>
      <c r="F69" s="186">
        <v>0.55000000000000004</v>
      </c>
      <c r="G69" s="186">
        <v>0.55000000000000004</v>
      </c>
      <c r="H69" s="186">
        <f t="shared" si="2"/>
        <v>100</v>
      </c>
      <c r="I69" s="186"/>
      <c r="J69" s="19"/>
      <c r="K69" s="19"/>
      <c r="L69" s="19"/>
      <c r="M69" s="19"/>
      <c r="N69" s="19"/>
    </row>
    <row r="70" spans="1:17" ht="31.9" customHeight="1" x14ac:dyDescent="0.25">
      <c r="A70" s="4" t="s">
        <v>16</v>
      </c>
      <c r="B70" s="273" t="s">
        <v>127</v>
      </c>
      <c r="C70" s="4" t="s">
        <v>4</v>
      </c>
      <c r="D70" s="186">
        <v>0.05</v>
      </c>
      <c r="E70" s="186">
        <v>0</v>
      </c>
      <c r="F70" s="186"/>
      <c r="G70" s="186"/>
      <c r="H70" s="181"/>
      <c r="I70" s="186"/>
      <c r="J70" s="19"/>
      <c r="K70" s="13"/>
      <c r="L70" s="13"/>
      <c r="M70" s="13"/>
      <c r="N70" s="19"/>
    </row>
    <row r="71" spans="1:17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13.81</v>
      </c>
      <c r="E71" s="181">
        <f t="shared" ref="E71:G71" si="32">E72+E73</f>
        <v>13.93</v>
      </c>
      <c r="F71" s="181">
        <f t="shared" si="32"/>
        <v>13.81</v>
      </c>
      <c r="G71" s="181">
        <f t="shared" si="32"/>
        <v>13.81</v>
      </c>
      <c r="H71" s="181">
        <f t="shared" si="2"/>
        <v>99.138549892318736</v>
      </c>
      <c r="I71" s="181"/>
      <c r="J71" s="19"/>
      <c r="K71" s="19"/>
      <c r="L71" s="19"/>
      <c r="M71" s="19"/>
      <c r="N71" s="19"/>
    </row>
    <row r="72" spans="1:17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12.31</v>
      </c>
      <c r="E72" s="192">
        <f t="shared" ref="E72:G73" si="33">E75+E82</f>
        <v>13.81</v>
      </c>
      <c r="F72" s="192">
        <f t="shared" si="33"/>
        <v>13.81</v>
      </c>
      <c r="G72" s="192">
        <f t="shared" si="33"/>
        <v>13.81</v>
      </c>
      <c r="H72" s="181">
        <f t="shared" si="2"/>
        <v>100</v>
      </c>
      <c r="I72" s="192"/>
      <c r="J72" s="19"/>
      <c r="K72" s="19"/>
      <c r="L72" s="19"/>
      <c r="M72" s="19"/>
      <c r="N72" s="19"/>
    </row>
    <row r="73" spans="1:17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1.5</v>
      </c>
      <c r="E73" s="181">
        <f t="shared" si="33"/>
        <v>0.12</v>
      </c>
      <c r="F73" s="181">
        <f t="shared" si="33"/>
        <v>0</v>
      </c>
      <c r="G73" s="181">
        <f t="shared" si="33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11.34</v>
      </c>
      <c r="E74" s="194">
        <f t="shared" ref="E74:G74" si="34">E75+E76</f>
        <v>11.34</v>
      </c>
      <c r="F74" s="194">
        <f t="shared" si="34"/>
        <v>11.34</v>
      </c>
      <c r="G74" s="194">
        <f t="shared" si="34"/>
        <v>11.34</v>
      </c>
      <c r="H74" s="181">
        <f t="shared" ref="H74:H98" si="35">F74/E74*100</f>
        <v>100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1.9" customHeight="1" x14ac:dyDescent="0.25">
      <c r="A75" s="5" t="s">
        <v>22</v>
      </c>
      <c r="B75" s="281" t="s">
        <v>117</v>
      </c>
      <c r="C75" s="4" t="s">
        <v>4</v>
      </c>
      <c r="D75" s="196">
        <f>6.84+3</f>
        <v>9.84</v>
      </c>
      <c r="E75" s="196">
        <f>D75+D76</f>
        <v>11.34</v>
      </c>
      <c r="F75" s="196">
        <v>11.34</v>
      </c>
      <c r="G75" s="196">
        <v>11.34</v>
      </c>
      <c r="H75" s="186">
        <f t="shared" si="35"/>
        <v>100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17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1.5</v>
      </c>
      <c r="E76" s="197">
        <f>SUM(E77:E80)</f>
        <v>0</v>
      </c>
      <c r="F76" s="197">
        <f t="shared" ref="F76" si="36">SUM(F77:F80)</f>
        <v>0</v>
      </c>
      <c r="G76" s="197"/>
      <c r="H76" s="186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</v>
      </c>
      <c r="F77" s="186"/>
      <c r="G77" s="186"/>
      <c r="H77" s="186"/>
      <c r="I77" s="186"/>
      <c r="J77" s="107"/>
      <c r="K77" s="107"/>
      <c r="L77" s="109"/>
      <c r="M77" s="110"/>
      <c r="N77" s="110"/>
      <c r="O77" s="18"/>
      <c r="P77" s="56"/>
      <c r="Q77" s="56"/>
    </row>
    <row r="78" spans="1:17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9"/>
      <c r="H78" s="189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9"/>
      <c r="H79" s="189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1.9" customHeight="1" x14ac:dyDescent="0.25">
      <c r="A80" s="3" t="s">
        <v>16</v>
      </c>
      <c r="B80" s="284" t="s">
        <v>129</v>
      </c>
      <c r="C80" s="3" t="s">
        <v>4</v>
      </c>
      <c r="D80" s="186">
        <v>1.5</v>
      </c>
      <c r="E80" s="186"/>
      <c r="F80" s="186"/>
      <c r="G80" s="189"/>
      <c r="H80" s="189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18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2.4700000000000002</v>
      </c>
      <c r="E81" s="194">
        <f t="shared" ref="E81:G81" si="37">E82+E83</f>
        <v>2.5900000000000003</v>
      </c>
      <c r="F81" s="194">
        <f t="shared" si="37"/>
        <v>2.4700000000000002</v>
      </c>
      <c r="G81" s="194">
        <f t="shared" si="37"/>
        <v>2.4700000000000002</v>
      </c>
      <c r="H81" s="203">
        <f t="shared" si="35"/>
        <v>95.366795366795358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18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2.4700000000000002</v>
      </c>
      <c r="E82" s="189">
        <f>D82+D83</f>
        <v>2.4700000000000002</v>
      </c>
      <c r="F82" s="189">
        <v>2.4700000000000002</v>
      </c>
      <c r="G82" s="189">
        <v>2.4700000000000002</v>
      </c>
      <c r="H82" s="189">
        <f t="shared" si="35"/>
        <v>100</v>
      </c>
      <c r="I82" s="189"/>
      <c r="J82" s="107"/>
      <c r="K82" s="107"/>
      <c r="L82" s="109"/>
      <c r="M82" s="109"/>
      <c r="N82" s="109"/>
      <c r="O82" s="40"/>
      <c r="P82" s="40"/>
      <c r="Q82" s="40"/>
    </row>
    <row r="83" spans="1:18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8">SUM(D84:D87)</f>
        <v>0</v>
      </c>
      <c r="E83" s="196">
        <f>SUM(E84:E87)</f>
        <v>0.12</v>
      </c>
      <c r="F83" s="196">
        <f t="shared" ref="F83:G83" si="39">SUM(F84:F87)</f>
        <v>0</v>
      </c>
      <c r="G83" s="196">
        <f t="shared" si="39"/>
        <v>0</v>
      </c>
      <c r="H83" s="181">
        <f t="shared" si="35"/>
        <v>0</v>
      </c>
      <c r="I83" s="196"/>
      <c r="J83" s="107"/>
      <c r="K83" s="107"/>
      <c r="L83" s="109"/>
      <c r="M83" s="109"/>
      <c r="N83" s="109"/>
      <c r="O83" s="18"/>
      <c r="P83" s="18"/>
      <c r="Q83" s="18"/>
    </row>
    <row r="84" spans="1:18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6"/>
      <c r="I84" s="186"/>
      <c r="J84" s="109"/>
      <c r="K84" s="109"/>
      <c r="L84" s="109"/>
      <c r="M84" s="109"/>
      <c r="N84" s="109"/>
      <c r="O84" s="18"/>
      <c r="P84" s="18"/>
      <c r="Q84" s="18"/>
    </row>
    <row r="85" spans="1:18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6"/>
      <c r="I85" s="186"/>
      <c r="J85" s="109"/>
      <c r="K85" s="109"/>
      <c r="L85" s="109"/>
      <c r="M85" s="109"/>
      <c r="N85" s="109"/>
    </row>
    <row r="86" spans="1:18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6"/>
      <c r="I86" s="186"/>
      <c r="J86" s="109"/>
      <c r="K86" s="109"/>
      <c r="L86" s="109"/>
      <c r="M86" s="109"/>
      <c r="N86" s="18"/>
      <c r="O86" s="18"/>
      <c r="P86" s="18"/>
      <c r="Q86" s="18"/>
    </row>
    <row r="87" spans="1:18" ht="31.9" customHeight="1" x14ac:dyDescent="0.25">
      <c r="A87" s="282" t="s">
        <v>16</v>
      </c>
      <c r="B87" s="283" t="s">
        <v>114</v>
      </c>
      <c r="C87" s="3" t="s">
        <v>4</v>
      </c>
      <c r="D87" s="186"/>
      <c r="E87" s="186">
        <v>0.12</v>
      </c>
      <c r="F87" s="186">
        <v>0</v>
      </c>
      <c r="G87" s="186">
        <v>0</v>
      </c>
      <c r="H87" s="181">
        <f t="shared" si="35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56"/>
    </row>
    <row r="88" spans="1:18" ht="31.9" customHeight="1" x14ac:dyDescent="0.25">
      <c r="A88" s="2" t="s">
        <v>42</v>
      </c>
      <c r="B88" s="224" t="s">
        <v>43</v>
      </c>
      <c r="C88" s="2"/>
      <c r="D88" s="181">
        <f>SUM(D89:D93)</f>
        <v>309</v>
      </c>
      <c r="E88" s="181">
        <f t="shared" ref="E88:G88" si="40">SUM(E89:E93)</f>
        <v>283</v>
      </c>
      <c r="F88" s="181">
        <f t="shared" si="40"/>
        <v>266</v>
      </c>
      <c r="G88" s="181">
        <f t="shared" si="40"/>
        <v>266</v>
      </c>
      <c r="H88" s="181">
        <f t="shared" si="35"/>
        <v>93.992932862190813</v>
      </c>
      <c r="I88" s="181"/>
      <c r="J88" s="20"/>
      <c r="K88" s="20"/>
      <c r="L88" s="28"/>
      <c r="M88" s="28"/>
      <c r="N88" s="20"/>
    </row>
    <row r="89" spans="1:18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f>26+5</f>
        <v>31</v>
      </c>
      <c r="E89" s="186">
        <f>26+14</f>
        <v>40</v>
      </c>
      <c r="F89" s="186">
        <v>39</v>
      </c>
      <c r="G89" s="186">
        <f>F89</f>
        <v>39</v>
      </c>
      <c r="H89" s="186">
        <f t="shared" si="35"/>
        <v>97.5</v>
      </c>
      <c r="I89" s="186"/>
      <c r="J89" s="112"/>
      <c r="K89" s="157"/>
      <c r="L89" s="208"/>
      <c r="M89" s="209"/>
      <c r="N89" s="112"/>
    </row>
    <row r="90" spans="1:18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f>43+5</f>
        <v>48</v>
      </c>
      <c r="E90" s="186">
        <f>42+7</f>
        <v>49</v>
      </c>
      <c r="F90" s="186">
        <v>46</v>
      </c>
      <c r="G90" s="186">
        <f>F90</f>
        <v>46</v>
      </c>
      <c r="H90" s="186">
        <f t="shared" si="35"/>
        <v>93.877551020408163</v>
      </c>
      <c r="I90" s="186"/>
      <c r="J90" s="112"/>
      <c r="K90" s="157"/>
      <c r="L90" s="208"/>
      <c r="M90" s="209"/>
      <c r="N90" s="112"/>
    </row>
    <row r="91" spans="1:18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f>35-5</f>
        <v>30</v>
      </c>
      <c r="E91" s="186">
        <f>25+8</f>
        <v>33</v>
      </c>
      <c r="F91" s="186">
        <v>30</v>
      </c>
      <c r="G91" s="186">
        <f>F91</f>
        <v>30</v>
      </c>
      <c r="H91" s="186">
        <f t="shared" si="35"/>
        <v>90.909090909090907</v>
      </c>
      <c r="I91" s="186"/>
      <c r="J91" s="112"/>
      <c r="K91" s="157"/>
      <c r="L91" s="208"/>
      <c r="M91" s="209"/>
      <c r="N91" s="112"/>
    </row>
    <row r="92" spans="1:18" ht="31.9" customHeight="1" x14ac:dyDescent="0.25">
      <c r="A92" s="4">
        <v>4</v>
      </c>
      <c r="B92" s="227" t="s">
        <v>47</v>
      </c>
      <c r="C92" s="4" t="s">
        <v>6</v>
      </c>
      <c r="D92" s="186">
        <v>3</v>
      </c>
      <c r="E92" s="186"/>
      <c r="F92" s="186"/>
      <c r="G92" s="186"/>
      <c r="H92" s="181"/>
      <c r="I92" s="186"/>
      <c r="J92" s="20"/>
      <c r="K92" s="20"/>
      <c r="L92" s="210"/>
      <c r="M92" s="209"/>
      <c r="N92" s="20"/>
    </row>
    <row r="93" spans="1:18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f>188+9</f>
        <v>197</v>
      </c>
      <c r="E93" s="186">
        <f>178-17</f>
        <v>161</v>
      </c>
      <c r="F93" s="186">
        <v>151</v>
      </c>
      <c r="G93" s="186">
        <f>F93</f>
        <v>151</v>
      </c>
      <c r="H93" s="186">
        <f t="shared" si="35"/>
        <v>93.788819875776397</v>
      </c>
      <c r="I93" s="186"/>
      <c r="J93" s="157"/>
      <c r="K93" s="157"/>
      <c r="L93" s="210"/>
      <c r="M93" s="209"/>
      <c r="N93" s="112"/>
    </row>
    <row r="94" spans="1:18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41">E95</f>
        <v>0</v>
      </c>
      <c r="F94" s="181">
        <f t="shared" si="41"/>
        <v>0</v>
      </c>
      <c r="G94" s="181">
        <f t="shared" si="41"/>
        <v>0</v>
      </c>
      <c r="H94" s="181"/>
      <c r="I94" s="181"/>
      <c r="J94" s="22"/>
      <c r="K94" s="22"/>
      <c r="L94" s="22"/>
      <c r="M94" s="22"/>
      <c r="N94" s="22"/>
    </row>
    <row r="95" spans="1:18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1"/>
      <c r="I95" s="186"/>
      <c r="J95" s="20"/>
      <c r="K95" s="20"/>
      <c r="L95" s="20"/>
      <c r="M95" s="20"/>
      <c r="N95" s="20"/>
    </row>
    <row r="96" spans="1:18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2.8</v>
      </c>
      <c r="E96" s="181">
        <f t="shared" ref="E96:G96" si="42">E97+E98</f>
        <v>0.65</v>
      </c>
      <c r="F96" s="181">
        <f t="shared" si="42"/>
        <v>0</v>
      </c>
      <c r="G96" s="181">
        <f t="shared" si="42"/>
        <v>0</v>
      </c>
      <c r="H96" s="181">
        <f t="shared" si="35"/>
        <v>0</v>
      </c>
      <c r="I96" s="181"/>
      <c r="J96" s="20"/>
      <c r="K96" s="20"/>
      <c r="L96" s="20"/>
      <c r="M96" s="20"/>
      <c r="N96" s="20"/>
    </row>
    <row r="97" spans="1:14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1.9" customHeight="1" x14ac:dyDescent="0.25">
      <c r="A98" s="285" t="s">
        <v>16</v>
      </c>
      <c r="B98" s="281" t="s">
        <v>54</v>
      </c>
      <c r="C98" s="3" t="s">
        <v>4</v>
      </c>
      <c r="D98" s="186">
        <v>2.8</v>
      </c>
      <c r="E98" s="186">
        <v>0.65</v>
      </c>
      <c r="F98" s="186"/>
      <c r="G98" s="186"/>
      <c r="H98" s="181">
        <f t="shared" si="35"/>
        <v>0</v>
      </c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I7:I8"/>
    <mergeCell ref="E7:H7"/>
    <mergeCell ref="A5:I5"/>
  </mergeCells>
  <pageMargins left="0.39370078740157483" right="0.35433070866141736" top="0.51181102362204722" bottom="0.55118110236220474" header="0" footer="0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84"/>
  <sheetViews>
    <sheetView zoomScaleNormal="100" workbookViewId="0">
      <pane ySplit="8" topLeftCell="A33" activePane="bottomLeft" state="frozen"/>
      <selection pane="bottomLeft" activeCell="G34" sqref="G34"/>
    </sheetView>
  </sheetViews>
  <sheetFormatPr defaultColWidth="11.21875" defaultRowHeight="15" customHeight="1" x14ac:dyDescent="0.25"/>
  <cols>
    <col min="1" max="1" width="7.5546875" style="220" customWidth="1"/>
    <col min="2" max="2" width="29" style="220" customWidth="1"/>
    <col min="3" max="3" width="9.44140625" style="220" customWidth="1"/>
    <col min="4" max="5" width="18.109375" style="220" customWidth="1"/>
    <col min="6" max="8" width="12.6640625" style="220" customWidth="1"/>
    <col min="9" max="9" width="11.77734375" style="220" customWidth="1"/>
    <col min="10" max="10" width="8.88671875" style="17" customWidth="1"/>
    <col min="11" max="11" width="19.21875" style="17" customWidth="1"/>
    <col min="12" max="14" width="8.88671875" style="17" customWidth="1"/>
    <col min="15" max="16384" width="11.21875" style="17"/>
  </cols>
  <sheetData>
    <row r="1" spans="1:18" ht="15" customHeight="1" x14ac:dyDescent="0.25">
      <c r="H1" s="422"/>
      <c r="I1" s="422"/>
    </row>
    <row r="2" spans="1:18" ht="16.5" x14ac:dyDescent="0.25">
      <c r="A2" s="423"/>
      <c r="B2" s="423"/>
      <c r="C2" s="423"/>
      <c r="D2" s="423"/>
      <c r="E2" s="423"/>
      <c r="F2" s="423"/>
      <c r="G2" s="423"/>
      <c r="H2" s="423"/>
      <c r="I2" s="423"/>
      <c r="J2" s="19"/>
      <c r="K2" s="19"/>
      <c r="L2" s="19"/>
      <c r="M2" s="19"/>
      <c r="N2" s="19"/>
    </row>
    <row r="3" spans="1:18" ht="16.5" x14ac:dyDescent="0.25">
      <c r="A3" s="418" t="s">
        <v>175</v>
      </c>
      <c r="B3" s="418"/>
      <c r="C3" s="418"/>
      <c r="D3" s="418"/>
      <c r="E3" s="418"/>
      <c r="F3" s="418"/>
      <c r="G3" s="418"/>
      <c r="H3" s="418"/>
      <c r="I3" s="418"/>
      <c r="J3" s="19"/>
      <c r="K3" s="19"/>
      <c r="L3" s="19"/>
      <c r="M3" s="19"/>
      <c r="N3" s="19"/>
    </row>
    <row r="4" spans="1:18" ht="16.5" x14ac:dyDescent="0.25">
      <c r="A4" s="418" t="s">
        <v>150</v>
      </c>
      <c r="B4" s="424"/>
      <c r="C4" s="424"/>
      <c r="D4" s="424"/>
      <c r="E4" s="424"/>
      <c r="F4" s="424"/>
      <c r="G4" s="424"/>
      <c r="H4" s="424"/>
      <c r="I4" s="424"/>
      <c r="J4" s="19"/>
      <c r="K4" s="19"/>
      <c r="L4" s="19"/>
      <c r="M4" s="19"/>
      <c r="N4" s="19"/>
    </row>
    <row r="5" spans="1:18" ht="16.5" x14ac:dyDescent="0.25">
      <c r="A5" s="430" t="str">
        <f>'ĐĂK KA(6)'!A5</f>
        <v>(Kèm theo Báo cáo số        /BC-UBND, Ngày      tháng 5 năm 2026 của UBND xã Tu Mơ Rông)</v>
      </c>
      <c r="B5" s="430"/>
      <c r="C5" s="430"/>
      <c r="D5" s="430"/>
      <c r="E5" s="430"/>
      <c r="F5" s="430"/>
      <c r="G5" s="430"/>
      <c r="H5" s="430"/>
      <c r="I5" s="430"/>
      <c r="J5" s="19"/>
      <c r="K5" s="19"/>
      <c r="L5" s="19"/>
      <c r="M5" s="19"/>
      <c r="N5" s="19"/>
    </row>
    <row r="6" spans="1:18" ht="16.5" x14ac:dyDescent="0.25">
      <c r="A6" s="266"/>
      <c r="B6" s="266"/>
      <c r="C6" s="266"/>
      <c r="D6" s="267"/>
      <c r="E6" s="267"/>
      <c r="F6" s="267"/>
      <c r="G6" s="267"/>
      <c r="H6" s="267"/>
      <c r="I6" s="267"/>
      <c r="J6" s="19"/>
      <c r="K6" s="19"/>
      <c r="L6" s="19"/>
      <c r="M6" s="19"/>
      <c r="N6" s="19"/>
    </row>
    <row r="7" spans="1:18" ht="33.6" customHeight="1" x14ac:dyDescent="0.25">
      <c r="A7" s="425" t="s">
        <v>8</v>
      </c>
      <c r="B7" s="425" t="s">
        <v>1</v>
      </c>
      <c r="C7" s="425" t="s">
        <v>9</v>
      </c>
      <c r="D7" s="427" t="s">
        <v>143</v>
      </c>
      <c r="E7" s="429" t="s">
        <v>177</v>
      </c>
      <c r="F7" s="431"/>
      <c r="G7" s="431"/>
      <c r="H7" s="432"/>
      <c r="I7" s="420" t="s">
        <v>180</v>
      </c>
      <c r="J7" s="19"/>
      <c r="K7" s="45" t="s">
        <v>136</v>
      </c>
      <c r="L7" s="66">
        <v>36</v>
      </c>
      <c r="M7" s="19"/>
      <c r="N7" s="19"/>
    </row>
    <row r="8" spans="1:18" ht="33.6" customHeight="1" x14ac:dyDescent="0.25">
      <c r="A8" s="426"/>
      <c r="B8" s="426"/>
      <c r="C8" s="426"/>
      <c r="D8" s="428"/>
      <c r="E8" s="221" t="s">
        <v>178</v>
      </c>
      <c r="F8" s="221" t="s">
        <v>182</v>
      </c>
      <c r="G8" s="221" t="s">
        <v>183</v>
      </c>
      <c r="H8" s="221" t="s">
        <v>179</v>
      </c>
      <c r="I8" s="436"/>
      <c r="J8" s="19"/>
      <c r="K8" s="45" t="s">
        <v>137</v>
      </c>
      <c r="L8" s="66">
        <v>173</v>
      </c>
      <c r="M8" s="19"/>
      <c r="N8" s="19"/>
    </row>
    <row r="9" spans="1:18" s="23" customFormat="1" ht="31.9" customHeight="1" x14ac:dyDescent="0.25">
      <c r="A9" s="2" t="s">
        <v>10</v>
      </c>
      <c r="B9" s="225" t="s">
        <v>11</v>
      </c>
      <c r="C9" s="2" t="s">
        <v>4</v>
      </c>
      <c r="D9" s="181">
        <f>D13+D28+D37+D43+D46+D67</f>
        <v>54.019999999999996</v>
      </c>
      <c r="E9" s="181">
        <f t="shared" ref="E9:G9" si="0">E13+E28+E37+E43+E46+E67</f>
        <v>70.949999999999989</v>
      </c>
      <c r="F9" s="181">
        <f t="shared" si="0"/>
        <v>54.11</v>
      </c>
      <c r="G9" s="181">
        <f t="shared" si="0"/>
        <v>54.11</v>
      </c>
      <c r="H9" s="181">
        <f>F9/E9*100</f>
        <v>76.264975334742786</v>
      </c>
      <c r="I9" s="181"/>
      <c r="J9" s="103"/>
      <c r="K9" s="103"/>
      <c r="L9" s="103"/>
      <c r="M9" s="103"/>
      <c r="N9" s="103"/>
    </row>
    <row r="10" spans="1:18" s="23" customFormat="1" ht="31.9" customHeight="1" x14ac:dyDescent="0.25">
      <c r="A10" s="2">
        <v>1</v>
      </c>
      <c r="B10" s="225" t="s">
        <v>12</v>
      </c>
      <c r="C10" s="2" t="s">
        <v>4</v>
      </c>
      <c r="D10" s="181">
        <f>D13+D28</f>
        <v>1</v>
      </c>
      <c r="E10" s="181">
        <f t="shared" ref="E10:G10" si="1">E13+E28</f>
        <v>8.3000000000000007</v>
      </c>
      <c r="F10" s="181">
        <f t="shared" si="1"/>
        <v>2.2999999999999998</v>
      </c>
      <c r="G10" s="181">
        <f t="shared" si="1"/>
        <v>2.2999999999999998</v>
      </c>
      <c r="H10" s="181">
        <f t="shared" ref="H10:H73" si="2">F10/E10*100</f>
        <v>27.710843373493972</v>
      </c>
      <c r="I10" s="181"/>
      <c r="J10" s="103"/>
      <c r="K10" s="103"/>
      <c r="L10" s="103"/>
      <c r="M10" s="103"/>
      <c r="N10" s="103"/>
    </row>
    <row r="11" spans="1:18" s="70" customFormat="1" ht="31.9" customHeight="1" x14ac:dyDescent="0.25">
      <c r="A11" s="2"/>
      <c r="B11" s="224" t="s">
        <v>14</v>
      </c>
      <c r="C11" s="2" t="s">
        <v>15</v>
      </c>
      <c r="D11" s="181">
        <f>D12+D30</f>
        <v>3.6850000000000001</v>
      </c>
      <c r="E11" s="181">
        <f t="shared" ref="E11:G11" si="3">E12+E30</f>
        <v>25.688550000000003</v>
      </c>
      <c r="F11" s="181">
        <f t="shared" si="3"/>
        <v>0</v>
      </c>
      <c r="G11" s="181">
        <f t="shared" si="3"/>
        <v>0</v>
      </c>
      <c r="H11" s="181">
        <f t="shared" si="2"/>
        <v>0</v>
      </c>
      <c r="I11" s="181"/>
      <c r="J11" s="103"/>
      <c r="K11" s="103"/>
      <c r="L11" s="122"/>
      <c r="M11" s="122"/>
      <c r="N11" s="122"/>
    </row>
    <row r="12" spans="1:18" s="70" customFormat="1" ht="31.9" customHeight="1" x14ac:dyDescent="0.25">
      <c r="A12" s="2"/>
      <c r="B12" s="225" t="s">
        <v>142</v>
      </c>
      <c r="C12" s="2" t="s">
        <v>15</v>
      </c>
      <c r="D12" s="181">
        <f>D15</f>
        <v>0</v>
      </c>
      <c r="E12" s="181">
        <f t="shared" ref="E12:G12" si="4">E15</f>
        <v>21.998550000000002</v>
      </c>
      <c r="F12" s="181">
        <f t="shared" si="4"/>
        <v>0</v>
      </c>
      <c r="G12" s="181">
        <f t="shared" si="4"/>
        <v>0</v>
      </c>
      <c r="H12" s="181">
        <f t="shared" si="2"/>
        <v>0</v>
      </c>
      <c r="I12" s="181"/>
      <c r="J12" s="103"/>
      <c r="K12" s="103"/>
      <c r="L12" s="122"/>
      <c r="M12" s="122"/>
      <c r="N12" s="122"/>
    </row>
    <row r="13" spans="1:18" ht="31.9" customHeight="1" x14ac:dyDescent="0.25">
      <c r="A13" s="2" t="s">
        <v>3</v>
      </c>
      <c r="B13" s="225" t="s">
        <v>17</v>
      </c>
      <c r="C13" s="2" t="s">
        <v>4</v>
      </c>
      <c r="D13" s="181">
        <f>D16+D19</f>
        <v>0</v>
      </c>
      <c r="E13" s="181">
        <f t="shared" ref="E13:G13" si="5">E16+E19</f>
        <v>7.3</v>
      </c>
      <c r="F13" s="181">
        <f t="shared" si="5"/>
        <v>1.3</v>
      </c>
      <c r="G13" s="181">
        <f t="shared" si="5"/>
        <v>1.3</v>
      </c>
      <c r="H13" s="181">
        <f t="shared" si="2"/>
        <v>17.808219178082194</v>
      </c>
      <c r="I13" s="181"/>
      <c r="J13" s="19"/>
      <c r="K13" s="124"/>
      <c r="L13" s="124"/>
      <c r="M13" s="124"/>
      <c r="N13" s="19"/>
    </row>
    <row r="14" spans="1:18" s="69" customFormat="1" ht="31.9" customHeight="1" x14ac:dyDescent="0.25">
      <c r="A14" s="2"/>
      <c r="B14" s="227" t="s">
        <v>139</v>
      </c>
      <c r="C14" s="4" t="s">
        <v>140</v>
      </c>
      <c r="D14" s="186">
        <f>(D17+D20)/2</f>
        <v>30.125</v>
      </c>
      <c r="E14" s="186">
        <f t="shared" ref="E14:G14" si="6">(E17+E20)/2</f>
        <v>30.135000000000002</v>
      </c>
      <c r="F14" s="186">
        <f t="shared" si="6"/>
        <v>0</v>
      </c>
      <c r="G14" s="186">
        <f t="shared" si="6"/>
        <v>0</v>
      </c>
      <c r="H14" s="181">
        <f t="shared" si="2"/>
        <v>0</v>
      </c>
      <c r="I14" s="186"/>
      <c r="J14" s="19"/>
      <c r="K14" s="19"/>
      <c r="L14" s="123"/>
      <c r="M14" s="123"/>
      <c r="N14" s="123"/>
    </row>
    <row r="15" spans="1:18" s="69" customFormat="1" ht="31.9" customHeight="1" x14ac:dyDescent="0.25">
      <c r="A15" s="2"/>
      <c r="B15" s="227" t="s">
        <v>141</v>
      </c>
      <c r="C15" s="4" t="s">
        <v>15</v>
      </c>
      <c r="D15" s="186">
        <f>D13*D14/10</f>
        <v>0</v>
      </c>
      <c r="E15" s="186">
        <f t="shared" ref="E15:G15" si="7">E13*E14/10</f>
        <v>21.998550000000002</v>
      </c>
      <c r="F15" s="186">
        <f t="shared" si="7"/>
        <v>0</v>
      </c>
      <c r="G15" s="186">
        <f t="shared" si="7"/>
        <v>0</v>
      </c>
      <c r="H15" s="181">
        <f t="shared" si="2"/>
        <v>0</v>
      </c>
      <c r="I15" s="186"/>
      <c r="J15" s="19"/>
      <c r="K15" s="19"/>
      <c r="L15" s="123"/>
      <c r="M15" s="123"/>
      <c r="N15" s="123"/>
    </row>
    <row r="16" spans="1:18" ht="31.9" customHeight="1" x14ac:dyDescent="0.25">
      <c r="A16" s="2" t="s">
        <v>18</v>
      </c>
      <c r="B16" s="225" t="s">
        <v>19</v>
      </c>
      <c r="C16" s="2" t="s">
        <v>4</v>
      </c>
      <c r="D16" s="181"/>
      <c r="E16" s="181">
        <v>1.3</v>
      </c>
      <c r="F16" s="181">
        <v>1.3</v>
      </c>
      <c r="G16" s="181">
        <v>1.3</v>
      </c>
      <c r="H16" s="181">
        <f t="shared" si="2"/>
        <v>100</v>
      </c>
      <c r="I16" s="181"/>
      <c r="J16" s="104"/>
      <c r="K16" s="104"/>
      <c r="L16" s="104"/>
      <c r="M16" s="104"/>
      <c r="N16" s="104"/>
      <c r="O16" s="27"/>
      <c r="P16" s="27"/>
      <c r="Q16" s="27"/>
      <c r="R16" s="27"/>
    </row>
    <row r="17" spans="1:21" s="69" customFormat="1" ht="31.9" customHeight="1" x14ac:dyDescent="0.25">
      <c r="A17" s="2"/>
      <c r="B17" s="227" t="s">
        <v>139</v>
      </c>
      <c r="C17" s="4" t="s">
        <v>140</v>
      </c>
      <c r="D17" s="186">
        <v>33.5</v>
      </c>
      <c r="E17" s="186">
        <v>33.5</v>
      </c>
      <c r="F17" s="186">
        <v>0</v>
      </c>
      <c r="G17" s="186">
        <v>0</v>
      </c>
      <c r="H17" s="181">
        <f t="shared" si="2"/>
        <v>0</v>
      </c>
      <c r="I17" s="186"/>
      <c r="J17" s="104"/>
      <c r="K17" s="104"/>
      <c r="L17" s="129"/>
      <c r="M17" s="129"/>
      <c r="N17" s="129"/>
      <c r="O17" s="130"/>
      <c r="P17" s="130"/>
      <c r="Q17" s="130"/>
      <c r="R17" s="130"/>
    </row>
    <row r="18" spans="1:21" s="69" customFormat="1" ht="31.9" customHeight="1" x14ac:dyDescent="0.25">
      <c r="A18" s="2"/>
      <c r="B18" s="227" t="s">
        <v>141</v>
      </c>
      <c r="C18" s="4" t="s">
        <v>15</v>
      </c>
      <c r="D18" s="186">
        <f>D16*D17/10</f>
        <v>0</v>
      </c>
      <c r="E18" s="186">
        <f t="shared" ref="E18:G18" si="8">E16*E17/10</f>
        <v>4.3550000000000004</v>
      </c>
      <c r="F18" s="186">
        <f t="shared" si="8"/>
        <v>0</v>
      </c>
      <c r="G18" s="186">
        <f t="shared" si="8"/>
        <v>0</v>
      </c>
      <c r="H18" s="181">
        <f t="shared" si="2"/>
        <v>0</v>
      </c>
      <c r="I18" s="186"/>
      <c r="J18" s="104"/>
      <c r="K18" s="104"/>
      <c r="L18" s="129"/>
      <c r="M18" s="129"/>
      <c r="N18" s="129"/>
      <c r="O18" s="130"/>
      <c r="P18" s="130"/>
      <c r="Q18" s="130"/>
      <c r="R18" s="130"/>
    </row>
    <row r="19" spans="1:21" ht="31.9" customHeight="1" x14ac:dyDescent="0.25">
      <c r="A19" s="269" t="s">
        <v>20</v>
      </c>
      <c r="B19" s="270" t="s">
        <v>21</v>
      </c>
      <c r="C19" s="269" t="s">
        <v>4</v>
      </c>
      <c r="D19" s="181">
        <f t="shared" ref="D19:G19" si="9">D22+D25</f>
        <v>0</v>
      </c>
      <c r="E19" s="181">
        <f t="shared" si="9"/>
        <v>6</v>
      </c>
      <c r="F19" s="181">
        <f t="shared" si="9"/>
        <v>0</v>
      </c>
      <c r="G19" s="181">
        <f t="shared" si="9"/>
        <v>0</v>
      </c>
      <c r="H19" s="181">
        <f t="shared" si="2"/>
        <v>0</v>
      </c>
      <c r="I19" s="181"/>
      <c r="J19" s="20"/>
      <c r="K19" s="20"/>
      <c r="L19" s="20"/>
      <c r="M19" s="20"/>
      <c r="N19" s="113"/>
      <c r="O19" s="25"/>
      <c r="P19" s="25"/>
      <c r="Q19" s="25"/>
      <c r="R19" s="25"/>
      <c r="S19" s="25"/>
      <c r="T19" s="25"/>
      <c r="U19" s="57"/>
    </row>
    <row r="20" spans="1:21" s="69" customFormat="1" ht="31.9" customHeight="1" x14ac:dyDescent="0.25">
      <c r="A20" s="269"/>
      <c r="B20" s="227" t="s">
        <v>139</v>
      </c>
      <c r="C20" s="4" t="s">
        <v>140</v>
      </c>
      <c r="D20" s="186">
        <f>(D23+D26)/2</f>
        <v>26.75</v>
      </c>
      <c r="E20" s="186">
        <f t="shared" ref="E20:G20" si="10">(E23+E26)/2</f>
        <v>26.770000000000003</v>
      </c>
      <c r="F20" s="186">
        <f t="shared" si="10"/>
        <v>0</v>
      </c>
      <c r="G20" s="186">
        <f t="shared" si="10"/>
        <v>0</v>
      </c>
      <c r="H20" s="181">
        <f t="shared" si="2"/>
        <v>0</v>
      </c>
      <c r="I20" s="186"/>
      <c r="J20" s="20"/>
      <c r="K20" s="20"/>
      <c r="L20" s="131"/>
      <c r="M20" s="131"/>
      <c r="N20" s="132"/>
      <c r="O20" s="71"/>
      <c r="P20" s="71"/>
      <c r="Q20" s="71"/>
      <c r="R20" s="71"/>
      <c r="S20" s="71"/>
      <c r="T20" s="71"/>
      <c r="U20" s="72"/>
    </row>
    <row r="21" spans="1:21" s="69" customFormat="1" ht="31.9" customHeight="1" x14ac:dyDescent="0.25">
      <c r="A21" s="269"/>
      <c r="B21" s="227" t="s">
        <v>141</v>
      </c>
      <c r="C21" s="4" t="s">
        <v>15</v>
      </c>
      <c r="D21" s="186">
        <f>D19*D20/10</f>
        <v>0</v>
      </c>
      <c r="E21" s="186">
        <f t="shared" ref="E21:G21" si="11">E19*E20/10</f>
        <v>16.062000000000001</v>
      </c>
      <c r="F21" s="186">
        <f t="shared" si="11"/>
        <v>0</v>
      </c>
      <c r="G21" s="186">
        <f t="shared" si="11"/>
        <v>0</v>
      </c>
      <c r="H21" s="181">
        <f t="shared" si="2"/>
        <v>0</v>
      </c>
      <c r="I21" s="186"/>
      <c r="J21" s="20"/>
      <c r="K21" s="20"/>
      <c r="L21" s="131"/>
      <c r="M21" s="131"/>
      <c r="N21" s="132"/>
      <c r="O21" s="71"/>
      <c r="P21" s="71"/>
      <c r="Q21" s="71"/>
      <c r="R21" s="71"/>
      <c r="S21" s="71"/>
      <c r="T21" s="71"/>
      <c r="U21" s="72"/>
    </row>
    <row r="22" spans="1:21" ht="31.9" customHeight="1" x14ac:dyDescent="0.25">
      <c r="A22" s="269" t="s">
        <v>22</v>
      </c>
      <c r="B22" s="270" t="s">
        <v>23</v>
      </c>
      <c r="C22" s="269" t="s">
        <v>4</v>
      </c>
      <c r="D22" s="181"/>
      <c r="E22" s="181">
        <v>6</v>
      </c>
      <c r="F22" s="186">
        <v>0</v>
      </c>
      <c r="G22" s="181">
        <v>0</v>
      </c>
      <c r="H22" s="181">
        <f t="shared" si="2"/>
        <v>0</v>
      </c>
      <c r="I22" s="186"/>
      <c r="J22" s="13"/>
      <c r="K22" s="13"/>
      <c r="L22" s="13"/>
      <c r="M22" s="13"/>
      <c r="N22" s="37"/>
      <c r="O22" s="38"/>
      <c r="P22" s="38"/>
      <c r="Q22" s="38"/>
      <c r="R22" s="38"/>
      <c r="S22" s="38"/>
      <c r="T22" s="38"/>
      <c r="U22" s="57"/>
    </row>
    <row r="23" spans="1:21" s="69" customFormat="1" ht="31.9" customHeight="1" x14ac:dyDescent="0.25">
      <c r="A23" s="269"/>
      <c r="B23" s="227" t="s">
        <v>139</v>
      </c>
      <c r="C23" s="4" t="s">
        <v>140</v>
      </c>
      <c r="D23" s="186">
        <v>38.299999999999997</v>
      </c>
      <c r="E23" s="186">
        <v>38.340000000000003</v>
      </c>
      <c r="F23" s="186"/>
      <c r="G23" s="186"/>
      <c r="H23" s="181">
        <f t="shared" si="2"/>
        <v>0</v>
      </c>
      <c r="I23" s="186"/>
      <c r="J23" s="13"/>
      <c r="K23" s="13"/>
      <c r="L23" s="73"/>
      <c r="M23" s="73"/>
      <c r="N23" s="74"/>
      <c r="O23" s="75"/>
      <c r="P23" s="75"/>
      <c r="Q23" s="75"/>
      <c r="R23" s="75"/>
      <c r="S23" s="75"/>
      <c r="T23" s="75"/>
      <c r="U23" s="72"/>
    </row>
    <row r="24" spans="1:21" s="69" customFormat="1" ht="31.9" customHeight="1" x14ac:dyDescent="0.25">
      <c r="A24" s="269"/>
      <c r="B24" s="227" t="s">
        <v>141</v>
      </c>
      <c r="C24" s="4" t="s">
        <v>15</v>
      </c>
      <c r="D24" s="186">
        <f>D22*D23/10</f>
        <v>0</v>
      </c>
      <c r="E24" s="186">
        <f t="shared" ref="E24:G24" si="12">E22*E23/10</f>
        <v>23.004000000000001</v>
      </c>
      <c r="F24" s="186">
        <f t="shared" si="12"/>
        <v>0</v>
      </c>
      <c r="G24" s="186">
        <f t="shared" si="12"/>
        <v>0</v>
      </c>
      <c r="H24" s="181">
        <f t="shared" si="2"/>
        <v>0</v>
      </c>
      <c r="I24" s="186"/>
      <c r="J24" s="13"/>
      <c r="K24" s="13"/>
      <c r="L24" s="73"/>
      <c r="M24" s="73"/>
      <c r="N24" s="74"/>
      <c r="O24" s="75"/>
      <c r="P24" s="75"/>
      <c r="Q24" s="75"/>
      <c r="R24" s="75"/>
      <c r="S24" s="75"/>
      <c r="T24" s="75"/>
      <c r="U24" s="72"/>
    </row>
    <row r="25" spans="1:21" ht="31.9" customHeight="1" x14ac:dyDescent="0.25">
      <c r="A25" s="269" t="s">
        <v>22</v>
      </c>
      <c r="B25" s="270" t="s">
        <v>24</v>
      </c>
      <c r="C25" s="269" t="s">
        <v>4</v>
      </c>
      <c r="D25" s="181"/>
      <c r="E25" s="181"/>
      <c r="F25" s="186">
        <v>0</v>
      </c>
      <c r="G25" s="186">
        <v>0</v>
      </c>
      <c r="H25" s="181"/>
      <c r="I25" s="186"/>
      <c r="J25" s="13"/>
      <c r="K25" s="13"/>
      <c r="L25" s="13"/>
      <c r="M25" s="13"/>
      <c r="N25" s="13"/>
      <c r="O25" s="14"/>
      <c r="P25" s="14"/>
      <c r="Q25" s="15"/>
      <c r="R25" s="15"/>
      <c r="S25" s="15"/>
      <c r="T25" s="15"/>
    </row>
    <row r="26" spans="1:21" ht="31.9" customHeight="1" x14ac:dyDescent="0.25">
      <c r="A26" s="269"/>
      <c r="B26" s="227" t="s">
        <v>139</v>
      </c>
      <c r="C26" s="4" t="s">
        <v>140</v>
      </c>
      <c r="D26" s="186">
        <v>15.2</v>
      </c>
      <c r="E26" s="186">
        <v>15.2</v>
      </c>
      <c r="F26" s="186"/>
      <c r="G26" s="186"/>
      <c r="H26" s="181">
        <f t="shared" si="2"/>
        <v>0</v>
      </c>
      <c r="I26" s="186"/>
      <c r="J26" s="13"/>
      <c r="K26" s="13"/>
      <c r="L26" s="13"/>
      <c r="M26" s="13"/>
      <c r="N26" s="13"/>
      <c r="O26" s="14"/>
      <c r="P26" s="14"/>
      <c r="Q26" s="15"/>
      <c r="R26" s="15"/>
      <c r="S26" s="15"/>
      <c r="T26" s="15"/>
    </row>
    <row r="27" spans="1:21" ht="31.9" customHeight="1" x14ac:dyDescent="0.25">
      <c r="A27" s="269"/>
      <c r="B27" s="227" t="s">
        <v>141</v>
      </c>
      <c r="C27" s="4" t="s">
        <v>15</v>
      </c>
      <c r="D27" s="181"/>
      <c r="E27" s="181"/>
      <c r="F27" s="186"/>
      <c r="G27" s="186"/>
      <c r="H27" s="181"/>
      <c r="I27" s="186"/>
      <c r="J27" s="13"/>
      <c r="K27" s="13"/>
      <c r="L27" s="13"/>
      <c r="M27" s="13"/>
      <c r="N27" s="13"/>
      <c r="O27" s="14"/>
      <c r="P27" s="14"/>
      <c r="Q27" s="15"/>
      <c r="R27" s="15"/>
      <c r="S27" s="15"/>
      <c r="T27" s="15"/>
    </row>
    <row r="28" spans="1:21" ht="31.9" customHeight="1" x14ac:dyDescent="0.25">
      <c r="A28" s="2" t="s">
        <v>5</v>
      </c>
      <c r="B28" s="225" t="s">
        <v>25</v>
      </c>
      <c r="C28" s="2" t="s">
        <v>4</v>
      </c>
      <c r="D28" s="181">
        <f t="shared" ref="D28:G28" si="13">D31+D34</f>
        <v>1</v>
      </c>
      <c r="E28" s="181">
        <f t="shared" si="13"/>
        <v>1</v>
      </c>
      <c r="F28" s="181">
        <f t="shared" si="13"/>
        <v>1</v>
      </c>
      <c r="G28" s="181">
        <f t="shared" si="13"/>
        <v>1</v>
      </c>
      <c r="H28" s="181">
        <f t="shared" si="2"/>
        <v>100</v>
      </c>
      <c r="I28" s="181"/>
      <c r="J28" s="16"/>
      <c r="K28" s="16"/>
      <c r="L28" s="16"/>
      <c r="M28" s="16"/>
      <c r="N28" s="16"/>
      <c r="O28" s="15"/>
      <c r="P28" s="15"/>
      <c r="Q28" s="15"/>
      <c r="R28" s="15"/>
      <c r="S28" s="15"/>
      <c r="T28" s="15"/>
    </row>
    <row r="29" spans="1:21" s="69" customFormat="1" ht="31.9" customHeight="1" x14ac:dyDescent="0.25">
      <c r="A29" s="2"/>
      <c r="B29" s="227" t="s">
        <v>139</v>
      </c>
      <c r="C29" s="4" t="s">
        <v>140</v>
      </c>
      <c r="D29" s="186">
        <v>36.85</v>
      </c>
      <c r="E29" s="186">
        <f>E35</f>
        <v>36.9</v>
      </c>
      <c r="F29" s="186">
        <f t="shared" ref="F29:G29" si="14">F35</f>
        <v>0</v>
      </c>
      <c r="G29" s="186">
        <f t="shared" si="14"/>
        <v>0</v>
      </c>
      <c r="H29" s="181">
        <f t="shared" si="2"/>
        <v>0</v>
      </c>
      <c r="I29" s="186"/>
      <c r="J29" s="16"/>
      <c r="K29" s="16"/>
      <c r="L29" s="59"/>
      <c r="M29" s="59"/>
      <c r="N29" s="59"/>
      <c r="O29" s="76"/>
      <c r="P29" s="76"/>
      <c r="Q29" s="76"/>
      <c r="R29" s="76"/>
      <c r="S29" s="76"/>
      <c r="T29" s="76"/>
    </row>
    <row r="30" spans="1:21" s="69" customFormat="1" ht="31.9" customHeight="1" x14ac:dyDescent="0.25">
      <c r="A30" s="2"/>
      <c r="B30" s="227" t="s">
        <v>141</v>
      </c>
      <c r="C30" s="4" t="s">
        <v>15</v>
      </c>
      <c r="D30" s="186">
        <f>D28*D29/10</f>
        <v>3.6850000000000001</v>
      </c>
      <c r="E30" s="186">
        <f t="shared" ref="E30:G30" si="15">E28*E29/10</f>
        <v>3.69</v>
      </c>
      <c r="F30" s="186">
        <f t="shared" si="15"/>
        <v>0</v>
      </c>
      <c r="G30" s="186">
        <f t="shared" si="15"/>
        <v>0</v>
      </c>
      <c r="H30" s="181">
        <f t="shared" si="2"/>
        <v>0</v>
      </c>
      <c r="I30" s="186"/>
      <c r="J30" s="16"/>
      <c r="K30" s="16"/>
      <c r="L30" s="59"/>
      <c r="M30" s="59"/>
      <c r="N30" s="59"/>
      <c r="O30" s="76"/>
      <c r="P30" s="76"/>
      <c r="Q30" s="76"/>
      <c r="R30" s="76"/>
      <c r="S30" s="76"/>
      <c r="T30" s="76"/>
    </row>
    <row r="31" spans="1:21" ht="31.9" customHeight="1" x14ac:dyDescent="0.25">
      <c r="A31" s="269" t="s">
        <v>18</v>
      </c>
      <c r="B31" s="271" t="s">
        <v>26</v>
      </c>
      <c r="C31" s="269" t="s">
        <v>4</v>
      </c>
      <c r="D31" s="181"/>
      <c r="E31" s="181"/>
      <c r="F31" s="181"/>
      <c r="G31" s="181"/>
      <c r="H31" s="181"/>
      <c r="I31" s="181"/>
      <c r="J31" s="16"/>
      <c r="K31" s="16"/>
      <c r="L31" s="16"/>
      <c r="M31" s="16"/>
      <c r="N31" s="16"/>
      <c r="O31" s="15"/>
      <c r="P31" s="15"/>
      <c r="Q31" s="15"/>
      <c r="R31" s="15"/>
      <c r="S31" s="15"/>
      <c r="T31" s="15"/>
    </row>
    <row r="32" spans="1:21" ht="31.9" customHeight="1" x14ac:dyDescent="0.25">
      <c r="A32" s="269"/>
      <c r="B32" s="227" t="s">
        <v>139</v>
      </c>
      <c r="C32" s="4" t="s">
        <v>140</v>
      </c>
      <c r="D32" s="181"/>
      <c r="E32" s="181"/>
      <c r="F32" s="181"/>
      <c r="G32" s="181"/>
      <c r="H32" s="181"/>
      <c r="I32" s="181"/>
      <c r="J32" s="16"/>
      <c r="K32" s="16"/>
      <c r="L32" s="16"/>
      <c r="M32" s="16"/>
      <c r="N32" s="16"/>
      <c r="O32" s="15"/>
      <c r="P32" s="15"/>
      <c r="Q32" s="15"/>
      <c r="R32" s="15"/>
      <c r="S32" s="15"/>
      <c r="T32" s="15"/>
    </row>
    <row r="33" spans="1:20" ht="31.9" customHeight="1" x14ac:dyDescent="0.25">
      <c r="A33" s="269"/>
      <c r="B33" s="227" t="s">
        <v>141</v>
      </c>
      <c r="C33" s="4" t="s">
        <v>15</v>
      </c>
      <c r="D33" s="181"/>
      <c r="E33" s="181"/>
      <c r="F33" s="181"/>
      <c r="G33" s="181"/>
      <c r="H33" s="181"/>
      <c r="I33" s="181"/>
      <c r="J33" s="16"/>
      <c r="K33" s="16"/>
      <c r="L33" s="16"/>
      <c r="M33" s="16"/>
      <c r="N33" s="16"/>
      <c r="O33" s="15"/>
      <c r="P33" s="15"/>
      <c r="Q33" s="15"/>
      <c r="R33" s="15"/>
      <c r="S33" s="15"/>
      <c r="T33" s="15"/>
    </row>
    <row r="34" spans="1:20" ht="31.9" customHeight="1" x14ac:dyDescent="0.25">
      <c r="A34" s="269" t="s">
        <v>20</v>
      </c>
      <c r="B34" s="270" t="s">
        <v>27</v>
      </c>
      <c r="C34" s="269" t="s">
        <v>4</v>
      </c>
      <c r="D34" s="203">
        <v>1</v>
      </c>
      <c r="E34" s="203">
        <v>1</v>
      </c>
      <c r="F34" s="203">
        <v>1</v>
      </c>
      <c r="G34" s="203">
        <v>1</v>
      </c>
      <c r="H34" s="181">
        <f t="shared" si="2"/>
        <v>100</v>
      </c>
      <c r="I34" s="186"/>
      <c r="J34" s="19"/>
      <c r="K34" s="19"/>
      <c r="L34" s="19"/>
      <c r="M34" s="19"/>
      <c r="N34" s="19"/>
    </row>
    <row r="35" spans="1:20" ht="31.9" customHeight="1" x14ac:dyDescent="0.25">
      <c r="A35" s="269"/>
      <c r="B35" s="227" t="s">
        <v>139</v>
      </c>
      <c r="C35" s="4" t="s">
        <v>140</v>
      </c>
      <c r="D35" s="186">
        <v>36.85</v>
      </c>
      <c r="E35" s="186">
        <v>36.9</v>
      </c>
      <c r="F35" s="186"/>
      <c r="G35" s="186"/>
      <c r="H35" s="181">
        <f t="shared" si="2"/>
        <v>0</v>
      </c>
      <c r="I35" s="186"/>
      <c r="J35" s="19"/>
      <c r="K35" s="19"/>
      <c r="L35" s="19"/>
      <c r="M35" s="19"/>
      <c r="N35" s="19"/>
    </row>
    <row r="36" spans="1:20" ht="31.9" customHeight="1" x14ac:dyDescent="0.25">
      <c r="A36" s="269"/>
      <c r="B36" s="227" t="s">
        <v>141</v>
      </c>
      <c r="C36" s="4" t="s">
        <v>15</v>
      </c>
      <c r="D36" s="186">
        <f>D34*D35/10</f>
        <v>3.6850000000000001</v>
      </c>
      <c r="E36" s="186">
        <f t="shared" ref="E36:G36" si="16">E34*E35/10</f>
        <v>3.69</v>
      </c>
      <c r="F36" s="186">
        <f t="shared" si="16"/>
        <v>0</v>
      </c>
      <c r="G36" s="186">
        <f t="shared" si="16"/>
        <v>0</v>
      </c>
      <c r="H36" s="181">
        <f t="shared" si="2"/>
        <v>0</v>
      </c>
      <c r="I36" s="186"/>
      <c r="J36" s="19"/>
      <c r="K36" s="19"/>
      <c r="L36" s="19"/>
      <c r="M36" s="19"/>
      <c r="N36" s="19"/>
    </row>
    <row r="37" spans="1:20" ht="31.9" customHeight="1" x14ac:dyDescent="0.25">
      <c r="A37" s="2">
        <v>2</v>
      </c>
      <c r="B37" s="225" t="s">
        <v>28</v>
      </c>
      <c r="C37" s="2" t="s">
        <v>4</v>
      </c>
      <c r="D37" s="181"/>
      <c r="E37" s="181">
        <v>1.06</v>
      </c>
      <c r="F37" s="181">
        <v>1.06</v>
      </c>
      <c r="G37" s="181">
        <v>1.06</v>
      </c>
      <c r="H37" s="181">
        <f t="shared" si="2"/>
        <v>100</v>
      </c>
      <c r="I37" s="181"/>
      <c r="J37" s="19"/>
      <c r="K37" s="60"/>
      <c r="L37" s="29"/>
      <c r="M37" s="29"/>
      <c r="N37" s="29"/>
      <c r="O37" s="29"/>
    </row>
    <row r="38" spans="1:20" s="69" customFormat="1" ht="31.9" customHeight="1" x14ac:dyDescent="0.25">
      <c r="A38" s="2"/>
      <c r="B38" s="227" t="s">
        <v>139</v>
      </c>
      <c r="C38" s="4" t="s">
        <v>140</v>
      </c>
      <c r="D38" s="186">
        <v>137.5</v>
      </c>
      <c r="E38" s="186">
        <v>140</v>
      </c>
      <c r="F38" s="186"/>
      <c r="G38" s="186"/>
      <c r="H38" s="181">
        <f t="shared" si="2"/>
        <v>0</v>
      </c>
      <c r="I38" s="186"/>
      <c r="J38" s="19"/>
      <c r="K38" s="29"/>
      <c r="L38" s="126"/>
      <c r="M38" s="126"/>
      <c r="N38" s="126"/>
      <c r="O38" s="126"/>
    </row>
    <row r="39" spans="1:20" s="69" customFormat="1" ht="31.9" customHeight="1" x14ac:dyDescent="0.25">
      <c r="A39" s="2"/>
      <c r="B39" s="227" t="s">
        <v>141</v>
      </c>
      <c r="C39" s="4" t="s">
        <v>15</v>
      </c>
      <c r="D39" s="186">
        <f>D37*D38/10</f>
        <v>0</v>
      </c>
      <c r="E39" s="186">
        <f>E37*E38/10</f>
        <v>14.84</v>
      </c>
      <c r="F39" s="186">
        <f t="shared" ref="F39:G39" si="17">F37*F38/10</f>
        <v>0</v>
      </c>
      <c r="G39" s="186">
        <f t="shared" si="17"/>
        <v>0</v>
      </c>
      <c r="H39" s="181">
        <f t="shared" si="2"/>
        <v>0</v>
      </c>
      <c r="I39" s="186"/>
      <c r="J39" s="19"/>
      <c r="K39" s="29"/>
      <c r="L39" s="126"/>
      <c r="M39" s="126"/>
      <c r="N39" s="126"/>
      <c r="O39" s="126"/>
    </row>
    <row r="40" spans="1:20" s="69" customFormat="1" ht="31.9" customHeight="1" x14ac:dyDescent="0.25">
      <c r="A40" s="2">
        <v>3</v>
      </c>
      <c r="B40" s="223" t="s">
        <v>162</v>
      </c>
      <c r="C40" s="222" t="s">
        <v>4</v>
      </c>
      <c r="D40" s="184"/>
      <c r="E40" s="184">
        <v>0</v>
      </c>
      <c r="F40" s="186"/>
      <c r="G40" s="186"/>
      <c r="H40" s="181"/>
      <c r="I40" s="186"/>
      <c r="J40" s="19"/>
      <c r="K40" s="29"/>
      <c r="L40" s="126"/>
      <c r="M40" s="126"/>
      <c r="N40" s="126"/>
      <c r="O40" s="126"/>
    </row>
    <row r="41" spans="1:20" s="69" customFormat="1" ht="31.9" customHeight="1" x14ac:dyDescent="0.25">
      <c r="A41" s="2"/>
      <c r="B41" s="226" t="s">
        <v>139</v>
      </c>
      <c r="C41" s="233" t="s">
        <v>140</v>
      </c>
      <c r="D41" s="188"/>
      <c r="E41" s="188">
        <v>24.1</v>
      </c>
      <c r="F41" s="186"/>
      <c r="G41" s="186"/>
      <c r="H41" s="181">
        <f t="shared" si="2"/>
        <v>0</v>
      </c>
      <c r="I41" s="186"/>
      <c r="J41" s="19"/>
      <c r="K41" s="29"/>
      <c r="L41" s="126"/>
      <c r="M41" s="126"/>
      <c r="N41" s="126"/>
      <c r="O41" s="126"/>
    </row>
    <row r="42" spans="1:20" s="69" customFormat="1" ht="31.9" customHeight="1" x14ac:dyDescent="0.25">
      <c r="A42" s="2"/>
      <c r="B42" s="226" t="s">
        <v>141</v>
      </c>
      <c r="C42" s="233" t="s">
        <v>15</v>
      </c>
      <c r="D42" s="188"/>
      <c r="E42" s="188">
        <f>E40*E41/10</f>
        <v>0</v>
      </c>
      <c r="F42" s="188">
        <f t="shared" ref="F42:G42" si="18">F40*F41/10</f>
        <v>0</v>
      </c>
      <c r="G42" s="188">
        <f t="shared" si="18"/>
        <v>0</v>
      </c>
      <c r="H42" s="181"/>
      <c r="I42" s="186"/>
      <c r="J42" s="19"/>
      <c r="K42" s="29"/>
      <c r="L42" s="126"/>
      <c r="M42" s="126"/>
      <c r="N42" s="126"/>
      <c r="O42" s="126"/>
    </row>
    <row r="43" spans="1:20" ht="31.9" customHeight="1" x14ac:dyDescent="0.25">
      <c r="A43" s="2">
        <v>4</v>
      </c>
      <c r="B43" s="225" t="s">
        <v>163</v>
      </c>
      <c r="C43" s="2" t="s">
        <v>4</v>
      </c>
      <c r="D43" s="181">
        <v>0.5</v>
      </c>
      <c r="E43" s="181">
        <v>0.5</v>
      </c>
      <c r="F43" s="181">
        <v>0.27</v>
      </c>
      <c r="G43" s="181">
        <f>F43</f>
        <v>0.27</v>
      </c>
      <c r="H43" s="181">
        <f t="shared" si="2"/>
        <v>54</v>
      </c>
      <c r="I43" s="181"/>
      <c r="J43" s="19"/>
      <c r="K43" s="19"/>
      <c r="L43" s="19"/>
      <c r="M43" s="19"/>
      <c r="N43" s="19"/>
    </row>
    <row r="44" spans="1:20" ht="31.9" customHeight="1" x14ac:dyDescent="0.25">
      <c r="A44" s="4"/>
      <c r="B44" s="227" t="s">
        <v>139</v>
      </c>
      <c r="C44" s="4" t="s">
        <v>140</v>
      </c>
      <c r="D44" s="186">
        <v>100</v>
      </c>
      <c r="E44" s="186">
        <v>98.5</v>
      </c>
      <c r="F44" s="186"/>
      <c r="G44" s="186"/>
      <c r="H44" s="181">
        <f t="shared" si="2"/>
        <v>0</v>
      </c>
      <c r="I44" s="186"/>
      <c r="J44" s="19"/>
      <c r="K44" s="19"/>
      <c r="L44" s="19"/>
      <c r="M44" s="19"/>
      <c r="N44" s="19"/>
    </row>
    <row r="45" spans="1:20" ht="31.9" customHeight="1" x14ac:dyDescent="0.25">
      <c r="A45" s="4"/>
      <c r="B45" s="236" t="s">
        <v>141</v>
      </c>
      <c r="C45" s="237" t="s">
        <v>15</v>
      </c>
      <c r="D45" s="186">
        <f>D43*D44/10</f>
        <v>5</v>
      </c>
      <c r="E45" s="186">
        <f>E43*E44/10</f>
        <v>4.9249999999999998</v>
      </c>
      <c r="F45" s="186">
        <f t="shared" ref="F45:G45" si="19">F43*F44/10</f>
        <v>0</v>
      </c>
      <c r="G45" s="186">
        <f t="shared" si="19"/>
        <v>0</v>
      </c>
      <c r="H45" s="181">
        <f t="shared" si="2"/>
        <v>0</v>
      </c>
      <c r="I45" s="186"/>
      <c r="J45" s="19"/>
      <c r="K45" s="19"/>
      <c r="L45" s="19"/>
      <c r="M45" s="19"/>
      <c r="N45" s="19"/>
    </row>
    <row r="46" spans="1:20" ht="31.9" customHeight="1" x14ac:dyDescent="0.25">
      <c r="A46" s="2">
        <v>5</v>
      </c>
      <c r="B46" s="225" t="s">
        <v>30</v>
      </c>
      <c r="C46" s="2" t="s">
        <v>4</v>
      </c>
      <c r="D46" s="181">
        <f>D47+D55+D64</f>
        <v>39.15</v>
      </c>
      <c r="E46" s="181">
        <f t="shared" ref="E46:G46" si="20">E47+E55+E64</f>
        <v>49.949999999999996</v>
      </c>
      <c r="F46" s="181">
        <f t="shared" si="20"/>
        <v>39.449999999999996</v>
      </c>
      <c r="G46" s="181">
        <f t="shared" si="20"/>
        <v>39.449999999999996</v>
      </c>
      <c r="H46" s="181">
        <f t="shared" si="2"/>
        <v>78.978978978978972</v>
      </c>
      <c r="I46" s="181"/>
      <c r="J46" s="19"/>
      <c r="K46" s="19"/>
      <c r="L46" s="19"/>
      <c r="M46" s="19"/>
      <c r="N46" s="19"/>
    </row>
    <row r="47" spans="1:20" ht="31.9" customHeight="1" x14ac:dyDescent="0.25">
      <c r="A47" s="272" t="s">
        <v>31</v>
      </c>
      <c r="B47" s="225" t="s">
        <v>32</v>
      </c>
      <c r="C47" s="2" t="s">
        <v>4</v>
      </c>
      <c r="D47" s="181">
        <f>D48+D49</f>
        <v>34.65</v>
      </c>
      <c r="E47" s="181">
        <f t="shared" ref="E47:G47" si="21">E48+E49</f>
        <v>44.65</v>
      </c>
      <c r="F47" s="181">
        <f t="shared" si="21"/>
        <v>34.65</v>
      </c>
      <c r="G47" s="181">
        <f t="shared" si="21"/>
        <v>34.65</v>
      </c>
      <c r="H47" s="181">
        <f t="shared" si="2"/>
        <v>77.603583426651738</v>
      </c>
      <c r="I47" s="181"/>
      <c r="J47" s="19"/>
      <c r="K47" s="19"/>
      <c r="L47" s="19"/>
      <c r="M47" s="19"/>
      <c r="N47" s="19"/>
    </row>
    <row r="48" spans="1:20" ht="31.9" customHeight="1" x14ac:dyDescent="0.25">
      <c r="A48" s="5" t="s">
        <v>22</v>
      </c>
      <c r="B48" s="273" t="s">
        <v>117</v>
      </c>
      <c r="C48" s="274" t="s">
        <v>4</v>
      </c>
      <c r="D48" s="186">
        <v>24</v>
      </c>
      <c r="E48" s="186">
        <f>D48+D49</f>
        <v>34.65</v>
      </c>
      <c r="F48" s="186">
        <v>34.65</v>
      </c>
      <c r="G48" s="186">
        <v>34.65</v>
      </c>
      <c r="H48" s="186">
        <f t="shared" si="2"/>
        <v>100</v>
      </c>
      <c r="I48" s="186"/>
      <c r="J48" s="13"/>
      <c r="K48" s="13"/>
      <c r="L48" s="13"/>
      <c r="M48" s="13"/>
      <c r="N48" s="13"/>
      <c r="O48" s="14"/>
      <c r="P48" s="14"/>
      <c r="Q48" s="14"/>
    </row>
    <row r="49" spans="1:17" s="23" customFormat="1" ht="31.9" customHeight="1" x14ac:dyDescent="0.25">
      <c r="A49" s="2" t="s">
        <v>18</v>
      </c>
      <c r="B49" s="225" t="s">
        <v>107</v>
      </c>
      <c r="C49" s="275" t="s">
        <v>4</v>
      </c>
      <c r="D49" s="181">
        <f>D50+D51</f>
        <v>10.65</v>
      </c>
      <c r="E49" s="181">
        <f t="shared" ref="E49:G49" si="22">E50+E51</f>
        <v>10</v>
      </c>
      <c r="F49" s="181">
        <f t="shared" si="22"/>
        <v>0</v>
      </c>
      <c r="G49" s="181">
        <f t="shared" si="22"/>
        <v>0</v>
      </c>
      <c r="H49" s="181">
        <f t="shared" si="2"/>
        <v>0</v>
      </c>
      <c r="I49" s="181"/>
      <c r="J49" s="103"/>
      <c r="K49" s="103"/>
      <c r="L49" s="103"/>
      <c r="M49" s="103"/>
      <c r="N49" s="103"/>
    </row>
    <row r="50" spans="1:17" ht="31.9" customHeight="1" x14ac:dyDescent="0.25">
      <c r="A50" s="274" t="s">
        <v>16</v>
      </c>
      <c r="B50" s="276" t="s">
        <v>115</v>
      </c>
      <c r="C50" s="274" t="s">
        <v>4</v>
      </c>
      <c r="D50" s="186">
        <f>8.65-1</f>
        <v>7.65</v>
      </c>
      <c r="E50" s="186">
        <v>10</v>
      </c>
      <c r="F50" s="186">
        <v>0</v>
      </c>
      <c r="G50" s="186">
        <v>0</v>
      </c>
      <c r="H50" s="181">
        <f t="shared" si="2"/>
        <v>0</v>
      </c>
      <c r="I50" s="186"/>
      <c r="J50" s="19"/>
      <c r="K50" s="13"/>
      <c r="L50" s="13"/>
      <c r="M50" s="19"/>
      <c r="N50" s="19"/>
    </row>
    <row r="51" spans="1:17" ht="31.9" customHeight="1" x14ac:dyDescent="0.25">
      <c r="A51" s="274" t="s">
        <v>16</v>
      </c>
      <c r="B51" s="276" t="s">
        <v>33</v>
      </c>
      <c r="C51" s="4" t="s">
        <v>4</v>
      </c>
      <c r="D51" s="186">
        <v>3</v>
      </c>
      <c r="E51" s="186"/>
      <c r="F51" s="186"/>
      <c r="G51" s="186"/>
      <c r="H51" s="181"/>
      <c r="I51" s="186"/>
      <c r="J51" s="19"/>
      <c r="K51" s="19"/>
      <c r="L51" s="19"/>
      <c r="M51" s="19"/>
      <c r="N51" s="19"/>
    </row>
    <row r="52" spans="1:17" s="23" customFormat="1" ht="31.9" customHeight="1" x14ac:dyDescent="0.25">
      <c r="A52" s="1" t="s">
        <v>20</v>
      </c>
      <c r="B52" s="224" t="s">
        <v>118</v>
      </c>
      <c r="C52" s="2" t="s">
        <v>4</v>
      </c>
      <c r="D52" s="181">
        <f>D53+D54</f>
        <v>15.6</v>
      </c>
      <c r="E52" s="181">
        <f t="shared" ref="E52:G52" si="23">E53+E54</f>
        <v>20.399999999999999</v>
      </c>
      <c r="F52" s="181">
        <f t="shared" si="23"/>
        <v>20.399999999999999</v>
      </c>
      <c r="G52" s="181">
        <f t="shared" si="23"/>
        <v>20.399999999999999</v>
      </c>
      <c r="H52" s="181">
        <f t="shared" si="2"/>
        <v>100</v>
      </c>
      <c r="I52" s="181"/>
      <c r="J52" s="103"/>
      <c r="K52" s="103"/>
      <c r="L52" s="103"/>
      <c r="M52" s="103"/>
      <c r="N52" s="103"/>
    </row>
    <row r="53" spans="1:17" ht="31.9" customHeight="1" x14ac:dyDescent="0.25">
      <c r="A53" s="277" t="s">
        <v>16</v>
      </c>
      <c r="B53" s="276" t="s">
        <v>119</v>
      </c>
      <c r="C53" s="4" t="s">
        <v>4</v>
      </c>
      <c r="D53" s="186">
        <v>15.6</v>
      </c>
      <c r="E53" s="186">
        <f>D48*85%</f>
        <v>20.399999999999999</v>
      </c>
      <c r="F53" s="186">
        <v>20.399999999999999</v>
      </c>
      <c r="G53" s="186">
        <v>20.399999999999999</v>
      </c>
      <c r="H53" s="181">
        <f t="shared" si="2"/>
        <v>100</v>
      </c>
      <c r="I53" s="186"/>
      <c r="J53" s="19"/>
      <c r="K53" s="19"/>
      <c r="L53" s="19"/>
      <c r="M53" s="114"/>
      <c r="N53" s="19"/>
    </row>
    <row r="54" spans="1:17" ht="31.9" customHeight="1" x14ac:dyDescent="0.25">
      <c r="A54" s="4"/>
      <c r="B54" s="276" t="s">
        <v>120</v>
      </c>
      <c r="C54" s="4" t="s">
        <v>4</v>
      </c>
      <c r="D54" s="186"/>
      <c r="E54" s="186"/>
      <c r="F54" s="186"/>
      <c r="G54" s="186"/>
      <c r="H54" s="181"/>
      <c r="I54" s="186"/>
      <c r="J54" s="19"/>
      <c r="K54" s="19"/>
      <c r="L54" s="19"/>
      <c r="M54" s="19"/>
      <c r="N54" s="19"/>
    </row>
    <row r="55" spans="1:17" ht="31.9" customHeight="1" x14ac:dyDescent="0.25">
      <c r="A55" s="2" t="s">
        <v>38</v>
      </c>
      <c r="B55" s="225" t="s">
        <v>34</v>
      </c>
      <c r="C55" s="2" t="s">
        <v>4</v>
      </c>
      <c r="D55" s="181">
        <f>D56+D57</f>
        <v>4.5</v>
      </c>
      <c r="E55" s="181">
        <f t="shared" ref="E55:G55" si="24">E56+E57</f>
        <v>5.3</v>
      </c>
      <c r="F55" s="181">
        <f t="shared" si="24"/>
        <v>4.8</v>
      </c>
      <c r="G55" s="181">
        <f t="shared" si="24"/>
        <v>4.8</v>
      </c>
      <c r="H55" s="181">
        <f t="shared" si="2"/>
        <v>90.566037735849065</v>
      </c>
      <c r="I55" s="181"/>
      <c r="J55" s="19"/>
      <c r="K55" s="19"/>
      <c r="L55" s="19"/>
      <c r="M55" s="19"/>
      <c r="N55" s="19"/>
    </row>
    <row r="56" spans="1:17" ht="31.9" customHeight="1" x14ac:dyDescent="0.25">
      <c r="A56" s="4" t="s">
        <v>22</v>
      </c>
      <c r="B56" s="273" t="s">
        <v>118</v>
      </c>
      <c r="C56" s="4" t="s">
        <v>4</v>
      </c>
      <c r="D56" s="186">
        <v>4.5</v>
      </c>
      <c r="E56" s="186">
        <f>D56+E58</f>
        <v>4.8</v>
      </c>
      <c r="F56" s="186">
        <v>4.8</v>
      </c>
      <c r="G56" s="186">
        <v>4.8</v>
      </c>
      <c r="H56" s="181">
        <f t="shared" si="2"/>
        <v>100</v>
      </c>
      <c r="I56" s="186"/>
      <c r="J56" s="19"/>
      <c r="K56" s="19"/>
      <c r="L56" s="19"/>
      <c r="M56" s="19"/>
      <c r="N56" s="19"/>
    </row>
    <row r="57" spans="1:17" ht="31.9" customHeight="1" x14ac:dyDescent="0.25">
      <c r="A57" s="4" t="s">
        <v>22</v>
      </c>
      <c r="B57" s="227" t="s">
        <v>121</v>
      </c>
      <c r="C57" s="4" t="s">
        <v>4</v>
      </c>
      <c r="D57" s="186">
        <f>D58+D61</f>
        <v>0</v>
      </c>
      <c r="E57" s="186">
        <f t="shared" ref="E57:G57" si="25">E58+E61</f>
        <v>0.5</v>
      </c>
      <c r="F57" s="186">
        <f t="shared" si="25"/>
        <v>0</v>
      </c>
      <c r="G57" s="186">
        <f t="shared" si="25"/>
        <v>0</v>
      </c>
      <c r="H57" s="181">
        <f t="shared" si="2"/>
        <v>0</v>
      </c>
      <c r="I57" s="186"/>
      <c r="J57" s="19"/>
      <c r="K57" s="19"/>
      <c r="L57" s="19"/>
      <c r="M57" s="19"/>
      <c r="N57" s="19"/>
    </row>
    <row r="58" spans="1:17" s="41" customFormat="1" ht="31.9" customHeight="1" x14ac:dyDescent="0.25">
      <c r="A58" s="3" t="s">
        <v>18</v>
      </c>
      <c r="B58" s="278" t="s">
        <v>106</v>
      </c>
      <c r="C58" s="4" t="s">
        <v>4</v>
      </c>
      <c r="D58" s="189">
        <f>D59+D60</f>
        <v>0</v>
      </c>
      <c r="E58" s="189">
        <f t="shared" ref="E58:G58" si="26">E59+E60</f>
        <v>0.30000000000000004</v>
      </c>
      <c r="F58" s="189">
        <f t="shared" si="26"/>
        <v>0</v>
      </c>
      <c r="G58" s="189">
        <f t="shared" si="26"/>
        <v>0</v>
      </c>
      <c r="H58" s="181">
        <f t="shared" si="2"/>
        <v>0</v>
      </c>
      <c r="I58" s="189"/>
      <c r="J58" s="107"/>
      <c r="K58" s="34"/>
      <c r="L58" s="34"/>
      <c r="M58" s="34"/>
      <c r="N58" s="34"/>
      <c r="O58" s="34"/>
      <c r="P58" s="48"/>
      <c r="Q58" s="48"/>
    </row>
    <row r="59" spans="1:17" ht="31.9" customHeight="1" x14ac:dyDescent="0.25">
      <c r="A59" s="4" t="s">
        <v>16</v>
      </c>
      <c r="B59" s="273" t="s">
        <v>123</v>
      </c>
      <c r="C59" s="4" t="s">
        <v>4</v>
      </c>
      <c r="D59" s="186"/>
      <c r="E59" s="186">
        <v>0.2</v>
      </c>
      <c r="F59" s="186">
        <v>0</v>
      </c>
      <c r="G59" s="186">
        <v>0</v>
      </c>
      <c r="H59" s="181">
        <f t="shared" si="2"/>
        <v>0</v>
      </c>
      <c r="I59" s="186"/>
      <c r="J59" s="104"/>
      <c r="K59" s="6"/>
      <c r="L59" s="6"/>
      <c r="M59" s="6"/>
      <c r="N59" s="6"/>
      <c r="O59" s="6"/>
      <c r="P59" s="30"/>
      <c r="Q59" s="30"/>
    </row>
    <row r="60" spans="1:17" ht="31.9" customHeight="1" x14ac:dyDescent="0.25">
      <c r="A60" s="4" t="s">
        <v>16</v>
      </c>
      <c r="B60" s="273" t="s">
        <v>122</v>
      </c>
      <c r="C60" s="4" t="s">
        <v>4</v>
      </c>
      <c r="D60" s="186"/>
      <c r="E60" s="186">
        <v>0.1</v>
      </c>
      <c r="F60" s="186">
        <v>0</v>
      </c>
      <c r="G60" s="186">
        <v>0</v>
      </c>
      <c r="H60" s="181">
        <f t="shared" si="2"/>
        <v>0</v>
      </c>
      <c r="I60" s="186"/>
      <c r="J60" s="104"/>
      <c r="K60" s="6"/>
      <c r="L60" s="6"/>
      <c r="M60" s="6"/>
      <c r="N60" s="6"/>
      <c r="O60" s="6"/>
      <c r="P60" s="30"/>
      <c r="Q60" s="30"/>
    </row>
    <row r="61" spans="1:17" s="41" customFormat="1" ht="31.9" customHeight="1" x14ac:dyDescent="0.25">
      <c r="A61" s="3" t="s">
        <v>20</v>
      </c>
      <c r="B61" s="279" t="s">
        <v>108</v>
      </c>
      <c r="C61" s="4" t="s">
        <v>4</v>
      </c>
      <c r="D61" s="189">
        <f>D62+D63</f>
        <v>0</v>
      </c>
      <c r="E61" s="189">
        <f t="shared" ref="E61:G61" si="27">E62+E63</f>
        <v>0.2</v>
      </c>
      <c r="F61" s="189">
        <f t="shared" si="27"/>
        <v>0</v>
      </c>
      <c r="G61" s="189">
        <f t="shared" si="27"/>
        <v>0</v>
      </c>
      <c r="H61" s="181">
        <f t="shared" si="2"/>
        <v>0</v>
      </c>
      <c r="I61" s="189"/>
      <c r="J61" s="104"/>
      <c r="K61" s="34"/>
      <c r="L61" s="108"/>
      <c r="M61" s="108"/>
      <c r="N61" s="108"/>
      <c r="O61" s="48"/>
      <c r="P61" s="48"/>
      <c r="Q61" s="48"/>
    </row>
    <row r="62" spans="1:17" ht="31.9" customHeight="1" x14ac:dyDescent="0.25">
      <c r="A62" s="4" t="s">
        <v>16</v>
      </c>
      <c r="B62" s="273" t="s">
        <v>124</v>
      </c>
      <c r="C62" s="4" t="s">
        <v>4</v>
      </c>
      <c r="D62" s="186"/>
      <c r="E62" s="186">
        <v>0.1</v>
      </c>
      <c r="F62" s="186">
        <v>0</v>
      </c>
      <c r="G62" s="186">
        <v>0</v>
      </c>
      <c r="H62" s="181">
        <f t="shared" si="2"/>
        <v>0</v>
      </c>
      <c r="I62" s="186"/>
      <c r="J62" s="104"/>
      <c r="K62" s="6"/>
      <c r="L62" s="6"/>
      <c r="M62" s="6"/>
      <c r="N62" s="6"/>
      <c r="O62" s="6"/>
      <c r="P62" s="30"/>
      <c r="Q62" s="30"/>
    </row>
    <row r="63" spans="1:17" ht="31.9" customHeight="1" x14ac:dyDescent="0.25">
      <c r="A63" s="4" t="s">
        <v>16</v>
      </c>
      <c r="B63" s="273" t="s">
        <v>125</v>
      </c>
      <c r="C63" s="4" t="s">
        <v>4</v>
      </c>
      <c r="D63" s="186"/>
      <c r="E63" s="186">
        <v>0.1</v>
      </c>
      <c r="F63" s="186">
        <v>0</v>
      </c>
      <c r="G63" s="186">
        <v>0</v>
      </c>
      <c r="H63" s="181">
        <f t="shared" si="2"/>
        <v>0</v>
      </c>
      <c r="I63" s="186"/>
      <c r="J63" s="104"/>
      <c r="K63" s="6"/>
      <c r="L63" s="6"/>
      <c r="M63" s="6"/>
      <c r="N63" s="6"/>
      <c r="O63" s="6"/>
      <c r="P63" s="30"/>
      <c r="Q63" s="30"/>
    </row>
    <row r="64" spans="1:17" ht="31.9" customHeight="1" x14ac:dyDescent="0.25">
      <c r="A64" s="2" t="s">
        <v>165</v>
      </c>
      <c r="B64" s="225" t="s">
        <v>35</v>
      </c>
      <c r="C64" s="2" t="s">
        <v>4</v>
      </c>
      <c r="D64" s="181">
        <f>D65+D66</f>
        <v>0</v>
      </c>
      <c r="E64" s="181">
        <f t="shared" ref="E64:G64" si="28">E65+E66</f>
        <v>0</v>
      </c>
      <c r="F64" s="181">
        <f t="shared" si="28"/>
        <v>0</v>
      </c>
      <c r="G64" s="181">
        <f t="shared" si="28"/>
        <v>0</v>
      </c>
      <c r="H64" s="186"/>
      <c r="I64" s="181"/>
      <c r="J64" s="20"/>
      <c r="K64" s="19"/>
      <c r="L64" s="19"/>
      <c r="M64" s="19"/>
      <c r="N64" s="19"/>
    </row>
    <row r="65" spans="1:17" ht="31.9" customHeight="1" x14ac:dyDescent="0.25">
      <c r="A65" s="4" t="s">
        <v>16</v>
      </c>
      <c r="B65" s="273" t="s">
        <v>117</v>
      </c>
      <c r="C65" s="4" t="s">
        <v>4</v>
      </c>
      <c r="D65" s="186"/>
      <c r="E65" s="186"/>
      <c r="F65" s="186"/>
      <c r="G65" s="186"/>
      <c r="H65" s="186"/>
      <c r="I65" s="186"/>
      <c r="J65" s="20"/>
      <c r="K65" s="19"/>
      <c r="L65" s="19"/>
      <c r="M65" s="19"/>
      <c r="N65" s="19"/>
    </row>
    <row r="66" spans="1:17" ht="31.9" customHeight="1" x14ac:dyDescent="0.25">
      <c r="A66" s="4" t="s">
        <v>16</v>
      </c>
      <c r="B66" s="227" t="s">
        <v>29</v>
      </c>
      <c r="C66" s="4" t="s">
        <v>4</v>
      </c>
      <c r="D66" s="186"/>
      <c r="E66" s="186"/>
      <c r="F66" s="186"/>
      <c r="G66" s="186"/>
      <c r="H66" s="186"/>
      <c r="I66" s="186"/>
      <c r="J66" s="20"/>
      <c r="K66" s="19"/>
      <c r="L66" s="19"/>
      <c r="M66" s="19"/>
      <c r="N66" s="19"/>
    </row>
    <row r="67" spans="1:17" ht="31.9" customHeight="1" x14ac:dyDescent="0.25">
      <c r="A67" s="2">
        <v>6</v>
      </c>
      <c r="B67" s="225" t="s">
        <v>36</v>
      </c>
      <c r="C67" s="2" t="s">
        <v>4</v>
      </c>
      <c r="D67" s="181">
        <f>D68+D71</f>
        <v>13.370000000000001</v>
      </c>
      <c r="E67" s="181">
        <f t="shared" ref="E67:G67" si="29">E68+E71</f>
        <v>11.14</v>
      </c>
      <c r="F67" s="181">
        <f t="shared" si="29"/>
        <v>11.03</v>
      </c>
      <c r="G67" s="181">
        <f t="shared" si="29"/>
        <v>11.03</v>
      </c>
      <c r="H67" s="181">
        <f t="shared" si="2"/>
        <v>99.0125673249551</v>
      </c>
      <c r="I67" s="181"/>
      <c r="J67" s="20"/>
      <c r="K67" s="19"/>
      <c r="L67" s="19"/>
      <c r="M67" s="19"/>
      <c r="N67" s="19"/>
    </row>
    <row r="68" spans="1:17" ht="31.9" customHeight="1" x14ac:dyDescent="0.25">
      <c r="A68" s="2" t="s">
        <v>166</v>
      </c>
      <c r="B68" s="225" t="s">
        <v>37</v>
      </c>
      <c r="C68" s="2" t="s">
        <v>4</v>
      </c>
      <c r="D68" s="181">
        <f>D69+D70</f>
        <v>0</v>
      </c>
      <c r="E68" s="181">
        <f t="shared" ref="E68:G68" si="30">E69+E70</f>
        <v>0</v>
      </c>
      <c r="F68" s="181">
        <f t="shared" si="30"/>
        <v>0</v>
      </c>
      <c r="G68" s="181">
        <f t="shared" si="30"/>
        <v>0</v>
      </c>
      <c r="H68" s="186"/>
      <c r="I68" s="181"/>
      <c r="J68" s="19"/>
      <c r="K68" s="19"/>
      <c r="L68" s="19"/>
      <c r="M68" s="19"/>
      <c r="N68" s="19"/>
    </row>
    <row r="69" spans="1:17" ht="31.9" customHeight="1" x14ac:dyDescent="0.25">
      <c r="A69" s="4" t="s">
        <v>16</v>
      </c>
      <c r="B69" s="273" t="s">
        <v>126</v>
      </c>
      <c r="C69" s="4" t="s">
        <v>4</v>
      </c>
      <c r="D69" s="186"/>
      <c r="E69" s="186"/>
      <c r="F69" s="186"/>
      <c r="G69" s="186"/>
      <c r="H69" s="186"/>
      <c r="I69" s="186"/>
      <c r="J69" s="19"/>
      <c r="K69" s="19"/>
      <c r="L69" s="19"/>
      <c r="M69" s="19"/>
      <c r="N69" s="19"/>
    </row>
    <row r="70" spans="1:17" ht="31.9" customHeight="1" x14ac:dyDescent="0.25">
      <c r="A70" s="4" t="s">
        <v>16</v>
      </c>
      <c r="B70" s="273" t="s">
        <v>127</v>
      </c>
      <c r="C70" s="4" t="s">
        <v>4</v>
      </c>
      <c r="D70" s="186"/>
      <c r="E70" s="186"/>
      <c r="F70" s="186"/>
      <c r="G70" s="186"/>
      <c r="H70" s="186"/>
      <c r="I70" s="186"/>
      <c r="J70" s="19"/>
      <c r="K70" s="19"/>
      <c r="L70" s="19"/>
      <c r="M70" s="19"/>
      <c r="N70" s="19"/>
    </row>
    <row r="71" spans="1:17" ht="31.9" customHeight="1" x14ac:dyDescent="0.25">
      <c r="A71" s="2" t="s">
        <v>167</v>
      </c>
      <c r="B71" s="224" t="s">
        <v>39</v>
      </c>
      <c r="C71" s="2" t="s">
        <v>4</v>
      </c>
      <c r="D71" s="181">
        <f>D72+D73</f>
        <v>13.370000000000001</v>
      </c>
      <c r="E71" s="181">
        <f t="shared" ref="E71:G71" si="31">E72+E73</f>
        <v>11.14</v>
      </c>
      <c r="F71" s="181">
        <f t="shared" si="31"/>
        <v>11.03</v>
      </c>
      <c r="G71" s="181">
        <f t="shared" si="31"/>
        <v>11.03</v>
      </c>
      <c r="H71" s="181">
        <f t="shared" si="2"/>
        <v>99.0125673249551</v>
      </c>
      <c r="I71" s="181"/>
      <c r="J71" s="19"/>
      <c r="K71" s="19"/>
      <c r="L71" s="19"/>
      <c r="M71" s="19"/>
      <c r="N71" s="19"/>
    </row>
    <row r="72" spans="1:17" ht="31.9" customHeight="1" x14ac:dyDescent="0.25">
      <c r="A72" s="272" t="s">
        <v>22</v>
      </c>
      <c r="B72" s="224" t="s">
        <v>128</v>
      </c>
      <c r="C72" s="2" t="s">
        <v>4</v>
      </c>
      <c r="D72" s="192">
        <f>D75+D82</f>
        <v>12.370000000000001</v>
      </c>
      <c r="E72" s="192">
        <f t="shared" ref="E72:G73" si="32">E75+E82</f>
        <v>11.030000000000001</v>
      </c>
      <c r="F72" s="192">
        <f t="shared" si="32"/>
        <v>11.03</v>
      </c>
      <c r="G72" s="192">
        <f t="shared" si="32"/>
        <v>11.03</v>
      </c>
      <c r="H72" s="181">
        <f t="shared" si="2"/>
        <v>99.999999999999986</v>
      </c>
      <c r="I72" s="192"/>
      <c r="J72" s="19"/>
      <c r="K72" s="19"/>
      <c r="L72" s="19"/>
      <c r="M72" s="19"/>
      <c r="N72" s="19"/>
    </row>
    <row r="73" spans="1:17" ht="31.9" customHeight="1" x14ac:dyDescent="0.25">
      <c r="A73" s="272" t="s">
        <v>22</v>
      </c>
      <c r="B73" s="224" t="s">
        <v>40</v>
      </c>
      <c r="C73" s="2" t="s">
        <v>4</v>
      </c>
      <c r="D73" s="181">
        <f>D76+D83</f>
        <v>1</v>
      </c>
      <c r="E73" s="181">
        <f t="shared" si="32"/>
        <v>0.11</v>
      </c>
      <c r="F73" s="181">
        <f t="shared" si="32"/>
        <v>0</v>
      </c>
      <c r="G73" s="181">
        <f t="shared" si="32"/>
        <v>0</v>
      </c>
      <c r="H73" s="181">
        <f t="shared" si="2"/>
        <v>0</v>
      </c>
      <c r="I73" s="181"/>
      <c r="J73" s="103"/>
      <c r="K73" s="103"/>
      <c r="L73" s="103"/>
      <c r="M73" s="103"/>
      <c r="N73" s="103"/>
    </row>
    <row r="74" spans="1:17" ht="31.9" customHeight="1" x14ac:dyDescent="0.25">
      <c r="A74" s="280" t="s">
        <v>18</v>
      </c>
      <c r="B74" s="271" t="s">
        <v>130</v>
      </c>
      <c r="C74" s="269" t="s">
        <v>4</v>
      </c>
      <c r="D74" s="194">
        <f>D75+D76</f>
        <v>10.030000000000001</v>
      </c>
      <c r="E74" s="194">
        <f t="shared" ref="E74:G74" si="33">E75+E76</f>
        <v>10.030000000000001</v>
      </c>
      <c r="F74" s="194">
        <f t="shared" si="33"/>
        <v>10.029999999999999</v>
      </c>
      <c r="G74" s="194">
        <f t="shared" si="33"/>
        <v>10.029999999999999</v>
      </c>
      <c r="H74" s="203">
        <f t="shared" ref="H74:H98" si="34">F74/E74*100</f>
        <v>99.999999999999972</v>
      </c>
      <c r="I74" s="194"/>
      <c r="J74" s="36"/>
      <c r="K74" s="36"/>
      <c r="L74" s="43"/>
      <c r="M74" s="43"/>
      <c r="N74" s="43"/>
      <c r="O74" s="43"/>
      <c r="P74" s="43"/>
      <c r="Q74" s="43"/>
    </row>
    <row r="75" spans="1:17" ht="31.9" customHeight="1" x14ac:dyDescent="0.25">
      <c r="A75" s="5" t="s">
        <v>22</v>
      </c>
      <c r="B75" s="281" t="s">
        <v>117</v>
      </c>
      <c r="C75" s="4" t="s">
        <v>4</v>
      </c>
      <c r="D75" s="196">
        <f>6.48+3.55</f>
        <v>10.030000000000001</v>
      </c>
      <c r="E75" s="196">
        <f>D75+D76</f>
        <v>10.030000000000001</v>
      </c>
      <c r="F75" s="186">
        <v>10.029999999999999</v>
      </c>
      <c r="G75" s="186">
        <v>10.029999999999999</v>
      </c>
      <c r="H75" s="186">
        <f t="shared" si="34"/>
        <v>99.999999999999972</v>
      </c>
      <c r="I75" s="186"/>
      <c r="J75" s="19"/>
      <c r="K75" s="19"/>
      <c r="L75" s="20"/>
      <c r="M75" s="20"/>
      <c r="N75" s="20"/>
      <c r="O75" s="18"/>
      <c r="P75" s="18"/>
      <c r="Q75" s="18"/>
    </row>
    <row r="76" spans="1:17" ht="31.9" customHeight="1" x14ac:dyDescent="0.25">
      <c r="A76" s="282" t="s">
        <v>13</v>
      </c>
      <c r="B76" s="279" t="s">
        <v>131</v>
      </c>
      <c r="C76" s="3" t="s">
        <v>4</v>
      </c>
      <c r="D76" s="197">
        <f>SUM(D77:D80)</f>
        <v>0</v>
      </c>
      <c r="E76" s="197">
        <f t="shared" ref="E76:G76" si="35">SUM(E77:E80)</f>
        <v>0</v>
      </c>
      <c r="F76" s="197">
        <f t="shared" si="35"/>
        <v>0</v>
      </c>
      <c r="G76" s="197">
        <f t="shared" si="35"/>
        <v>0</v>
      </c>
      <c r="H76" s="186"/>
      <c r="I76" s="197"/>
      <c r="J76" s="107"/>
      <c r="K76" s="107"/>
      <c r="L76" s="109"/>
      <c r="M76" s="109"/>
      <c r="N76" s="109"/>
      <c r="O76" s="18"/>
      <c r="P76" s="18"/>
      <c r="Q76" s="18"/>
    </row>
    <row r="77" spans="1:17" ht="31.9" customHeight="1" x14ac:dyDescent="0.25">
      <c r="A77" s="3" t="s">
        <v>16</v>
      </c>
      <c r="B77" s="283" t="s">
        <v>133</v>
      </c>
      <c r="C77" s="3" t="s">
        <v>4</v>
      </c>
      <c r="D77" s="186"/>
      <c r="E77" s="186">
        <v>0</v>
      </c>
      <c r="F77" s="186"/>
      <c r="G77" s="186"/>
      <c r="H77" s="186"/>
      <c r="I77" s="186"/>
      <c r="J77" s="107"/>
      <c r="K77" s="107"/>
      <c r="L77" s="109"/>
      <c r="M77" s="110"/>
      <c r="N77" s="110"/>
      <c r="O77" s="18"/>
      <c r="P77" s="56"/>
      <c r="Q77" s="56"/>
    </row>
    <row r="78" spans="1:17" ht="31.9" customHeight="1" x14ac:dyDescent="0.25">
      <c r="A78" s="3" t="s">
        <v>16</v>
      </c>
      <c r="B78" s="283" t="s">
        <v>110</v>
      </c>
      <c r="C78" s="3" t="s">
        <v>4</v>
      </c>
      <c r="D78" s="186"/>
      <c r="E78" s="186">
        <v>0</v>
      </c>
      <c r="F78" s="186"/>
      <c r="G78" s="186"/>
      <c r="H78" s="186"/>
      <c r="I78" s="186"/>
      <c r="J78" s="107"/>
      <c r="K78" s="107"/>
      <c r="L78" s="109"/>
      <c r="M78" s="109"/>
      <c r="N78" s="109"/>
      <c r="O78" s="18"/>
      <c r="P78" s="18"/>
      <c r="Q78" s="18"/>
    </row>
    <row r="79" spans="1:17" ht="31.9" customHeight="1" x14ac:dyDescent="0.25">
      <c r="A79" s="3" t="s">
        <v>16</v>
      </c>
      <c r="B79" s="283" t="s">
        <v>111</v>
      </c>
      <c r="C79" s="3" t="s">
        <v>4</v>
      </c>
      <c r="D79" s="186"/>
      <c r="E79" s="186"/>
      <c r="F79" s="186"/>
      <c r="G79" s="186"/>
      <c r="H79" s="186"/>
      <c r="I79" s="186"/>
      <c r="J79" s="107"/>
      <c r="K79" s="107"/>
      <c r="L79" s="109"/>
      <c r="M79" s="109"/>
      <c r="N79" s="109"/>
      <c r="O79" s="18"/>
      <c r="P79" s="18"/>
      <c r="Q79" s="18"/>
    </row>
    <row r="80" spans="1:17" ht="31.9" customHeight="1" x14ac:dyDescent="0.25">
      <c r="A80" s="3" t="s">
        <v>16</v>
      </c>
      <c r="B80" s="284" t="s">
        <v>129</v>
      </c>
      <c r="C80" s="3" t="s">
        <v>4</v>
      </c>
      <c r="D80" s="186"/>
      <c r="E80" s="186"/>
      <c r="F80" s="186"/>
      <c r="G80" s="186"/>
      <c r="H80" s="186"/>
      <c r="I80" s="186"/>
      <c r="J80" s="107"/>
      <c r="K80" s="107"/>
      <c r="L80" s="109"/>
      <c r="M80" s="109"/>
      <c r="N80" s="109"/>
      <c r="O80" s="18"/>
      <c r="P80" s="18"/>
      <c r="Q80" s="18"/>
    </row>
    <row r="81" spans="1:18" s="44" customFormat="1" ht="31.9" customHeight="1" x14ac:dyDescent="0.3">
      <c r="A81" s="280" t="s">
        <v>20</v>
      </c>
      <c r="B81" s="271" t="s">
        <v>41</v>
      </c>
      <c r="C81" s="269" t="s">
        <v>4</v>
      </c>
      <c r="D81" s="194">
        <f>D82+D83</f>
        <v>3.34</v>
      </c>
      <c r="E81" s="194">
        <f>E82+E83</f>
        <v>1.1100000000000001</v>
      </c>
      <c r="F81" s="194">
        <f t="shared" ref="F81:G81" si="36">F82+F83</f>
        <v>1</v>
      </c>
      <c r="G81" s="194">
        <f t="shared" si="36"/>
        <v>1</v>
      </c>
      <c r="H81" s="203">
        <f t="shared" si="34"/>
        <v>90.090090090090087</v>
      </c>
      <c r="I81" s="194"/>
      <c r="J81" s="36"/>
      <c r="K81" s="36"/>
      <c r="L81" s="43"/>
      <c r="M81" s="43"/>
      <c r="N81" s="43"/>
      <c r="O81" s="43"/>
      <c r="P81" s="43"/>
      <c r="Q81" s="43"/>
    </row>
    <row r="82" spans="1:18" s="41" customFormat="1" ht="31.9" customHeight="1" x14ac:dyDescent="0.25">
      <c r="A82" s="282" t="s">
        <v>16</v>
      </c>
      <c r="B82" s="283" t="s">
        <v>109</v>
      </c>
      <c r="C82" s="3" t="s">
        <v>4</v>
      </c>
      <c r="D82" s="189">
        <v>2.34</v>
      </c>
      <c r="E82" s="189">
        <v>1</v>
      </c>
      <c r="F82" s="189">
        <v>1</v>
      </c>
      <c r="G82" s="189">
        <v>1</v>
      </c>
      <c r="H82" s="189">
        <f t="shared" si="34"/>
        <v>100</v>
      </c>
      <c r="I82" s="189"/>
      <c r="J82" s="107"/>
      <c r="K82" s="128"/>
      <c r="L82" s="109"/>
      <c r="M82" s="109"/>
      <c r="N82" s="109"/>
      <c r="O82" s="40"/>
      <c r="P82" s="40"/>
      <c r="Q82" s="40"/>
    </row>
    <row r="83" spans="1:18" ht="31.9" customHeight="1" x14ac:dyDescent="0.25">
      <c r="A83" s="282" t="s">
        <v>13</v>
      </c>
      <c r="B83" s="279" t="s">
        <v>131</v>
      </c>
      <c r="C83" s="4" t="s">
        <v>4</v>
      </c>
      <c r="D83" s="196">
        <f t="shared" ref="D83" si="37">SUM(D84:D87)</f>
        <v>1</v>
      </c>
      <c r="E83" s="196">
        <f>SUM(E84:E87)</f>
        <v>0.11</v>
      </c>
      <c r="F83" s="196">
        <f t="shared" ref="F83:G83" si="38">SUM(F84:F87)</f>
        <v>0</v>
      </c>
      <c r="G83" s="196">
        <f t="shared" si="38"/>
        <v>0</v>
      </c>
      <c r="H83" s="181">
        <f t="shared" si="34"/>
        <v>0</v>
      </c>
      <c r="I83" s="196"/>
      <c r="J83" s="107"/>
      <c r="K83" s="107"/>
      <c r="L83" s="107"/>
      <c r="M83" s="107"/>
      <c r="N83" s="107"/>
    </row>
    <row r="84" spans="1:18" ht="31.9" customHeight="1" x14ac:dyDescent="0.25">
      <c r="A84" s="282" t="s">
        <v>16</v>
      </c>
      <c r="B84" s="279" t="s">
        <v>112</v>
      </c>
      <c r="C84" s="3" t="s">
        <v>4</v>
      </c>
      <c r="D84" s="186"/>
      <c r="E84" s="186"/>
      <c r="F84" s="186"/>
      <c r="G84" s="186"/>
      <c r="H84" s="181"/>
      <c r="I84" s="186"/>
      <c r="J84" s="109"/>
      <c r="K84" s="109"/>
      <c r="L84" s="109"/>
      <c r="M84" s="109"/>
      <c r="N84" s="109"/>
    </row>
    <row r="85" spans="1:18" ht="31.9" customHeight="1" x14ac:dyDescent="0.25">
      <c r="A85" s="282" t="s">
        <v>16</v>
      </c>
      <c r="B85" s="279" t="s">
        <v>113</v>
      </c>
      <c r="C85" s="3" t="s">
        <v>4</v>
      </c>
      <c r="D85" s="186"/>
      <c r="E85" s="186"/>
      <c r="F85" s="186"/>
      <c r="G85" s="186"/>
      <c r="H85" s="181"/>
      <c r="I85" s="186"/>
      <c r="J85" s="109"/>
      <c r="K85" s="109"/>
      <c r="L85" s="109"/>
      <c r="M85" s="109"/>
      <c r="N85" s="109"/>
    </row>
    <row r="86" spans="1:18" ht="31.9" customHeight="1" x14ac:dyDescent="0.25">
      <c r="A86" s="282" t="s">
        <v>16</v>
      </c>
      <c r="B86" s="279" t="s">
        <v>132</v>
      </c>
      <c r="C86" s="3"/>
      <c r="D86" s="186"/>
      <c r="E86" s="186"/>
      <c r="F86" s="186"/>
      <c r="G86" s="186"/>
      <c r="H86" s="181"/>
      <c r="I86" s="186"/>
      <c r="J86" s="109"/>
      <c r="K86" s="109"/>
      <c r="L86" s="109"/>
      <c r="M86" s="109"/>
      <c r="N86" s="18"/>
      <c r="O86" s="18"/>
      <c r="P86" s="18"/>
      <c r="Q86" s="18"/>
    </row>
    <row r="87" spans="1:18" ht="31.9" customHeight="1" x14ac:dyDescent="0.25">
      <c r="A87" s="282" t="s">
        <v>16</v>
      </c>
      <c r="B87" s="283" t="s">
        <v>114</v>
      </c>
      <c r="C87" s="3" t="s">
        <v>4</v>
      </c>
      <c r="D87" s="186">
        <v>1</v>
      </c>
      <c r="E87" s="186">
        <v>0.11</v>
      </c>
      <c r="F87" s="186">
        <v>0</v>
      </c>
      <c r="G87" s="186">
        <v>0</v>
      </c>
      <c r="H87" s="181">
        <f t="shared" si="34"/>
        <v>0</v>
      </c>
      <c r="I87" s="186"/>
      <c r="J87" s="109"/>
      <c r="K87" s="109"/>
      <c r="L87" s="109"/>
      <c r="M87" s="110"/>
      <c r="N87" s="110"/>
      <c r="O87" s="56"/>
      <c r="P87" s="56"/>
      <c r="Q87" s="56"/>
      <c r="R87" s="32"/>
    </row>
    <row r="88" spans="1:18" ht="31.9" customHeight="1" x14ac:dyDescent="0.25">
      <c r="A88" s="2" t="s">
        <v>42</v>
      </c>
      <c r="B88" s="224" t="s">
        <v>43</v>
      </c>
      <c r="C88" s="2"/>
      <c r="D88" s="181">
        <f>SUM(D89:D93)</f>
        <v>266</v>
      </c>
      <c r="E88" s="181">
        <f t="shared" ref="E88:G88" si="39">SUM(E89:E93)</f>
        <v>208</v>
      </c>
      <c r="F88" s="181">
        <f t="shared" si="39"/>
        <v>172</v>
      </c>
      <c r="G88" s="181">
        <f t="shared" si="39"/>
        <v>172</v>
      </c>
      <c r="H88" s="181">
        <f t="shared" si="34"/>
        <v>82.692307692307693</v>
      </c>
      <c r="I88" s="181"/>
      <c r="J88" s="20"/>
      <c r="K88" s="20"/>
      <c r="L88" s="28"/>
      <c r="M88" s="28"/>
      <c r="N88" s="20"/>
    </row>
    <row r="89" spans="1:18" s="84" customFormat="1" ht="31.9" customHeight="1" x14ac:dyDescent="0.25">
      <c r="A89" s="4">
        <v>1</v>
      </c>
      <c r="B89" s="227" t="s">
        <v>44</v>
      </c>
      <c r="C89" s="4" t="s">
        <v>6</v>
      </c>
      <c r="D89" s="186">
        <v>24</v>
      </c>
      <c r="E89" s="186">
        <f>9+5</f>
        <v>14</v>
      </c>
      <c r="F89" s="186">
        <v>12</v>
      </c>
      <c r="G89" s="186">
        <f>F89</f>
        <v>12</v>
      </c>
      <c r="H89" s="186">
        <f t="shared" si="34"/>
        <v>85.714285714285708</v>
      </c>
      <c r="I89" s="186"/>
      <c r="J89" s="112"/>
      <c r="K89" s="117"/>
      <c r="L89" s="208"/>
      <c r="M89" s="209"/>
      <c r="N89" s="112"/>
    </row>
    <row r="90" spans="1:18" s="84" customFormat="1" ht="31.9" customHeight="1" x14ac:dyDescent="0.25">
      <c r="A90" s="4">
        <v>2</v>
      </c>
      <c r="B90" s="227" t="s">
        <v>45</v>
      </c>
      <c r="C90" s="4" t="s">
        <v>6</v>
      </c>
      <c r="D90" s="186">
        <v>41</v>
      </c>
      <c r="E90" s="186">
        <f>11+2</f>
        <v>13</v>
      </c>
      <c r="F90" s="186">
        <v>12</v>
      </c>
      <c r="G90" s="186">
        <f>F90</f>
        <v>12</v>
      </c>
      <c r="H90" s="186">
        <f>F90/E90*100</f>
        <v>92.307692307692307</v>
      </c>
      <c r="I90" s="186"/>
      <c r="J90" s="112"/>
      <c r="K90" s="117"/>
      <c r="L90" s="208"/>
      <c r="M90" s="209"/>
      <c r="N90" s="112"/>
    </row>
    <row r="91" spans="1:18" s="84" customFormat="1" ht="31.9" customHeight="1" x14ac:dyDescent="0.25">
      <c r="A91" s="4">
        <v>3</v>
      </c>
      <c r="B91" s="227" t="s">
        <v>46</v>
      </c>
      <c r="C91" s="4" t="s">
        <v>6</v>
      </c>
      <c r="D91" s="186">
        <v>23</v>
      </c>
      <c r="E91" s="186">
        <f>23+7</f>
        <v>30</v>
      </c>
      <c r="F91" s="186">
        <v>26</v>
      </c>
      <c r="G91" s="186">
        <f>F91</f>
        <v>26</v>
      </c>
      <c r="H91" s="186">
        <f t="shared" si="34"/>
        <v>86.666666666666671</v>
      </c>
      <c r="I91" s="186"/>
      <c r="J91" s="112"/>
      <c r="K91" s="157"/>
      <c r="L91" s="208"/>
      <c r="M91" s="209"/>
      <c r="N91" s="112"/>
    </row>
    <row r="92" spans="1:18" ht="31.9" customHeight="1" x14ac:dyDescent="0.25">
      <c r="A92" s="4">
        <v>4</v>
      </c>
      <c r="B92" s="227" t="s">
        <v>47</v>
      </c>
      <c r="C92" s="4" t="s">
        <v>6</v>
      </c>
      <c r="D92" s="186"/>
      <c r="E92" s="186"/>
      <c r="F92" s="186"/>
      <c r="G92" s="186"/>
      <c r="H92" s="181"/>
      <c r="I92" s="186"/>
      <c r="J92" s="20"/>
      <c r="K92" s="20"/>
      <c r="L92" s="210"/>
      <c r="M92" s="209"/>
      <c r="N92" s="20"/>
    </row>
    <row r="93" spans="1:18" s="84" customFormat="1" ht="31.9" customHeight="1" x14ac:dyDescent="0.25">
      <c r="A93" s="4">
        <v>5</v>
      </c>
      <c r="B93" s="227" t="s">
        <v>48</v>
      </c>
      <c r="C93" s="4" t="s">
        <v>6</v>
      </c>
      <c r="D93" s="186">
        <v>178</v>
      </c>
      <c r="E93" s="186">
        <f>168-17</f>
        <v>151</v>
      </c>
      <c r="F93" s="186">
        <v>122</v>
      </c>
      <c r="G93" s="186">
        <f>F93</f>
        <v>122</v>
      </c>
      <c r="H93" s="186">
        <f t="shared" si="34"/>
        <v>80.794701986754973</v>
      </c>
      <c r="I93" s="186"/>
      <c r="J93" s="157"/>
      <c r="K93" s="157"/>
      <c r="L93" s="210"/>
      <c r="M93" s="209"/>
      <c r="N93" s="112"/>
    </row>
    <row r="94" spans="1:18" s="23" customFormat="1" ht="31.9" customHeight="1" x14ac:dyDescent="0.25">
      <c r="A94" s="2" t="s">
        <v>49</v>
      </c>
      <c r="B94" s="225" t="s">
        <v>50</v>
      </c>
      <c r="C94" s="2" t="s">
        <v>4</v>
      </c>
      <c r="D94" s="181">
        <f>D95</f>
        <v>0</v>
      </c>
      <c r="E94" s="181">
        <f t="shared" ref="E94:G94" si="40">E95</f>
        <v>0</v>
      </c>
      <c r="F94" s="181">
        <f t="shared" si="40"/>
        <v>0</v>
      </c>
      <c r="G94" s="181">
        <f t="shared" si="40"/>
        <v>0</v>
      </c>
      <c r="H94" s="181"/>
      <c r="I94" s="181"/>
      <c r="J94" s="22"/>
      <c r="K94" s="22"/>
      <c r="L94" s="22"/>
      <c r="M94" s="22"/>
      <c r="N94" s="22"/>
    </row>
    <row r="95" spans="1:18" ht="31.9" customHeight="1" x14ac:dyDescent="0.25">
      <c r="A95" s="3" t="s">
        <v>16</v>
      </c>
      <c r="B95" s="279" t="s">
        <v>51</v>
      </c>
      <c r="C95" s="3" t="s">
        <v>4</v>
      </c>
      <c r="D95" s="186"/>
      <c r="E95" s="186"/>
      <c r="F95" s="186"/>
      <c r="G95" s="186"/>
      <c r="H95" s="181"/>
      <c r="I95" s="186"/>
      <c r="J95" s="104"/>
      <c r="K95" s="20"/>
      <c r="L95" s="20"/>
      <c r="M95" s="20"/>
      <c r="N95" s="20"/>
    </row>
    <row r="96" spans="1:18" ht="31.9" customHeight="1" x14ac:dyDescent="0.25">
      <c r="A96" s="2" t="s">
        <v>52</v>
      </c>
      <c r="B96" s="225" t="s">
        <v>53</v>
      </c>
      <c r="C96" s="2" t="s">
        <v>4</v>
      </c>
      <c r="D96" s="181">
        <f>D97+D98</f>
        <v>2.8</v>
      </c>
      <c r="E96" s="181">
        <f t="shared" ref="E96:G96" si="41">E97+E98</f>
        <v>0.64999999999999991</v>
      </c>
      <c r="F96" s="181">
        <f t="shared" si="41"/>
        <v>0</v>
      </c>
      <c r="G96" s="181">
        <f t="shared" si="41"/>
        <v>0</v>
      </c>
      <c r="H96" s="181">
        <f t="shared" si="34"/>
        <v>0</v>
      </c>
      <c r="I96" s="181"/>
      <c r="J96" s="20"/>
      <c r="K96" s="20"/>
      <c r="L96" s="20"/>
      <c r="M96" s="20"/>
      <c r="N96" s="20"/>
    </row>
    <row r="97" spans="1:14" ht="31.9" customHeight="1" x14ac:dyDescent="0.25">
      <c r="A97" s="4" t="s">
        <v>16</v>
      </c>
      <c r="B97" s="281" t="s">
        <v>134</v>
      </c>
      <c r="C97" s="3" t="s">
        <v>4</v>
      </c>
      <c r="D97" s="186"/>
      <c r="E97" s="186"/>
      <c r="F97" s="186"/>
      <c r="G97" s="186"/>
      <c r="H97" s="181"/>
      <c r="I97" s="186"/>
      <c r="J97" s="20"/>
      <c r="K97" s="20"/>
      <c r="L97" s="20"/>
      <c r="M97" s="20"/>
      <c r="N97" s="20"/>
    </row>
    <row r="98" spans="1:14" ht="31.9" customHeight="1" x14ac:dyDescent="0.25">
      <c r="A98" s="285" t="s">
        <v>16</v>
      </c>
      <c r="B98" s="281" t="s">
        <v>54</v>
      </c>
      <c r="C98" s="3" t="s">
        <v>4</v>
      </c>
      <c r="D98" s="186">
        <v>2.8</v>
      </c>
      <c r="E98" s="186">
        <f>1.9-1.25</f>
        <v>0.64999999999999991</v>
      </c>
      <c r="F98" s="186"/>
      <c r="G98" s="186"/>
      <c r="H98" s="181">
        <f t="shared" si="34"/>
        <v>0</v>
      </c>
      <c r="I98" s="186"/>
      <c r="J98" s="20"/>
      <c r="K98" s="20"/>
      <c r="L98" s="20"/>
      <c r="M98" s="20"/>
      <c r="N98" s="20"/>
    </row>
    <row r="99" spans="1:14" ht="16.5" x14ac:dyDescent="0.25">
      <c r="A99" s="262"/>
      <c r="B99" s="262"/>
      <c r="C99" s="262"/>
      <c r="D99" s="263"/>
      <c r="E99" s="263"/>
      <c r="F99" s="263"/>
      <c r="G99" s="263"/>
      <c r="H99" s="263"/>
      <c r="I99" s="263"/>
      <c r="J99" s="19"/>
      <c r="K99" s="19"/>
      <c r="L99" s="19"/>
      <c r="M99" s="19"/>
      <c r="N99" s="19"/>
    </row>
    <row r="100" spans="1:14" ht="16.5" x14ac:dyDescent="0.25">
      <c r="A100" s="262"/>
      <c r="B100" s="262"/>
      <c r="C100" s="262"/>
      <c r="D100" s="263"/>
      <c r="E100" s="263"/>
      <c r="F100" s="263"/>
      <c r="G100" s="263"/>
      <c r="H100" s="263"/>
      <c r="I100" s="263"/>
      <c r="J100" s="19"/>
      <c r="K100" s="19"/>
      <c r="L100" s="19"/>
      <c r="M100" s="19"/>
      <c r="N100" s="19"/>
    </row>
    <row r="101" spans="1:14" ht="16.5" x14ac:dyDescent="0.25">
      <c r="A101" s="262"/>
      <c r="B101" s="262"/>
      <c r="C101" s="262"/>
      <c r="D101" s="263"/>
      <c r="E101" s="263"/>
      <c r="F101" s="263"/>
      <c r="G101" s="263"/>
      <c r="H101" s="263"/>
      <c r="I101" s="263"/>
      <c r="J101" s="19"/>
      <c r="K101" s="19"/>
      <c r="L101" s="19"/>
      <c r="M101" s="19"/>
      <c r="N101" s="19"/>
    </row>
    <row r="102" spans="1:14" ht="16.5" x14ac:dyDescent="0.25">
      <c r="A102" s="262"/>
      <c r="B102" s="262"/>
      <c r="C102" s="262"/>
      <c r="D102" s="286"/>
      <c r="E102" s="286"/>
      <c r="F102" s="286"/>
      <c r="G102" s="286"/>
      <c r="H102" s="286"/>
      <c r="I102" s="286"/>
      <c r="J102" s="19"/>
      <c r="K102" s="19"/>
      <c r="L102" s="19"/>
      <c r="M102" s="19"/>
      <c r="N102" s="19"/>
    </row>
    <row r="103" spans="1:14" ht="16.5" x14ac:dyDescent="0.25">
      <c r="A103" s="262"/>
      <c r="B103" s="262"/>
      <c r="C103" s="262"/>
      <c r="D103" s="263"/>
      <c r="E103" s="263"/>
      <c r="F103" s="263"/>
      <c r="G103" s="263"/>
      <c r="H103" s="263"/>
      <c r="I103" s="263"/>
      <c r="J103" s="19"/>
      <c r="K103" s="19"/>
      <c r="L103" s="19"/>
      <c r="M103" s="19"/>
      <c r="N103" s="19"/>
    </row>
    <row r="104" spans="1:14" ht="16.5" x14ac:dyDescent="0.25">
      <c r="A104" s="262"/>
      <c r="B104" s="262"/>
      <c r="C104" s="262"/>
      <c r="D104" s="263"/>
      <c r="E104" s="263"/>
      <c r="F104" s="263"/>
      <c r="G104" s="263"/>
      <c r="H104" s="263"/>
      <c r="I104" s="263"/>
      <c r="J104" s="19"/>
      <c r="K104" s="19"/>
      <c r="L104" s="19"/>
      <c r="M104" s="19"/>
      <c r="N104" s="19"/>
    </row>
    <row r="105" spans="1:14" ht="16.5" x14ac:dyDescent="0.25">
      <c r="A105" s="262"/>
      <c r="B105" s="287"/>
      <c r="C105" s="262"/>
      <c r="D105" s="263"/>
      <c r="E105" s="263"/>
      <c r="F105" s="263"/>
      <c r="G105" s="263"/>
      <c r="H105" s="263"/>
      <c r="I105" s="263"/>
      <c r="J105" s="19"/>
      <c r="K105" s="19"/>
      <c r="L105" s="19"/>
      <c r="M105" s="19"/>
      <c r="N105" s="19"/>
    </row>
    <row r="106" spans="1:14" ht="16.5" x14ac:dyDescent="0.25">
      <c r="A106" s="262"/>
      <c r="B106" s="262"/>
      <c r="C106" s="262"/>
      <c r="D106" s="263"/>
      <c r="E106" s="263"/>
      <c r="F106" s="263"/>
      <c r="G106" s="263"/>
      <c r="H106" s="263"/>
      <c r="I106" s="263"/>
      <c r="J106" s="19"/>
      <c r="K106" s="19"/>
      <c r="L106" s="19"/>
      <c r="M106" s="19"/>
      <c r="N106" s="19"/>
    </row>
    <row r="107" spans="1:14" ht="16.5" x14ac:dyDescent="0.25">
      <c r="A107" s="262"/>
      <c r="B107" s="262"/>
      <c r="C107" s="262"/>
      <c r="D107" s="263"/>
      <c r="E107" s="263"/>
      <c r="F107" s="263"/>
      <c r="G107" s="263"/>
      <c r="H107" s="263"/>
      <c r="I107" s="263"/>
      <c r="J107" s="19"/>
      <c r="K107" s="19"/>
      <c r="L107" s="19"/>
      <c r="M107" s="19"/>
      <c r="N107" s="19"/>
    </row>
    <row r="108" spans="1:14" ht="16.5" x14ac:dyDescent="0.25">
      <c r="A108" s="262"/>
      <c r="B108" s="262"/>
      <c r="C108" s="262"/>
      <c r="D108" s="263"/>
      <c r="E108" s="263"/>
      <c r="F108" s="263"/>
      <c r="G108" s="263"/>
      <c r="H108" s="263"/>
      <c r="I108" s="263"/>
      <c r="J108" s="19"/>
      <c r="K108" s="19"/>
      <c r="L108" s="19"/>
      <c r="M108" s="19"/>
      <c r="N108" s="19"/>
    </row>
    <row r="109" spans="1:14" ht="16.5" x14ac:dyDescent="0.25">
      <c r="A109" s="262"/>
      <c r="B109" s="262"/>
      <c r="C109" s="262"/>
      <c r="D109" s="263"/>
      <c r="E109" s="263"/>
      <c r="F109" s="263"/>
      <c r="G109" s="263"/>
      <c r="H109" s="263"/>
      <c r="I109" s="263"/>
      <c r="J109" s="19"/>
      <c r="K109" s="19"/>
      <c r="L109" s="19"/>
      <c r="M109" s="19"/>
      <c r="N109" s="19"/>
    </row>
    <row r="110" spans="1:14" ht="16.5" x14ac:dyDescent="0.25">
      <c r="A110" s="262"/>
      <c r="B110" s="262"/>
      <c r="C110" s="262"/>
      <c r="D110" s="263"/>
      <c r="E110" s="263"/>
      <c r="F110" s="263"/>
      <c r="G110" s="263"/>
      <c r="H110" s="263"/>
      <c r="I110" s="263"/>
      <c r="J110" s="19"/>
      <c r="K110" s="19"/>
      <c r="L110" s="19"/>
      <c r="M110" s="19"/>
      <c r="N110" s="19"/>
    </row>
    <row r="111" spans="1:14" ht="16.5" x14ac:dyDescent="0.25">
      <c r="A111" s="262"/>
      <c r="B111" s="262"/>
      <c r="C111" s="262"/>
      <c r="D111" s="263"/>
      <c r="E111" s="263"/>
      <c r="F111" s="263"/>
      <c r="G111" s="263"/>
      <c r="H111" s="263"/>
      <c r="I111" s="263"/>
      <c r="J111" s="19"/>
      <c r="K111" s="19"/>
      <c r="L111" s="19"/>
      <c r="M111" s="19"/>
      <c r="N111" s="19"/>
    </row>
    <row r="112" spans="1:14" ht="16.5" x14ac:dyDescent="0.25">
      <c r="A112" s="262"/>
      <c r="B112" s="262"/>
      <c r="C112" s="262"/>
      <c r="D112" s="263"/>
      <c r="E112" s="263"/>
      <c r="F112" s="263"/>
      <c r="G112" s="263"/>
      <c r="H112" s="263"/>
      <c r="I112" s="263"/>
      <c r="J112" s="19"/>
      <c r="K112" s="19"/>
      <c r="L112" s="19"/>
      <c r="M112" s="19"/>
      <c r="N112" s="19"/>
    </row>
    <row r="113" spans="1:14" ht="16.5" x14ac:dyDescent="0.25">
      <c r="A113" s="262"/>
      <c r="B113" s="262"/>
      <c r="C113" s="262"/>
      <c r="D113" s="263"/>
      <c r="E113" s="263"/>
      <c r="F113" s="263"/>
      <c r="G113" s="263"/>
      <c r="H113" s="263"/>
      <c r="I113" s="263"/>
      <c r="J113" s="19"/>
      <c r="K113" s="19"/>
      <c r="L113" s="19"/>
      <c r="M113" s="19"/>
      <c r="N113" s="19"/>
    </row>
    <row r="114" spans="1:14" ht="16.5" x14ac:dyDescent="0.25">
      <c r="A114" s="262"/>
      <c r="B114" s="262"/>
      <c r="C114" s="262"/>
      <c r="D114" s="263"/>
      <c r="E114" s="263"/>
      <c r="F114" s="263"/>
      <c r="G114" s="263"/>
      <c r="H114" s="263"/>
      <c r="I114" s="263"/>
      <c r="J114" s="19"/>
      <c r="K114" s="19"/>
      <c r="L114" s="19"/>
      <c r="M114" s="19"/>
      <c r="N114" s="19"/>
    </row>
    <row r="115" spans="1:14" ht="16.5" x14ac:dyDescent="0.25">
      <c r="A115" s="262"/>
      <c r="B115" s="262"/>
      <c r="C115" s="262"/>
      <c r="D115" s="263"/>
      <c r="E115" s="263"/>
      <c r="F115" s="263"/>
      <c r="G115" s="263"/>
      <c r="H115" s="263"/>
      <c r="I115" s="263"/>
      <c r="J115" s="19"/>
      <c r="K115" s="19"/>
      <c r="L115" s="19"/>
      <c r="M115" s="19"/>
      <c r="N115" s="19"/>
    </row>
    <row r="116" spans="1:14" ht="16.5" x14ac:dyDescent="0.25">
      <c r="A116" s="262"/>
      <c r="B116" s="262"/>
      <c r="C116" s="262"/>
      <c r="D116" s="263"/>
      <c r="E116" s="263"/>
      <c r="F116" s="263"/>
      <c r="G116" s="263"/>
      <c r="H116" s="263"/>
      <c r="I116" s="263"/>
      <c r="J116" s="19"/>
      <c r="K116" s="19"/>
      <c r="L116" s="19"/>
      <c r="M116" s="19"/>
      <c r="N116" s="19"/>
    </row>
    <row r="117" spans="1:14" ht="16.5" x14ac:dyDescent="0.25">
      <c r="A117" s="262"/>
      <c r="B117" s="262"/>
      <c r="C117" s="262"/>
      <c r="D117" s="263"/>
      <c r="E117" s="263"/>
      <c r="F117" s="263"/>
      <c r="G117" s="263"/>
      <c r="H117" s="263"/>
      <c r="I117" s="263"/>
      <c r="J117" s="19"/>
      <c r="K117" s="19"/>
      <c r="L117" s="19"/>
      <c r="M117" s="19"/>
      <c r="N117" s="19"/>
    </row>
    <row r="118" spans="1:14" ht="16.5" x14ac:dyDescent="0.25">
      <c r="A118" s="262"/>
      <c r="B118" s="262"/>
      <c r="C118" s="262"/>
      <c r="D118" s="263"/>
      <c r="E118" s="263"/>
      <c r="F118" s="263"/>
      <c r="G118" s="263"/>
      <c r="H118" s="263"/>
      <c r="I118" s="263"/>
      <c r="J118" s="19"/>
      <c r="K118" s="19"/>
      <c r="L118" s="19"/>
      <c r="M118" s="19"/>
      <c r="N118" s="19"/>
    </row>
    <row r="119" spans="1:14" ht="16.5" x14ac:dyDescent="0.25">
      <c r="A119" s="262"/>
      <c r="B119" s="262"/>
      <c r="C119" s="262"/>
      <c r="D119" s="263"/>
      <c r="E119" s="263"/>
      <c r="F119" s="263"/>
      <c r="G119" s="263"/>
      <c r="H119" s="263"/>
      <c r="I119" s="263"/>
      <c r="J119" s="19"/>
      <c r="K119" s="19"/>
      <c r="L119" s="19"/>
      <c r="M119" s="19"/>
      <c r="N119" s="19"/>
    </row>
    <row r="120" spans="1:14" ht="16.5" x14ac:dyDescent="0.25">
      <c r="A120" s="262"/>
      <c r="B120" s="262"/>
      <c r="C120" s="262"/>
      <c r="D120" s="263"/>
      <c r="E120" s="263"/>
      <c r="F120" s="263"/>
      <c r="G120" s="263"/>
      <c r="H120" s="263"/>
      <c r="I120" s="263"/>
      <c r="J120" s="19"/>
      <c r="K120" s="19"/>
      <c r="L120" s="19"/>
      <c r="M120" s="19"/>
      <c r="N120" s="19"/>
    </row>
    <row r="121" spans="1:14" ht="16.5" x14ac:dyDescent="0.25">
      <c r="A121" s="262"/>
      <c r="B121" s="262"/>
      <c r="C121" s="262"/>
      <c r="D121" s="263"/>
      <c r="E121" s="263"/>
      <c r="F121" s="263"/>
      <c r="G121" s="263"/>
      <c r="H121" s="263"/>
      <c r="I121" s="263"/>
      <c r="J121" s="19"/>
      <c r="K121" s="19"/>
      <c r="L121" s="19"/>
      <c r="M121" s="19"/>
      <c r="N121" s="19"/>
    </row>
    <row r="122" spans="1:14" ht="16.5" x14ac:dyDescent="0.25">
      <c r="A122" s="262"/>
      <c r="B122" s="262"/>
      <c r="C122" s="262"/>
      <c r="D122" s="263"/>
      <c r="E122" s="263"/>
      <c r="F122" s="263"/>
      <c r="G122" s="263"/>
      <c r="H122" s="263"/>
      <c r="I122" s="263"/>
      <c r="J122" s="19"/>
      <c r="K122" s="19"/>
      <c r="L122" s="19"/>
      <c r="M122" s="19"/>
      <c r="N122" s="19"/>
    </row>
    <row r="123" spans="1:14" ht="16.5" x14ac:dyDescent="0.25">
      <c r="A123" s="262"/>
      <c r="B123" s="262"/>
      <c r="C123" s="262"/>
      <c r="D123" s="263"/>
      <c r="E123" s="263"/>
      <c r="F123" s="263"/>
      <c r="G123" s="263"/>
      <c r="H123" s="263"/>
      <c r="I123" s="263"/>
      <c r="J123" s="19"/>
      <c r="K123" s="19"/>
      <c r="L123" s="19"/>
      <c r="M123" s="19"/>
      <c r="N123" s="19"/>
    </row>
    <row r="124" spans="1:14" ht="16.5" x14ac:dyDescent="0.25">
      <c r="A124" s="262"/>
      <c r="B124" s="262"/>
      <c r="C124" s="262"/>
      <c r="D124" s="263"/>
      <c r="E124" s="263"/>
      <c r="F124" s="263"/>
      <c r="G124" s="263"/>
      <c r="H124" s="263"/>
      <c r="I124" s="263"/>
      <c r="J124" s="19"/>
      <c r="K124" s="19"/>
      <c r="L124" s="19"/>
      <c r="M124" s="19"/>
      <c r="N124" s="19"/>
    </row>
    <row r="125" spans="1:14" ht="16.5" x14ac:dyDescent="0.25">
      <c r="A125" s="262"/>
      <c r="B125" s="262"/>
      <c r="C125" s="262"/>
      <c r="D125" s="263"/>
      <c r="E125" s="263"/>
      <c r="F125" s="263"/>
      <c r="G125" s="263"/>
      <c r="H125" s="263"/>
      <c r="I125" s="263"/>
      <c r="J125" s="19"/>
      <c r="K125" s="19"/>
      <c r="L125" s="19"/>
      <c r="M125" s="19"/>
      <c r="N125" s="19"/>
    </row>
    <row r="126" spans="1:14" ht="16.5" x14ac:dyDescent="0.25">
      <c r="A126" s="262"/>
      <c r="B126" s="262"/>
      <c r="C126" s="262"/>
      <c r="D126" s="263"/>
      <c r="E126" s="263"/>
      <c r="F126" s="263"/>
      <c r="G126" s="263"/>
      <c r="H126" s="263"/>
      <c r="I126" s="263"/>
      <c r="J126" s="19"/>
      <c r="K126" s="19"/>
      <c r="L126" s="19"/>
      <c r="M126" s="19"/>
      <c r="N126" s="19"/>
    </row>
    <row r="127" spans="1:14" ht="16.5" x14ac:dyDescent="0.25">
      <c r="A127" s="262"/>
      <c r="B127" s="262"/>
      <c r="C127" s="262"/>
      <c r="D127" s="263"/>
      <c r="E127" s="263"/>
      <c r="F127" s="263"/>
      <c r="G127" s="263"/>
      <c r="H127" s="263"/>
      <c r="I127" s="263"/>
      <c r="J127" s="19"/>
      <c r="K127" s="19"/>
      <c r="L127" s="19"/>
      <c r="M127" s="19"/>
      <c r="N127" s="19"/>
    </row>
    <row r="128" spans="1:14" ht="16.5" x14ac:dyDescent="0.25">
      <c r="A128" s="262"/>
      <c r="B128" s="262"/>
      <c r="C128" s="262"/>
      <c r="D128" s="263"/>
      <c r="E128" s="263"/>
      <c r="F128" s="263"/>
      <c r="G128" s="263"/>
      <c r="H128" s="263"/>
      <c r="I128" s="263"/>
      <c r="J128" s="19"/>
      <c r="K128" s="19"/>
      <c r="L128" s="19"/>
      <c r="M128" s="19"/>
      <c r="N128" s="19"/>
    </row>
    <row r="129" spans="1:14" ht="16.5" x14ac:dyDescent="0.25">
      <c r="A129" s="262"/>
      <c r="B129" s="262"/>
      <c r="C129" s="262"/>
      <c r="D129" s="263"/>
      <c r="E129" s="263"/>
      <c r="F129" s="263"/>
      <c r="G129" s="263"/>
      <c r="H129" s="263"/>
      <c r="I129" s="263"/>
      <c r="J129" s="19"/>
      <c r="K129" s="19"/>
      <c r="L129" s="19"/>
      <c r="M129" s="19"/>
      <c r="N129" s="19"/>
    </row>
    <row r="130" spans="1:14" ht="16.5" x14ac:dyDescent="0.25">
      <c r="A130" s="262"/>
      <c r="B130" s="262"/>
      <c r="C130" s="262"/>
      <c r="D130" s="263"/>
      <c r="E130" s="263"/>
      <c r="F130" s="263"/>
      <c r="G130" s="263"/>
      <c r="H130" s="263"/>
      <c r="I130" s="263"/>
      <c r="J130" s="19"/>
      <c r="K130" s="19"/>
      <c r="L130" s="19"/>
      <c r="M130" s="19"/>
      <c r="N130" s="19"/>
    </row>
    <row r="131" spans="1:14" ht="16.5" x14ac:dyDescent="0.25">
      <c r="A131" s="262"/>
      <c r="B131" s="262"/>
      <c r="C131" s="262"/>
      <c r="D131" s="263"/>
      <c r="E131" s="263"/>
      <c r="F131" s="263"/>
      <c r="G131" s="263"/>
      <c r="H131" s="263"/>
      <c r="I131" s="263"/>
      <c r="J131" s="19"/>
      <c r="K131" s="19"/>
      <c r="L131" s="19"/>
      <c r="M131" s="19"/>
      <c r="N131" s="19"/>
    </row>
    <row r="132" spans="1:14" ht="16.5" x14ac:dyDescent="0.25">
      <c r="A132" s="262"/>
      <c r="B132" s="262"/>
      <c r="C132" s="262"/>
      <c r="D132" s="263"/>
      <c r="E132" s="263"/>
      <c r="F132" s="263"/>
      <c r="G132" s="263"/>
      <c r="H132" s="263"/>
      <c r="I132" s="263"/>
      <c r="J132" s="19"/>
      <c r="K132" s="19"/>
      <c r="L132" s="19"/>
      <c r="M132" s="19"/>
      <c r="N132" s="19"/>
    </row>
    <row r="133" spans="1:14" ht="16.5" x14ac:dyDescent="0.25">
      <c r="A133" s="262"/>
      <c r="B133" s="262"/>
      <c r="C133" s="262"/>
      <c r="D133" s="263"/>
      <c r="E133" s="263"/>
      <c r="F133" s="263"/>
      <c r="G133" s="263"/>
      <c r="H133" s="263"/>
      <c r="I133" s="263"/>
      <c r="J133" s="19"/>
      <c r="K133" s="19"/>
      <c r="L133" s="19"/>
      <c r="M133" s="19"/>
      <c r="N133" s="19"/>
    </row>
    <row r="134" spans="1:14" ht="16.5" x14ac:dyDescent="0.25">
      <c r="A134" s="262"/>
      <c r="B134" s="262"/>
      <c r="C134" s="262"/>
      <c r="D134" s="263"/>
      <c r="E134" s="263"/>
      <c r="F134" s="263"/>
      <c r="G134" s="263"/>
      <c r="H134" s="263"/>
      <c r="I134" s="263"/>
      <c r="J134" s="19"/>
      <c r="K134" s="19"/>
      <c r="L134" s="19"/>
      <c r="M134" s="19"/>
      <c r="N134" s="19"/>
    </row>
    <row r="135" spans="1:14" ht="16.5" x14ac:dyDescent="0.25">
      <c r="A135" s="262"/>
      <c r="B135" s="262"/>
      <c r="C135" s="262"/>
      <c r="D135" s="263"/>
      <c r="E135" s="263"/>
      <c r="F135" s="263"/>
      <c r="G135" s="263"/>
      <c r="H135" s="263"/>
      <c r="I135" s="263"/>
      <c r="J135" s="19"/>
      <c r="K135" s="19"/>
      <c r="L135" s="19"/>
      <c r="M135" s="19"/>
      <c r="N135" s="19"/>
    </row>
    <row r="136" spans="1:14" ht="16.5" x14ac:dyDescent="0.25">
      <c r="A136" s="262"/>
      <c r="B136" s="262"/>
      <c r="C136" s="262"/>
      <c r="D136" s="263"/>
      <c r="E136" s="263"/>
      <c r="F136" s="263"/>
      <c r="G136" s="263"/>
      <c r="H136" s="263"/>
      <c r="I136" s="263"/>
      <c r="J136" s="19"/>
      <c r="K136" s="19"/>
      <c r="L136" s="19"/>
      <c r="M136" s="19"/>
      <c r="N136" s="19"/>
    </row>
    <row r="137" spans="1:14" ht="16.5" x14ac:dyDescent="0.25">
      <c r="A137" s="262"/>
      <c r="B137" s="262"/>
      <c r="C137" s="262"/>
      <c r="D137" s="263"/>
      <c r="E137" s="263"/>
      <c r="F137" s="263"/>
      <c r="G137" s="263"/>
      <c r="H137" s="263"/>
      <c r="I137" s="263"/>
      <c r="J137" s="19"/>
      <c r="K137" s="19"/>
      <c r="L137" s="19"/>
      <c r="M137" s="19"/>
      <c r="N137" s="19"/>
    </row>
    <row r="138" spans="1:14" ht="16.5" x14ac:dyDescent="0.25">
      <c r="A138" s="262"/>
      <c r="B138" s="262"/>
      <c r="C138" s="262"/>
      <c r="D138" s="263"/>
      <c r="E138" s="263"/>
      <c r="F138" s="263"/>
      <c r="G138" s="263"/>
      <c r="H138" s="263"/>
      <c r="I138" s="263"/>
      <c r="J138" s="19"/>
      <c r="K138" s="19"/>
      <c r="L138" s="19"/>
      <c r="M138" s="19"/>
      <c r="N138" s="19"/>
    </row>
    <row r="139" spans="1:14" ht="16.5" x14ac:dyDescent="0.25">
      <c r="A139" s="262"/>
      <c r="B139" s="262"/>
      <c r="C139" s="262"/>
      <c r="D139" s="263"/>
      <c r="E139" s="263"/>
      <c r="F139" s="263"/>
      <c r="G139" s="263"/>
      <c r="H139" s="263"/>
      <c r="I139" s="263"/>
      <c r="J139" s="19"/>
      <c r="K139" s="19"/>
      <c r="L139" s="19"/>
      <c r="M139" s="19"/>
      <c r="N139" s="19"/>
    </row>
    <row r="140" spans="1:14" ht="16.5" x14ac:dyDescent="0.25">
      <c r="A140" s="262"/>
      <c r="B140" s="262"/>
      <c r="C140" s="262"/>
      <c r="D140" s="263"/>
      <c r="E140" s="263"/>
      <c r="F140" s="263"/>
      <c r="G140" s="263"/>
      <c r="H140" s="263"/>
      <c r="I140" s="263"/>
      <c r="J140" s="19"/>
      <c r="K140" s="19"/>
      <c r="L140" s="19"/>
      <c r="M140" s="19"/>
      <c r="N140" s="19"/>
    </row>
    <row r="141" spans="1:14" ht="16.5" x14ac:dyDescent="0.25">
      <c r="A141" s="262"/>
      <c r="B141" s="262"/>
      <c r="C141" s="262"/>
      <c r="D141" s="263"/>
      <c r="E141" s="263"/>
      <c r="F141" s="263"/>
      <c r="G141" s="263"/>
      <c r="H141" s="263"/>
      <c r="I141" s="263"/>
      <c r="J141" s="19"/>
      <c r="K141" s="19"/>
      <c r="L141" s="19"/>
      <c r="M141" s="19"/>
      <c r="N141" s="19"/>
    </row>
    <row r="142" spans="1:14" ht="16.5" x14ac:dyDescent="0.25">
      <c r="A142" s="262"/>
      <c r="B142" s="262"/>
      <c r="C142" s="262"/>
      <c r="D142" s="263"/>
      <c r="E142" s="263"/>
      <c r="F142" s="263"/>
      <c r="G142" s="263"/>
      <c r="H142" s="263"/>
      <c r="I142" s="263"/>
      <c r="J142" s="19"/>
      <c r="K142" s="19"/>
      <c r="L142" s="19"/>
      <c r="M142" s="19"/>
      <c r="N142" s="19"/>
    </row>
    <row r="143" spans="1:14" ht="16.5" x14ac:dyDescent="0.25">
      <c r="A143" s="262"/>
      <c r="B143" s="262"/>
      <c r="C143" s="262"/>
      <c r="D143" s="263"/>
      <c r="E143" s="263"/>
      <c r="F143" s="263"/>
      <c r="G143" s="263"/>
      <c r="H143" s="263"/>
      <c r="I143" s="263"/>
      <c r="J143" s="19"/>
      <c r="K143" s="19"/>
      <c r="L143" s="19"/>
      <c r="M143" s="19"/>
      <c r="N143" s="19"/>
    </row>
    <row r="144" spans="1:14" ht="16.5" x14ac:dyDescent="0.25">
      <c r="A144" s="262"/>
      <c r="B144" s="262"/>
      <c r="C144" s="262"/>
      <c r="D144" s="263"/>
      <c r="E144" s="263"/>
      <c r="F144" s="263"/>
      <c r="G144" s="263"/>
      <c r="H144" s="263"/>
      <c r="I144" s="263"/>
      <c r="J144" s="19"/>
      <c r="K144" s="19"/>
      <c r="L144" s="19"/>
      <c r="M144" s="19"/>
      <c r="N144" s="19"/>
    </row>
    <row r="145" spans="1:14" ht="16.5" x14ac:dyDescent="0.25">
      <c r="A145" s="262"/>
      <c r="B145" s="262"/>
      <c r="C145" s="262"/>
      <c r="D145" s="263"/>
      <c r="E145" s="263"/>
      <c r="F145" s="263"/>
      <c r="G145" s="263"/>
      <c r="H145" s="263"/>
      <c r="I145" s="263"/>
      <c r="J145" s="19"/>
      <c r="K145" s="19"/>
      <c r="L145" s="19"/>
      <c r="M145" s="19"/>
      <c r="N145" s="19"/>
    </row>
    <row r="146" spans="1:14" ht="16.5" x14ac:dyDescent="0.25">
      <c r="A146" s="262"/>
      <c r="B146" s="262"/>
      <c r="C146" s="262"/>
      <c r="D146" s="263"/>
      <c r="E146" s="263"/>
      <c r="F146" s="263"/>
      <c r="G146" s="263"/>
      <c r="H146" s="263"/>
      <c r="I146" s="263"/>
      <c r="J146" s="19"/>
      <c r="K146" s="19"/>
      <c r="L146" s="19"/>
      <c r="M146" s="19"/>
      <c r="N146" s="19"/>
    </row>
    <row r="147" spans="1:14" ht="16.5" x14ac:dyDescent="0.25">
      <c r="A147" s="262"/>
      <c r="B147" s="262"/>
      <c r="C147" s="262"/>
      <c r="D147" s="263"/>
      <c r="E147" s="263"/>
      <c r="F147" s="263"/>
      <c r="G147" s="263"/>
      <c r="H147" s="263"/>
      <c r="I147" s="263"/>
      <c r="J147" s="19"/>
      <c r="K147" s="19"/>
      <c r="L147" s="19"/>
      <c r="M147" s="19"/>
      <c r="N147" s="19"/>
    </row>
    <row r="148" spans="1:14" ht="16.5" x14ac:dyDescent="0.25">
      <c r="A148" s="262"/>
      <c r="B148" s="262"/>
      <c r="C148" s="262"/>
      <c r="D148" s="263"/>
      <c r="E148" s="263"/>
      <c r="F148" s="263"/>
      <c r="G148" s="263"/>
      <c r="H148" s="263"/>
      <c r="I148" s="263"/>
      <c r="J148" s="19"/>
      <c r="K148" s="19"/>
      <c r="L148" s="19"/>
      <c r="M148" s="19"/>
      <c r="N148" s="19"/>
    </row>
    <row r="149" spans="1:14" ht="16.5" x14ac:dyDescent="0.25">
      <c r="A149" s="262"/>
      <c r="B149" s="262"/>
      <c r="C149" s="262"/>
      <c r="D149" s="263"/>
      <c r="E149" s="263"/>
      <c r="F149" s="263"/>
      <c r="G149" s="263"/>
      <c r="H149" s="263"/>
      <c r="I149" s="263"/>
      <c r="J149" s="19"/>
      <c r="K149" s="19"/>
      <c r="L149" s="19"/>
      <c r="M149" s="19"/>
      <c r="N149" s="19"/>
    </row>
    <row r="150" spans="1:14" ht="16.5" x14ac:dyDescent="0.25">
      <c r="A150" s="262"/>
      <c r="B150" s="262"/>
      <c r="C150" s="262"/>
      <c r="D150" s="263"/>
      <c r="E150" s="263"/>
      <c r="F150" s="263"/>
      <c r="G150" s="263"/>
      <c r="H150" s="263"/>
      <c r="I150" s="263"/>
      <c r="J150" s="19"/>
      <c r="K150" s="19"/>
      <c r="L150" s="19"/>
      <c r="M150" s="19"/>
      <c r="N150" s="19"/>
    </row>
    <row r="151" spans="1:14" ht="16.5" x14ac:dyDescent="0.25">
      <c r="A151" s="262"/>
      <c r="B151" s="262"/>
      <c r="C151" s="262"/>
      <c r="D151" s="263"/>
      <c r="E151" s="263"/>
      <c r="F151" s="263"/>
      <c r="G151" s="263"/>
      <c r="H151" s="263"/>
      <c r="I151" s="263"/>
      <c r="J151" s="19"/>
      <c r="K151" s="19"/>
      <c r="L151" s="19"/>
      <c r="M151" s="19"/>
      <c r="N151" s="19"/>
    </row>
    <row r="152" spans="1:14" ht="16.5" x14ac:dyDescent="0.25">
      <c r="A152" s="262"/>
      <c r="B152" s="262"/>
      <c r="C152" s="262"/>
      <c r="D152" s="263"/>
      <c r="E152" s="263"/>
      <c r="F152" s="263"/>
      <c r="G152" s="263"/>
      <c r="H152" s="263"/>
      <c r="I152" s="263"/>
      <c r="J152" s="19"/>
      <c r="K152" s="19"/>
      <c r="L152" s="19"/>
      <c r="M152" s="19"/>
      <c r="N152" s="19"/>
    </row>
    <row r="153" spans="1:14" ht="16.5" x14ac:dyDescent="0.25">
      <c r="A153" s="262"/>
      <c r="B153" s="262"/>
      <c r="C153" s="262"/>
      <c r="D153" s="263"/>
      <c r="E153" s="263"/>
      <c r="F153" s="263"/>
      <c r="G153" s="263"/>
      <c r="H153" s="263"/>
      <c r="I153" s="263"/>
      <c r="J153" s="19"/>
      <c r="K153" s="19"/>
      <c r="L153" s="19"/>
      <c r="M153" s="19"/>
      <c r="N153" s="19"/>
    </row>
    <row r="154" spans="1:14" ht="16.5" x14ac:dyDescent="0.25">
      <c r="A154" s="262"/>
      <c r="B154" s="262"/>
      <c r="C154" s="262"/>
      <c r="D154" s="263"/>
      <c r="E154" s="263"/>
      <c r="F154" s="263"/>
      <c r="G154" s="263"/>
      <c r="H154" s="263"/>
      <c r="I154" s="263"/>
      <c r="J154" s="19"/>
      <c r="K154" s="19"/>
      <c r="L154" s="19"/>
      <c r="M154" s="19"/>
      <c r="N154" s="19"/>
    </row>
    <row r="155" spans="1:14" ht="16.5" x14ac:dyDescent="0.25">
      <c r="A155" s="262"/>
      <c r="B155" s="262"/>
      <c r="C155" s="262"/>
      <c r="D155" s="263"/>
      <c r="E155" s="263"/>
      <c r="F155" s="263"/>
      <c r="G155" s="263"/>
      <c r="H155" s="263"/>
      <c r="I155" s="263"/>
      <c r="J155" s="19"/>
      <c r="K155" s="19"/>
      <c r="L155" s="19"/>
      <c r="M155" s="19"/>
      <c r="N155" s="19"/>
    </row>
    <row r="156" spans="1:14" ht="16.5" x14ac:dyDescent="0.25">
      <c r="A156" s="262"/>
      <c r="B156" s="262"/>
      <c r="C156" s="262"/>
      <c r="D156" s="263"/>
      <c r="E156" s="263"/>
      <c r="F156" s="263"/>
      <c r="G156" s="263"/>
      <c r="H156" s="263"/>
      <c r="I156" s="263"/>
      <c r="J156" s="19"/>
      <c r="K156" s="19"/>
      <c r="L156" s="19"/>
      <c r="M156" s="19"/>
      <c r="N156" s="19"/>
    </row>
    <row r="157" spans="1:14" ht="16.5" x14ac:dyDescent="0.25">
      <c r="A157" s="262"/>
      <c r="B157" s="262"/>
      <c r="C157" s="262"/>
      <c r="D157" s="263"/>
      <c r="E157" s="263"/>
      <c r="F157" s="263"/>
      <c r="G157" s="263"/>
      <c r="H157" s="263"/>
      <c r="I157" s="263"/>
      <c r="J157" s="19"/>
      <c r="K157" s="19"/>
      <c r="L157" s="19"/>
      <c r="M157" s="19"/>
      <c r="N157" s="19"/>
    </row>
    <row r="158" spans="1:14" ht="16.5" x14ac:dyDescent="0.25">
      <c r="A158" s="262"/>
      <c r="B158" s="262"/>
      <c r="C158" s="262"/>
      <c r="D158" s="263"/>
      <c r="E158" s="263"/>
      <c r="F158" s="263"/>
      <c r="G158" s="263"/>
      <c r="H158" s="263"/>
      <c r="I158" s="263"/>
      <c r="J158" s="19"/>
      <c r="K158" s="19"/>
      <c r="L158" s="19"/>
      <c r="M158" s="19"/>
      <c r="N158" s="19"/>
    </row>
    <row r="159" spans="1:14" ht="16.5" x14ac:dyDescent="0.25">
      <c r="A159" s="262"/>
      <c r="B159" s="262"/>
      <c r="C159" s="262"/>
      <c r="D159" s="263"/>
      <c r="E159" s="263"/>
      <c r="F159" s="263"/>
      <c r="G159" s="263"/>
      <c r="H159" s="263"/>
      <c r="I159" s="263"/>
      <c r="J159" s="19"/>
      <c r="K159" s="19"/>
      <c r="L159" s="19"/>
      <c r="M159" s="19"/>
      <c r="N159" s="19"/>
    </row>
    <row r="160" spans="1:14" ht="16.5" x14ac:dyDescent="0.25">
      <c r="A160" s="262"/>
      <c r="B160" s="262"/>
      <c r="C160" s="262"/>
      <c r="D160" s="263"/>
      <c r="E160" s="263"/>
      <c r="F160" s="263"/>
      <c r="G160" s="263"/>
      <c r="H160" s="263"/>
      <c r="I160" s="263"/>
      <c r="J160" s="19"/>
      <c r="K160" s="19"/>
      <c r="L160" s="19"/>
      <c r="M160" s="19"/>
      <c r="N160" s="19"/>
    </row>
    <row r="161" spans="1:14" ht="16.5" x14ac:dyDescent="0.25">
      <c r="A161" s="262"/>
      <c r="B161" s="262"/>
      <c r="C161" s="262"/>
      <c r="D161" s="263"/>
      <c r="E161" s="263"/>
      <c r="F161" s="263"/>
      <c r="G161" s="263"/>
      <c r="H161" s="263"/>
      <c r="I161" s="263"/>
      <c r="J161" s="19"/>
      <c r="K161" s="19"/>
      <c r="L161" s="19"/>
      <c r="M161" s="19"/>
      <c r="N161" s="19"/>
    </row>
    <row r="162" spans="1:14" ht="16.5" x14ac:dyDescent="0.25">
      <c r="A162" s="262"/>
      <c r="B162" s="262"/>
      <c r="C162" s="262"/>
      <c r="D162" s="263"/>
      <c r="E162" s="263"/>
      <c r="F162" s="263"/>
      <c r="G162" s="263"/>
      <c r="H162" s="263"/>
      <c r="I162" s="263"/>
      <c r="J162" s="19"/>
      <c r="K162" s="19"/>
      <c r="L162" s="19"/>
      <c r="M162" s="19"/>
      <c r="N162" s="19"/>
    </row>
    <row r="163" spans="1:14" ht="16.5" x14ac:dyDescent="0.25">
      <c r="A163" s="262"/>
      <c r="B163" s="262"/>
      <c r="C163" s="262"/>
      <c r="D163" s="263"/>
      <c r="E163" s="263"/>
      <c r="F163" s="263"/>
      <c r="G163" s="263"/>
      <c r="H163" s="263"/>
      <c r="I163" s="263"/>
      <c r="J163" s="19"/>
      <c r="K163" s="19"/>
      <c r="L163" s="19"/>
      <c r="M163" s="19"/>
      <c r="N163" s="19"/>
    </row>
    <row r="164" spans="1:14" ht="16.5" x14ac:dyDescent="0.25">
      <c r="A164" s="262"/>
      <c r="B164" s="262"/>
      <c r="C164" s="262"/>
      <c r="D164" s="263"/>
      <c r="E164" s="263"/>
      <c r="F164" s="263"/>
      <c r="G164" s="263"/>
      <c r="H164" s="263"/>
      <c r="I164" s="263"/>
      <c r="J164" s="19"/>
      <c r="K164" s="19"/>
      <c r="L164" s="19"/>
      <c r="M164" s="19"/>
      <c r="N164" s="19"/>
    </row>
    <row r="165" spans="1:14" ht="16.5" x14ac:dyDescent="0.25">
      <c r="A165" s="262"/>
      <c r="B165" s="262"/>
      <c r="C165" s="262"/>
      <c r="D165" s="263"/>
      <c r="E165" s="263"/>
      <c r="F165" s="263"/>
      <c r="G165" s="263"/>
      <c r="H165" s="263"/>
      <c r="I165" s="263"/>
      <c r="J165" s="19"/>
      <c r="K165" s="19"/>
      <c r="L165" s="19"/>
      <c r="M165" s="19"/>
      <c r="N165" s="19"/>
    </row>
    <row r="166" spans="1:14" ht="16.5" x14ac:dyDescent="0.25">
      <c r="A166" s="262"/>
      <c r="B166" s="262"/>
      <c r="C166" s="262"/>
      <c r="D166" s="263"/>
      <c r="E166" s="263"/>
      <c r="F166" s="263"/>
      <c r="G166" s="263"/>
      <c r="H166" s="263"/>
      <c r="I166" s="263"/>
      <c r="J166" s="19"/>
      <c r="K166" s="19"/>
      <c r="L166" s="19"/>
      <c r="M166" s="19"/>
      <c r="N166" s="19"/>
    </row>
    <row r="167" spans="1:14" ht="16.5" x14ac:dyDescent="0.25">
      <c r="A167" s="262"/>
      <c r="B167" s="262"/>
      <c r="C167" s="262"/>
      <c r="D167" s="263"/>
      <c r="E167" s="263"/>
      <c r="F167" s="263"/>
      <c r="G167" s="263"/>
      <c r="H167" s="263"/>
      <c r="I167" s="263"/>
      <c r="J167" s="19"/>
      <c r="K167" s="19"/>
      <c r="L167" s="19"/>
      <c r="M167" s="19"/>
      <c r="N167" s="19"/>
    </row>
    <row r="168" spans="1:14" ht="16.5" x14ac:dyDescent="0.25">
      <c r="A168" s="262"/>
      <c r="B168" s="262"/>
      <c r="C168" s="262"/>
      <c r="D168" s="263"/>
      <c r="E168" s="263"/>
      <c r="F168" s="263"/>
      <c r="G168" s="263"/>
      <c r="H168" s="263"/>
      <c r="I168" s="263"/>
      <c r="J168" s="19"/>
      <c r="K168" s="19"/>
      <c r="L168" s="19"/>
      <c r="M168" s="19"/>
      <c r="N168" s="19"/>
    </row>
    <row r="169" spans="1:14" ht="16.5" x14ac:dyDescent="0.25">
      <c r="A169" s="262"/>
      <c r="B169" s="262"/>
      <c r="C169" s="262"/>
      <c r="D169" s="263"/>
      <c r="E169" s="263"/>
      <c r="F169" s="263"/>
      <c r="G169" s="263"/>
      <c r="H169" s="263"/>
      <c r="I169" s="263"/>
      <c r="J169" s="19"/>
      <c r="K169" s="19"/>
      <c r="L169" s="19"/>
      <c r="M169" s="19"/>
      <c r="N169" s="19"/>
    </row>
    <row r="170" spans="1:14" ht="16.5" x14ac:dyDescent="0.25">
      <c r="A170" s="262"/>
      <c r="B170" s="262"/>
      <c r="C170" s="262"/>
      <c r="D170" s="263"/>
      <c r="E170" s="263"/>
      <c r="F170" s="263"/>
      <c r="G170" s="263"/>
      <c r="H170" s="263"/>
      <c r="I170" s="263"/>
      <c r="J170" s="19"/>
      <c r="K170" s="19"/>
      <c r="L170" s="19"/>
      <c r="M170" s="19"/>
      <c r="N170" s="19"/>
    </row>
    <row r="171" spans="1:14" ht="16.5" x14ac:dyDescent="0.25">
      <c r="A171" s="262"/>
      <c r="B171" s="262"/>
      <c r="C171" s="262"/>
      <c r="D171" s="263"/>
      <c r="E171" s="263"/>
      <c r="F171" s="263"/>
      <c r="G171" s="263"/>
      <c r="H171" s="263"/>
      <c r="I171" s="263"/>
      <c r="J171" s="19"/>
      <c r="K171" s="19"/>
      <c r="L171" s="19"/>
      <c r="M171" s="19"/>
      <c r="N171" s="19"/>
    </row>
    <row r="172" spans="1:14" ht="16.5" x14ac:dyDescent="0.25">
      <c r="A172" s="262"/>
      <c r="B172" s="262"/>
      <c r="C172" s="262"/>
      <c r="D172" s="263"/>
      <c r="E172" s="263"/>
      <c r="F172" s="263"/>
      <c r="G172" s="263"/>
      <c r="H172" s="263"/>
      <c r="I172" s="263"/>
      <c r="J172" s="19"/>
      <c r="K172" s="19"/>
      <c r="L172" s="19"/>
      <c r="M172" s="19"/>
      <c r="N172" s="19"/>
    </row>
    <row r="173" spans="1:14" ht="16.5" x14ac:dyDescent="0.25">
      <c r="A173" s="262"/>
      <c r="B173" s="262"/>
      <c r="C173" s="262"/>
      <c r="D173" s="263"/>
      <c r="E173" s="263"/>
      <c r="F173" s="263"/>
      <c r="G173" s="263"/>
      <c r="H173" s="263"/>
      <c r="I173" s="263"/>
      <c r="J173" s="19"/>
      <c r="K173" s="19"/>
      <c r="L173" s="19"/>
      <c r="M173" s="19"/>
      <c r="N173" s="19"/>
    </row>
    <row r="174" spans="1:14" ht="16.5" x14ac:dyDescent="0.25">
      <c r="A174" s="262"/>
      <c r="B174" s="262"/>
      <c r="C174" s="262"/>
      <c r="D174" s="263"/>
      <c r="E174" s="263"/>
      <c r="F174" s="263"/>
      <c r="G174" s="263"/>
      <c r="H174" s="263"/>
      <c r="I174" s="263"/>
      <c r="J174" s="19"/>
      <c r="K174" s="19"/>
      <c r="L174" s="19"/>
      <c r="M174" s="19"/>
      <c r="N174" s="19"/>
    </row>
    <row r="175" spans="1:14" ht="16.5" x14ac:dyDescent="0.25">
      <c r="A175" s="262"/>
      <c r="B175" s="262"/>
      <c r="C175" s="262"/>
      <c r="D175" s="263"/>
      <c r="E175" s="263"/>
      <c r="F175" s="263"/>
      <c r="G175" s="263"/>
      <c r="H175" s="263"/>
      <c r="I175" s="263"/>
      <c r="J175" s="19"/>
      <c r="K175" s="19"/>
      <c r="L175" s="19"/>
      <c r="M175" s="19"/>
      <c r="N175" s="19"/>
    </row>
    <row r="176" spans="1:14" ht="16.5" x14ac:dyDescent="0.25">
      <c r="A176" s="262"/>
      <c r="B176" s="262"/>
      <c r="C176" s="262"/>
      <c r="D176" s="263"/>
      <c r="E176" s="263"/>
      <c r="F176" s="263"/>
      <c r="G176" s="263"/>
      <c r="H176" s="263"/>
      <c r="I176" s="263"/>
      <c r="J176" s="19"/>
      <c r="K176" s="19"/>
      <c r="L176" s="19"/>
      <c r="M176" s="19"/>
      <c r="N176" s="19"/>
    </row>
    <row r="177" spans="1:14" ht="16.5" x14ac:dyDescent="0.25">
      <c r="A177" s="262"/>
      <c r="B177" s="262"/>
      <c r="C177" s="262"/>
      <c r="D177" s="263"/>
      <c r="E177" s="263"/>
      <c r="F177" s="263"/>
      <c r="G177" s="263"/>
      <c r="H177" s="263"/>
      <c r="I177" s="263"/>
      <c r="J177" s="19"/>
      <c r="K177" s="19"/>
      <c r="L177" s="19"/>
      <c r="M177" s="19"/>
      <c r="N177" s="19"/>
    </row>
    <row r="178" spans="1:14" ht="16.5" x14ac:dyDescent="0.25">
      <c r="A178" s="262"/>
      <c r="B178" s="262"/>
      <c r="C178" s="262"/>
      <c r="D178" s="263"/>
      <c r="E178" s="263"/>
      <c r="F178" s="263"/>
      <c r="G178" s="263"/>
      <c r="H178" s="263"/>
      <c r="I178" s="263"/>
      <c r="J178" s="19"/>
      <c r="K178" s="19"/>
      <c r="L178" s="19"/>
      <c r="M178" s="19"/>
      <c r="N178" s="19"/>
    </row>
    <row r="179" spans="1:14" ht="16.5" x14ac:dyDescent="0.25">
      <c r="A179" s="262"/>
      <c r="B179" s="262"/>
      <c r="C179" s="262"/>
      <c r="D179" s="263"/>
      <c r="E179" s="263"/>
      <c r="F179" s="263"/>
      <c r="G179" s="263"/>
      <c r="H179" s="263"/>
      <c r="I179" s="263"/>
      <c r="J179" s="19"/>
      <c r="K179" s="19"/>
      <c r="L179" s="19"/>
      <c r="M179" s="19"/>
      <c r="N179" s="19"/>
    </row>
    <row r="180" spans="1:14" ht="16.5" x14ac:dyDescent="0.25">
      <c r="A180" s="262"/>
      <c r="B180" s="262"/>
      <c r="C180" s="262"/>
      <c r="D180" s="263"/>
      <c r="E180" s="263"/>
      <c r="F180" s="263"/>
      <c r="G180" s="263"/>
      <c r="H180" s="263"/>
      <c r="I180" s="263"/>
      <c r="J180" s="19"/>
      <c r="K180" s="19"/>
      <c r="L180" s="19"/>
      <c r="M180" s="19"/>
      <c r="N180" s="19"/>
    </row>
    <row r="181" spans="1:14" ht="16.5" x14ac:dyDescent="0.25">
      <c r="A181" s="262"/>
      <c r="B181" s="262"/>
      <c r="C181" s="262"/>
      <c r="D181" s="263"/>
      <c r="E181" s="263"/>
      <c r="F181" s="263"/>
      <c r="G181" s="263"/>
      <c r="H181" s="263"/>
      <c r="I181" s="263"/>
      <c r="J181" s="19"/>
      <c r="K181" s="19"/>
      <c r="L181" s="19"/>
      <c r="M181" s="19"/>
      <c r="N181" s="19"/>
    </row>
    <row r="182" spans="1:14" ht="16.5" x14ac:dyDescent="0.25">
      <c r="A182" s="262"/>
      <c r="B182" s="262"/>
      <c r="C182" s="262"/>
      <c r="D182" s="263"/>
      <c r="E182" s="263"/>
      <c r="F182" s="263"/>
      <c r="G182" s="263"/>
      <c r="H182" s="263"/>
      <c r="I182" s="263"/>
      <c r="J182" s="19"/>
      <c r="K182" s="19"/>
      <c r="L182" s="19"/>
      <c r="M182" s="19"/>
      <c r="N182" s="19"/>
    </row>
    <row r="183" spans="1:14" ht="16.5" x14ac:dyDescent="0.25">
      <c r="A183" s="262"/>
      <c r="B183" s="262"/>
      <c r="C183" s="262"/>
      <c r="D183" s="263"/>
      <c r="E183" s="263"/>
      <c r="F183" s="263"/>
      <c r="G183" s="263"/>
      <c r="H183" s="263"/>
      <c r="I183" s="263"/>
      <c r="J183" s="19"/>
      <c r="K183" s="19"/>
      <c r="L183" s="19"/>
      <c r="M183" s="19"/>
      <c r="N183" s="19"/>
    </row>
    <row r="184" spans="1:14" ht="16.5" x14ac:dyDescent="0.25">
      <c r="A184" s="262"/>
      <c r="B184" s="262"/>
      <c r="C184" s="262"/>
      <c r="D184" s="263"/>
      <c r="E184" s="263"/>
      <c r="F184" s="263"/>
      <c r="G184" s="263"/>
      <c r="H184" s="263"/>
      <c r="I184" s="263"/>
      <c r="J184" s="19"/>
      <c r="K184" s="19"/>
      <c r="L184" s="19"/>
      <c r="M184" s="19"/>
      <c r="N184" s="19"/>
    </row>
    <row r="185" spans="1:14" ht="16.5" x14ac:dyDescent="0.25">
      <c r="A185" s="262"/>
      <c r="B185" s="262"/>
      <c r="C185" s="262"/>
      <c r="D185" s="263"/>
      <c r="E185" s="263"/>
      <c r="F185" s="263"/>
      <c r="G185" s="263"/>
      <c r="H185" s="263"/>
      <c r="I185" s="263"/>
      <c r="J185" s="19"/>
      <c r="K185" s="19"/>
      <c r="L185" s="19"/>
      <c r="M185" s="19"/>
      <c r="N185" s="19"/>
    </row>
    <row r="186" spans="1:14" ht="16.5" x14ac:dyDescent="0.25">
      <c r="A186" s="262"/>
      <c r="B186" s="262"/>
      <c r="C186" s="262"/>
      <c r="D186" s="263"/>
      <c r="E186" s="263"/>
      <c r="F186" s="263"/>
      <c r="G186" s="263"/>
      <c r="H186" s="263"/>
      <c r="I186" s="263"/>
      <c r="J186" s="19"/>
      <c r="K186" s="19"/>
      <c r="L186" s="19"/>
      <c r="M186" s="19"/>
      <c r="N186" s="19"/>
    </row>
    <row r="187" spans="1:14" ht="16.5" x14ac:dyDescent="0.25">
      <c r="A187" s="262"/>
      <c r="B187" s="262"/>
      <c r="C187" s="262"/>
      <c r="D187" s="263"/>
      <c r="E187" s="263"/>
      <c r="F187" s="263"/>
      <c r="G187" s="263"/>
      <c r="H187" s="263"/>
      <c r="I187" s="263"/>
      <c r="J187" s="19"/>
      <c r="K187" s="19"/>
      <c r="L187" s="19"/>
      <c r="M187" s="19"/>
      <c r="N187" s="19"/>
    </row>
    <row r="188" spans="1:14" ht="16.5" x14ac:dyDescent="0.25">
      <c r="A188" s="262"/>
      <c r="B188" s="262"/>
      <c r="C188" s="262"/>
      <c r="D188" s="263"/>
      <c r="E188" s="263"/>
      <c r="F188" s="263"/>
      <c r="G188" s="263"/>
      <c r="H188" s="263"/>
      <c r="I188" s="263"/>
      <c r="J188" s="19"/>
      <c r="K188" s="19"/>
      <c r="L188" s="19"/>
      <c r="M188" s="19"/>
      <c r="N188" s="19"/>
    </row>
    <row r="189" spans="1:14" ht="16.5" x14ac:dyDescent="0.25">
      <c r="A189" s="262"/>
      <c r="B189" s="262"/>
      <c r="C189" s="262"/>
      <c r="D189" s="263"/>
      <c r="E189" s="263"/>
      <c r="F189" s="263"/>
      <c r="G189" s="263"/>
      <c r="H189" s="263"/>
      <c r="I189" s="263"/>
      <c r="J189" s="19"/>
      <c r="K189" s="19"/>
      <c r="L189" s="19"/>
      <c r="M189" s="19"/>
      <c r="N189" s="19"/>
    </row>
    <row r="190" spans="1:14" ht="16.5" x14ac:dyDescent="0.25">
      <c r="A190" s="262"/>
      <c r="B190" s="262"/>
      <c r="C190" s="262"/>
      <c r="D190" s="263"/>
      <c r="E190" s="263"/>
      <c r="F190" s="263"/>
      <c r="G190" s="263"/>
      <c r="H190" s="263"/>
      <c r="I190" s="263"/>
      <c r="J190" s="19"/>
      <c r="K190" s="19"/>
      <c r="L190" s="19"/>
      <c r="M190" s="19"/>
      <c r="N190" s="19"/>
    </row>
    <row r="191" spans="1:14" ht="16.5" x14ac:dyDescent="0.25">
      <c r="A191" s="262"/>
      <c r="B191" s="262"/>
      <c r="C191" s="262"/>
      <c r="D191" s="263"/>
      <c r="E191" s="263"/>
      <c r="F191" s="263"/>
      <c r="G191" s="263"/>
      <c r="H191" s="263"/>
      <c r="I191" s="263"/>
      <c r="J191" s="19"/>
      <c r="K191" s="19"/>
      <c r="L191" s="19"/>
      <c r="M191" s="19"/>
      <c r="N191" s="19"/>
    </row>
    <row r="192" spans="1:14" ht="16.5" x14ac:dyDescent="0.25">
      <c r="A192" s="262"/>
      <c r="B192" s="262"/>
      <c r="C192" s="262"/>
      <c r="D192" s="263"/>
      <c r="E192" s="263"/>
      <c r="F192" s="263"/>
      <c r="G192" s="263"/>
      <c r="H192" s="263"/>
      <c r="I192" s="263"/>
      <c r="J192" s="19"/>
      <c r="K192" s="19"/>
      <c r="L192" s="19"/>
      <c r="M192" s="19"/>
      <c r="N192" s="19"/>
    </row>
    <row r="193" spans="1:14" ht="16.5" x14ac:dyDescent="0.25">
      <c r="A193" s="262"/>
      <c r="B193" s="262"/>
      <c r="C193" s="262"/>
      <c r="D193" s="263"/>
      <c r="E193" s="263"/>
      <c r="F193" s="263"/>
      <c r="G193" s="263"/>
      <c r="H193" s="263"/>
      <c r="I193" s="263"/>
      <c r="J193" s="19"/>
      <c r="K193" s="19"/>
      <c r="L193" s="19"/>
      <c r="M193" s="19"/>
      <c r="N193" s="19"/>
    </row>
    <row r="194" spans="1:14" ht="16.5" x14ac:dyDescent="0.25">
      <c r="A194" s="262"/>
      <c r="B194" s="262"/>
      <c r="C194" s="262"/>
      <c r="D194" s="263"/>
      <c r="E194" s="263"/>
      <c r="F194" s="263"/>
      <c r="G194" s="263"/>
      <c r="H194" s="263"/>
      <c r="I194" s="263"/>
      <c r="J194" s="19"/>
      <c r="K194" s="19"/>
      <c r="L194" s="19"/>
      <c r="M194" s="19"/>
      <c r="N194" s="19"/>
    </row>
    <row r="195" spans="1:14" ht="16.5" x14ac:dyDescent="0.25">
      <c r="A195" s="262"/>
      <c r="B195" s="262"/>
      <c r="C195" s="262"/>
      <c r="D195" s="263"/>
      <c r="E195" s="263"/>
      <c r="F195" s="263"/>
      <c r="G195" s="263"/>
      <c r="H195" s="263"/>
      <c r="I195" s="263"/>
      <c r="J195" s="19"/>
      <c r="K195" s="19"/>
      <c r="L195" s="19"/>
      <c r="M195" s="19"/>
      <c r="N195" s="19"/>
    </row>
    <row r="196" spans="1:14" ht="16.5" x14ac:dyDescent="0.25">
      <c r="A196" s="262"/>
      <c r="B196" s="262"/>
      <c r="C196" s="262"/>
      <c r="D196" s="263"/>
      <c r="E196" s="263"/>
      <c r="F196" s="263"/>
      <c r="G196" s="263"/>
      <c r="H196" s="263"/>
      <c r="I196" s="263"/>
      <c r="J196" s="19"/>
      <c r="K196" s="19"/>
      <c r="L196" s="19"/>
      <c r="M196" s="19"/>
      <c r="N196" s="19"/>
    </row>
    <row r="197" spans="1:14" ht="16.5" x14ac:dyDescent="0.25">
      <c r="A197" s="262"/>
      <c r="B197" s="262"/>
      <c r="C197" s="262"/>
      <c r="D197" s="263"/>
      <c r="E197" s="263"/>
      <c r="F197" s="263"/>
      <c r="G197" s="263"/>
      <c r="H197" s="263"/>
      <c r="I197" s="263"/>
      <c r="J197" s="19"/>
      <c r="K197" s="19"/>
      <c r="L197" s="19"/>
      <c r="M197" s="19"/>
      <c r="N197" s="19"/>
    </row>
    <row r="198" spans="1:14" ht="16.5" x14ac:dyDescent="0.25">
      <c r="A198" s="262"/>
      <c r="B198" s="262"/>
      <c r="C198" s="262"/>
      <c r="D198" s="263"/>
      <c r="E198" s="263"/>
      <c r="F198" s="263"/>
      <c r="G198" s="263"/>
      <c r="H198" s="263"/>
      <c r="I198" s="263"/>
      <c r="J198" s="19"/>
      <c r="K198" s="19"/>
      <c r="L198" s="19"/>
      <c r="M198" s="19"/>
      <c r="N198" s="19"/>
    </row>
    <row r="199" spans="1:14" ht="16.5" x14ac:dyDescent="0.25">
      <c r="A199" s="262"/>
      <c r="B199" s="262"/>
      <c r="C199" s="262"/>
      <c r="D199" s="263"/>
      <c r="E199" s="263"/>
      <c r="F199" s="263"/>
      <c r="G199" s="263"/>
      <c r="H199" s="263"/>
      <c r="I199" s="263"/>
      <c r="J199" s="19"/>
      <c r="K199" s="19"/>
      <c r="L199" s="19"/>
      <c r="M199" s="19"/>
      <c r="N199" s="19"/>
    </row>
    <row r="200" spans="1:14" ht="16.5" x14ac:dyDescent="0.25">
      <c r="A200" s="262"/>
      <c r="B200" s="262"/>
      <c r="C200" s="262"/>
      <c r="D200" s="263"/>
      <c r="E200" s="263"/>
      <c r="F200" s="263"/>
      <c r="G200" s="263"/>
      <c r="H200" s="263"/>
      <c r="I200" s="263"/>
      <c r="J200" s="19"/>
      <c r="K200" s="19"/>
      <c r="L200" s="19"/>
      <c r="M200" s="19"/>
      <c r="N200" s="19"/>
    </row>
    <row r="201" spans="1:14" ht="16.5" x14ac:dyDescent="0.25">
      <c r="A201" s="262"/>
      <c r="B201" s="262"/>
      <c r="C201" s="262"/>
      <c r="D201" s="263"/>
      <c r="E201" s="263"/>
      <c r="F201" s="263"/>
      <c r="G201" s="263"/>
      <c r="H201" s="263"/>
      <c r="I201" s="263"/>
      <c r="J201" s="19"/>
      <c r="K201" s="19"/>
      <c r="L201" s="19"/>
      <c r="M201" s="19"/>
      <c r="N201" s="19"/>
    </row>
    <row r="202" spans="1:14" ht="16.5" x14ac:dyDescent="0.25">
      <c r="A202" s="262"/>
      <c r="B202" s="262"/>
      <c r="C202" s="262"/>
      <c r="D202" s="263"/>
      <c r="E202" s="263"/>
      <c r="F202" s="263"/>
      <c r="G202" s="263"/>
      <c r="H202" s="263"/>
      <c r="I202" s="263"/>
      <c r="J202" s="19"/>
      <c r="K202" s="19"/>
      <c r="L202" s="19"/>
      <c r="M202" s="19"/>
      <c r="N202" s="19"/>
    </row>
    <row r="203" spans="1:14" ht="16.5" x14ac:dyDescent="0.25">
      <c r="A203" s="262"/>
      <c r="B203" s="262"/>
      <c r="C203" s="262"/>
      <c r="D203" s="263"/>
      <c r="E203" s="263"/>
      <c r="F203" s="263"/>
      <c r="G203" s="263"/>
      <c r="H203" s="263"/>
      <c r="I203" s="263"/>
      <c r="J203" s="19"/>
      <c r="K203" s="19"/>
      <c r="L203" s="19"/>
      <c r="M203" s="19"/>
      <c r="N203" s="19"/>
    </row>
    <row r="204" spans="1:14" ht="16.5" x14ac:dyDescent="0.25">
      <c r="A204" s="262"/>
      <c r="B204" s="262"/>
      <c r="C204" s="262"/>
      <c r="D204" s="263"/>
      <c r="E204" s="263"/>
      <c r="F204" s="263"/>
      <c r="G204" s="263"/>
      <c r="H204" s="263"/>
      <c r="I204" s="263"/>
      <c r="J204" s="19"/>
      <c r="K204" s="19"/>
      <c r="L204" s="19"/>
      <c r="M204" s="19"/>
      <c r="N204" s="19"/>
    </row>
    <row r="205" spans="1:14" ht="16.5" x14ac:dyDescent="0.25">
      <c r="A205" s="262"/>
      <c r="B205" s="262"/>
      <c r="C205" s="262"/>
      <c r="D205" s="263"/>
      <c r="E205" s="263"/>
      <c r="F205" s="263"/>
      <c r="G205" s="263"/>
      <c r="H205" s="263"/>
      <c r="I205" s="263"/>
      <c r="J205" s="19"/>
      <c r="K205" s="19"/>
      <c r="L205" s="19"/>
      <c r="M205" s="19"/>
      <c r="N205" s="19"/>
    </row>
    <row r="206" spans="1:14" ht="16.5" x14ac:dyDescent="0.25">
      <c r="A206" s="262"/>
      <c r="B206" s="262"/>
      <c r="C206" s="262"/>
      <c r="D206" s="263"/>
      <c r="E206" s="263"/>
      <c r="F206" s="263"/>
      <c r="G206" s="263"/>
      <c r="H206" s="263"/>
      <c r="I206" s="263"/>
      <c r="J206" s="19"/>
      <c r="K206" s="19"/>
      <c r="L206" s="19"/>
      <c r="M206" s="19"/>
      <c r="N206" s="19"/>
    </row>
    <row r="207" spans="1:14" ht="16.5" x14ac:dyDescent="0.25">
      <c r="A207" s="262"/>
      <c r="B207" s="262"/>
      <c r="C207" s="262"/>
      <c r="D207" s="263"/>
      <c r="E207" s="263"/>
      <c r="F207" s="263"/>
      <c r="G207" s="263"/>
      <c r="H207" s="263"/>
      <c r="I207" s="263"/>
      <c r="J207" s="19"/>
      <c r="K207" s="19"/>
      <c r="L207" s="19"/>
      <c r="M207" s="19"/>
      <c r="N207" s="19"/>
    </row>
    <row r="208" spans="1:14" ht="16.5" x14ac:dyDescent="0.25">
      <c r="A208" s="262"/>
      <c r="B208" s="262"/>
      <c r="C208" s="262"/>
      <c r="D208" s="263"/>
      <c r="E208" s="263"/>
      <c r="F208" s="263"/>
      <c r="G208" s="263"/>
      <c r="H208" s="263"/>
      <c r="I208" s="263"/>
      <c r="J208" s="19"/>
      <c r="K208" s="19"/>
      <c r="L208" s="19"/>
      <c r="M208" s="19"/>
      <c r="N208" s="19"/>
    </row>
    <row r="209" spans="1:14" ht="16.5" x14ac:dyDescent="0.25">
      <c r="A209" s="262"/>
      <c r="B209" s="262"/>
      <c r="C209" s="262"/>
      <c r="D209" s="263"/>
      <c r="E209" s="263"/>
      <c r="F209" s="263"/>
      <c r="G209" s="263"/>
      <c r="H209" s="263"/>
      <c r="I209" s="263"/>
      <c r="J209" s="19"/>
      <c r="K209" s="19"/>
      <c r="L209" s="19"/>
      <c r="M209" s="19"/>
      <c r="N209" s="19"/>
    </row>
    <row r="210" spans="1:14" ht="16.5" x14ac:dyDescent="0.25">
      <c r="A210" s="262"/>
      <c r="B210" s="262"/>
      <c r="C210" s="262"/>
      <c r="D210" s="263"/>
      <c r="E210" s="263"/>
      <c r="F210" s="263"/>
      <c r="G210" s="263"/>
      <c r="H210" s="263"/>
      <c r="I210" s="263"/>
      <c r="J210" s="19"/>
      <c r="K210" s="19"/>
      <c r="L210" s="19"/>
      <c r="M210" s="19"/>
      <c r="N210" s="19"/>
    </row>
    <row r="211" spans="1:14" ht="16.5" x14ac:dyDescent="0.25">
      <c r="A211" s="262"/>
      <c r="B211" s="262"/>
      <c r="C211" s="262"/>
      <c r="D211" s="263"/>
      <c r="E211" s="263"/>
      <c r="F211" s="263"/>
      <c r="G211" s="263"/>
      <c r="H211" s="263"/>
      <c r="I211" s="263"/>
      <c r="J211" s="19"/>
      <c r="K211" s="19"/>
      <c r="L211" s="19"/>
      <c r="M211" s="19"/>
      <c r="N211" s="19"/>
    </row>
    <row r="212" spans="1:14" ht="16.5" x14ac:dyDescent="0.25">
      <c r="A212" s="262"/>
      <c r="B212" s="262"/>
      <c r="C212" s="262"/>
      <c r="D212" s="263"/>
      <c r="E212" s="263"/>
      <c r="F212" s="263"/>
      <c r="G212" s="263"/>
      <c r="H212" s="263"/>
      <c r="I212" s="263"/>
      <c r="J212" s="19"/>
      <c r="K212" s="19"/>
      <c r="L212" s="19"/>
      <c r="M212" s="19"/>
      <c r="N212" s="19"/>
    </row>
    <row r="213" spans="1:14" ht="16.5" x14ac:dyDescent="0.25">
      <c r="A213" s="262"/>
      <c r="B213" s="262"/>
      <c r="C213" s="262"/>
      <c r="D213" s="263"/>
      <c r="E213" s="263"/>
      <c r="F213" s="263"/>
      <c r="G213" s="263"/>
      <c r="H213" s="263"/>
      <c r="I213" s="263"/>
      <c r="J213" s="19"/>
      <c r="K213" s="19"/>
      <c r="L213" s="19"/>
      <c r="M213" s="19"/>
      <c r="N213" s="19"/>
    </row>
    <row r="214" spans="1:14" ht="16.5" x14ac:dyDescent="0.25">
      <c r="A214" s="262"/>
      <c r="B214" s="262"/>
      <c r="C214" s="262"/>
      <c r="D214" s="263"/>
      <c r="E214" s="263"/>
      <c r="F214" s="263"/>
      <c r="G214" s="263"/>
      <c r="H214" s="263"/>
      <c r="I214" s="263"/>
      <c r="J214" s="19"/>
      <c r="K214" s="19"/>
      <c r="L214" s="19"/>
      <c r="M214" s="19"/>
      <c r="N214" s="19"/>
    </row>
    <row r="215" spans="1:14" ht="16.5" x14ac:dyDescent="0.25">
      <c r="A215" s="262"/>
      <c r="B215" s="262"/>
      <c r="C215" s="262"/>
      <c r="D215" s="263"/>
      <c r="E215" s="263"/>
      <c r="F215" s="263"/>
      <c r="G215" s="263"/>
      <c r="H215" s="263"/>
      <c r="I215" s="263"/>
      <c r="J215" s="19"/>
      <c r="K215" s="19"/>
      <c r="L215" s="19"/>
      <c r="M215" s="19"/>
      <c r="N215" s="19"/>
    </row>
    <row r="216" spans="1:14" ht="16.5" x14ac:dyDescent="0.25">
      <c r="A216" s="262"/>
      <c r="B216" s="262"/>
      <c r="C216" s="262"/>
      <c r="D216" s="263"/>
      <c r="E216" s="263"/>
      <c r="F216" s="263"/>
      <c r="G216" s="263"/>
      <c r="H216" s="263"/>
      <c r="I216" s="263"/>
      <c r="J216" s="19"/>
      <c r="K216" s="19"/>
      <c r="L216" s="19"/>
      <c r="M216" s="19"/>
      <c r="N216" s="19"/>
    </row>
    <row r="217" spans="1:14" ht="16.5" x14ac:dyDescent="0.25">
      <c r="A217" s="262"/>
      <c r="B217" s="262"/>
      <c r="C217" s="262"/>
      <c r="D217" s="263"/>
      <c r="E217" s="263"/>
      <c r="F217" s="263"/>
      <c r="G217" s="263"/>
      <c r="H217" s="263"/>
      <c r="I217" s="263"/>
      <c r="J217" s="19"/>
      <c r="K217" s="19"/>
      <c r="L217" s="19"/>
      <c r="M217" s="19"/>
      <c r="N217" s="19"/>
    </row>
    <row r="218" spans="1:14" ht="16.5" x14ac:dyDescent="0.25">
      <c r="A218" s="262"/>
      <c r="B218" s="262"/>
      <c r="C218" s="262"/>
      <c r="D218" s="263"/>
      <c r="E218" s="263"/>
      <c r="F218" s="263"/>
      <c r="G218" s="263"/>
      <c r="H218" s="263"/>
      <c r="I218" s="263"/>
      <c r="J218" s="19"/>
      <c r="K218" s="19"/>
      <c r="L218" s="19"/>
      <c r="M218" s="19"/>
      <c r="N218" s="19"/>
    </row>
    <row r="219" spans="1:14" ht="16.5" x14ac:dyDescent="0.25">
      <c r="A219" s="262"/>
      <c r="B219" s="262"/>
      <c r="C219" s="262"/>
      <c r="D219" s="263"/>
      <c r="E219" s="263"/>
      <c r="F219" s="263"/>
      <c r="G219" s="263"/>
      <c r="H219" s="263"/>
      <c r="I219" s="263"/>
      <c r="J219" s="19"/>
      <c r="K219" s="19"/>
      <c r="L219" s="19"/>
      <c r="M219" s="19"/>
      <c r="N219" s="19"/>
    </row>
    <row r="220" spans="1:14" ht="16.5" x14ac:dyDescent="0.25">
      <c r="A220" s="262"/>
      <c r="B220" s="262"/>
      <c r="C220" s="262"/>
      <c r="D220" s="263"/>
      <c r="E220" s="263"/>
      <c r="F220" s="263"/>
      <c r="G220" s="263"/>
      <c r="H220" s="263"/>
      <c r="I220" s="263"/>
      <c r="J220" s="19"/>
      <c r="K220" s="19"/>
      <c r="L220" s="19"/>
      <c r="M220" s="19"/>
      <c r="N220" s="19"/>
    </row>
    <row r="221" spans="1:14" ht="16.5" x14ac:dyDescent="0.25">
      <c r="A221" s="262"/>
      <c r="B221" s="262"/>
      <c r="C221" s="262"/>
      <c r="D221" s="263"/>
      <c r="E221" s="263"/>
      <c r="F221" s="263"/>
      <c r="G221" s="263"/>
      <c r="H221" s="263"/>
      <c r="I221" s="263"/>
      <c r="J221" s="19"/>
      <c r="K221" s="19"/>
      <c r="L221" s="19"/>
      <c r="M221" s="19"/>
      <c r="N221" s="19"/>
    </row>
    <row r="222" spans="1:14" ht="16.5" x14ac:dyDescent="0.25">
      <c r="A222" s="262"/>
      <c r="B222" s="262"/>
      <c r="C222" s="262"/>
      <c r="D222" s="263"/>
      <c r="E222" s="263"/>
      <c r="F222" s="263"/>
      <c r="G222" s="263"/>
      <c r="H222" s="263"/>
      <c r="I222" s="263"/>
      <c r="J222" s="19"/>
      <c r="K222" s="19"/>
      <c r="L222" s="19"/>
      <c r="M222" s="19"/>
      <c r="N222" s="19"/>
    </row>
    <row r="223" spans="1:14" ht="16.5" x14ac:dyDescent="0.25">
      <c r="A223" s="262"/>
      <c r="B223" s="262"/>
      <c r="C223" s="262"/>
      <c r="D223" s="263"/>
      <c r="E223" s="263"/>
      <c r="F223" s="263"/>
      <c r="G223" s="263"/>
      <c r="H223" s="263"/>
      <c r="I223" s="263"/>
      <c r="J223" s="19"/>
      <c r="K223" s="19"/>
      <c r="L223" s="19"/>
      <c r="M223" s="19"/>
      <c r="N223" s="19"/>
    </row>
    <row r="224" spans="1:14" ht="16.5" x14ac:dyDescent="0.25">
      <c r="A224" s="262"/>
      <c r="B224" s="262"/>
      <c r="C224" s="262"/>
      <c r="D224" s="263"/>
      <c r="E224" s="263"/>
      <c r="F224" s="263"/>
      <c r="G224" s="263"/>
      <c r="H224" s="263"/>
      <c r="I224" s="263"/>
      <c r="J224" s="19"/>
      <c r="K224" s="19"/>
      <c r="L224" s="19"/>
      <c r="M224" s="19"/>
      <c r="N224" s="19"/>
    </row>
    <row r="225" spans="1:14" ht="16.5" x14ac:dyDescent="0.25">
      <c r="A225" s="262"/>
      <c r="B225" s="262"/>
      <c r="C225" s="262"/>
      <c r="D225" s="263"/>
      <c r="E225" s="263"/>
      <c r="F225" s="263"/>
      <c r="G225" s="263"/>
      <c r="H225" s="263"/>
      <c r="I225" s="263"/>
      <c r="J225" s="19"/>
      <c r="K225" s="19"/>
      <c r="L225" s="19"/>
      <c r="M225" s="19"/>
      <c r="N225" s="19"/>
    </row>
    <row r="226" spans="1:14" ht="16.5" x14ac:dyDescent="0.25">
      <c r="A226" s="262"/>
      <c r="B226" s="262"/>
      <c r="C226" s="262"/>
      <c r="D226" s="263"/>
      <c r="E226" s="263"/>
      <c r="F226" s="263"/>
      <c r="G226" s="263"/>
      <c r="H226" s="263"/>
      <c r="I226" s="263"/>
      <c r="J226" s="19"/>
      <c r="K226" s="19"/>
      <c r="L226" s="19"/>
      <c r="M226" s="19"/>
      <c r="N226" s="19"/>
    </row>
    <row r="227" spans="1:14" ht="16.5" x14ac:dyDescent="0.25">
      <c r="A227" s="262"/>
      <c r="B227" s="262"/>
      <c r="C227" s="262"/>
      <c r="D227" s="263"/>
      <c r="E227" s="263"/>
      <c r="F227" s="263"/>
      <c r="G227" s="263"/>
      <c r="H227" s="263"/>
      <c r="I227" s="263"/>
      <c r="J227" s="19"/>
      <c r="K227" s="19"/>
      <c r="L227" s="19"/>
      <c r="M227" s="19"/>
      <c r="N227" s="19"/>
    </row>
    <row r="228" spans="1:14" ht="16.5" x14ac:dyDescent="0.25">
      <c r="A228" s="262"/>
      <c r="B228" s="262"/>
      <c r="C228" s="262"/>
      <c r="D228" s="263"/>
      <c r="E228" s="263"/>
      <c r="F228" s="263"/>
      <c r="G228" s="263"/>
      <c r="H228" s="263"/>
      <c r="I228" s="263"/>
      <c r="J228" s="19"/>
      <c r="K228" s="19"/>
      <c r="L228" s="19"/>
      <c r="M228" s="19"/>
      <c r="N228" s="19"/>
    </row>
    <row r="229" spans="1:14" ht="16.5" x14ac:dyDescent="0.25">
      <c r="A229" s="262"/>
      <c r="B229" s="262"/>
      <c r="C229" s="262"/>
      <c r="D229" s="263"/>
      <c r="E229" s="263"/>
      <c r="F229" s="263"/>
      <c r="G229" s="263"/>
      <c r="H229" s="263"/>
      <c r="I229" s="263"/>
      <c r="J229" s="19"/>
      <c r="K229" s="19"/>
      <c r="L229" s="19"/>
      <c r="M229" s="19"/>
      <c r="N229" s="19"/>
    </row>
    <row r="230" spans="1:14" ht="16.5" x14ac:dyDescent="0.25">
      <c r="A230" s="262"/>
      <c r="B230" s="262"/>
      <c r="C230" s="262"/>
      <c r="D230" s="263"/>
      <c r="E230" s="263"/>
      <c r="F230" s="263"/>
      <c r="G230" s="263"/>
      <c r="H230" s="263"/>
      <c r="I230" s="263"/>
      <c r="J230" s="19"/>
      <c r="K230" s="19"/>
      <c r="L230" s="19"/>
      <c r="M230" s="19"/>
      <c r="N230" s="19"/>
    </row>
    <row r="231" spans="1:14" ht="16.5" x14ac:dyDescent="0.25">
      <c r="A231" s="262"/>
      <c r="B231" s="262"/>
      <c r="C231" s="262"/>
      <c r="D231" s="263"/>
      <c r="E231" s="263"/>
      <c r="F231" s="263"/>
      <c r="G231" s="263"/>
      <c r="H231" s="263"/>
      <c r="I231" s="263"/>
      <c r="J231" s="19"/>
      <c r="K231" s="19"/>
      <c r="L231" s="19"/>
      <c r="M231" s="19"/>
      <c r="N231" s="19"/>
    </row>
    <row r="232" spans="1:14" ht="16.5" x14ac:dyDescent="0.25">
      <c r="A232" s="262"/>
      <c r="B232" s="262"/>
      <c r="C232" s="262"/>
      <c r="D232" s="263"/>
      <c r="E232" s="263"/>
      <c r="F232" s="263"/>
      <c r="G232" s="263"/>
      <c r="H232" s="263"/>
      <c r="I232" s="263"/>
      <c r="J232" s="19"/>
      <c r="K232" s="19"/>
      <c r="L232" s="19"/>
      <c r="M232" s="19"/>
      <c r="N232" s="19"/>
    </row>
    <row r="233" spans="1:14" ht="16.5" x14ac:dyDescent="0.25">
      <c r="A233" s="262"/>
      <c r="B233" s="262"/>
      <c r="C233" s="262"/>
      <c r="D233" s="263"/>
      <c r="E233" s="263"/>
      <c r="F233" s="263"/>
      <c r="G233" s="263"/>
      <c r="H233" s="263"/>
      <c r="I233" s="263"/>
      <c r="J233" s="19"/>
      <c r="K233" s="19"/>
      <c r="L233" s="19"/>
      <c r="M233" s="19"/>
      <c r="N233" s="19"/>
    </row>
    <row r="234" spans="1:14" ht="16.5" x14ac:dyDescent="0.25">
      <c r="A234" s="262"/>
      <c r="B234" s="262"/>
      <c r="C234" s="262"/>
      <c r="D234" s="263"/>
      <c r="E234" s="263"/>
      <c r="F234" s="263"/>
      <c r="G234" s="263"/>
      <c r="H234" s="263"/>
      <c r="I234" s="263"/>
      <c r="J234" s="19"/>
      <c r="K234" s="19"/>
      <c r="L234" s="19"/>
      <c r="M234" s="19"/>
      <c r="N234" s="19"/>
    </row>
    <row r="235" spans="1:14" ht="16.5" x14ac:dyDescent="0.25">
      <c r="A235" s="262"/>
      <c r="B235" s="262"/>
      <c r="C235" s="262"/>
      <c r="D235" s="263"/>
      <c r="E235" s="263"/>
      <c r="F235" s="263"/>
      <c r="G235" s="263"/>
      <c r="H235" s="263"/>
      <c r="I235" s="263"/>
      <c r="J235" s="19"/>
      <c r="K235" s="19"/>
      <c r="L235" s="19"/>
      <c r="M235" s="19"/>
      <c r="N235" s="19"/>
    </row>
    <row r="236" spans="1:14" ht="16.5" x14ac:dyDescent="0.25">
      <c r="A236" s="262"/>
      <c r="B236" s="262"/>
      <c r="C236" s="262"/>
      <c r="D236" s="263"/>
      <c r="E236" s="263"/>
      <c r="F236" s="263"/>
      <c r="G236" s="263"/>
      <c r="H236" s="263"/>
      <c r="I236" s="263"/>
      <c r="J236" s="19"/>
      <c r="K236" s="19"/>
      <c r="L236" s="19"/>
      <c r="M236" s="19"/>
      <c r="N236" s="19"/>
    </row>
    <row r="237" spans="1:14" ht="16.5" x14ac:dyDescent="0.25">
      <c r="A237" s="262"/>
      <c r="B237" s="262"/>
      <c r="C237" s="262"/>
      <c r="D237" s="263"/>
      <c r="E237" s="263"/>
      <c r="F237" s="263"/>
      <c r="G237" s="263"/>
      <c r="H237" s="263"/>
      <c r="I237" s="263"/>
      <c r="J237" s="19"/>
      <c r="K237" s="19"/>
      <c r="L237" s="19"/>
      <c r="M237" s="19"/>
      <c r="N237" s="19"/>
    </row>
    <row r="238" spans="1:14" ht="16.5" x14ac:dyDescent="0.25">
      <c r="A238" s="262"/>
      <c r="B238" s="262"/>
      <c r="C238" s="262"/>
      <c r="D238" s="263"/>
      <c r="E238" s="263"/>
      <c r="F238" s="263"/>
      <c r="G238" s="263"/>
      <c r="H238" s="263"/>
      <c r="I238" s="263"/>
      <c r="J238" s="19"/>
      <c r="K238" s="19"/>
      <c r="L238" s="19"/>
      <c r="M238" s="19"/>
      <c r="N238" s="19"/>
    </row>
    <row r="239" spans="1:14" ht="16.5" x14ac:dyDescent="0.25">
      <c r="A239" s="262"/>
      <c r="B239" s="262"/>
      <c r="C239" s="262"/>
      <c r="D239" s="263"/>
      <c r="E239" s="263"/>
      <c r="F239" s="263"/>
      <c r="G239" s="263"/>
      <c r="H239" s="263"/>
      <c r="I239" s="263"/>
      <c r="J239" s="19"/>
      <c r="K239" s="19"/>
      <c r="L239" s="19"/>
      <c r="M239" s="19"/>
      <c r="N239" s="19"/>
    </row>
    <row r="240" spans="1:14" ht="16.5" x14ac:dyDescent="0.25">
      <c r="A240" s="262"/>
      <c r="B240" s="262"/>
      <c r="C240" s="262"/>
      <c r="D240" s="263"/>
      <c r="E240" s="263"/>
      <c r="F240" s="263"/>
      <c r="G240" s="263"/>
      <c r="H240" s="263"/>
      <c r="I240" s="263"/>
      <c r="J240" s="19"/>
      <c r="K240" s="19"/>
      <c r="L240" s="19"/>
      <c r="M240" s="19"/>
      <c r="N240" s="19"/>
    </row>
    <row r="241" spans="1:14" ht="16.5" x14ac:dyDescent="0.25">
      <c r="A241" s="262"/>
      <c r="B241" s="262"/>
      <c r="C241" s="262"/>
      <c r="D241" s="263"/>
      <c r="E241" s="263"/>
      <c r="F241" s="263"/>
      <c r="G241" s="263"/>
      <c r="H241" s="263"/>
      <c r="I241" s="263"/>
      <c r="J241" s="19"/>
      <c r="K241" s="19"/>
      <c r="L241" s="19"/>
      <c r="M241" s="19"/>
      <c r="N241" s="19"/>
    </row>
    <row r="242" spans="1:14" ht="16.5" x14ac:dyDescent="0.25">
      <c r="A242" s="262"/>
      <c r="B242" s="262"/>
      <c r="C242" s="262"/>
      <c r="D242" s="263"/>
      <c r="E242" s="263"/>
      <c r="F242" s="263"/>
      <c r="G242" s="263"/>
      <c r="H242" s="263"/>
      <c r="I242" s="263"/>
      <c r="J242" s="19"/>
      <c r="K242" s="19"/>
      <c r="L242" s="19"/>
      <c r="M242" s="19"/>
      <c r="N242" s="19"/>
    </row>
    <row r="243" spans="1:14" ht="16.5" x14ac:dyDescent="0.25">
      <c r="A243" s="262"/>
      <c r="B243" s="262"/>
      <c r="C243" s="262"/>
      <c r="D243" s="263"/>
      <c r="E243" s="263"/>
      <c r="F243" s="263"/>
      <c r="G243" s="263"/>
      <c r="H243" s="263"/>
      <c r="I243" s="263"/>
      <c r="J243" s="19"/>
      <c r="K243" s="19"/>
      <c r="L243" s="19"/>
      <c r="M243" s="19"/>
      <c r="N243" s="19"/>
    </row>
    <row r="244" spans="1:14" ht="16.5" x14ac:dyDescent="0.25">
      <c r="A244" s="262"/>
      <c r="B244" s="262"/>
      <c r="C244" s="262"/>
      <c r="D244" s="263"/>
      <c r="E244" s="263"/>
      <c r="F244" s="263"/>
      <c r="G244" s="263"/>
      <c r="H244" s="263"/>
      <c r="I244" s="263"/>
      <c r="J244" s="19"/>
      <c r="K244" s="19"/>
      <c r="L244" s="19"/>
      <c r="M244" s="19"/>
      <c r="N244" s="19"/>
    </row>
    <row r="245" spans="1:14" ht="16.5" x14ac:dyDescent="0.25">
      <c r="A245" s="262"/>
      <c r="B245" s="262"/>
      <c r="C245" s="262"/>
      <c r="D245" s="263"/>
      <c r="E245" s="263"/>
      <c r="F245" s="263"/>
      <c r="G245" s="263"/>
      <c r="H245" s="263"/>
      <c r="I245" s="263"/>
      <c r="J245" s="19"/>
      <c r="K245" s="19"/>
      <c r="L245" s="19"/>
      <c r="M245" s="19"/>
      <c r="N245" s="19"/>
    </row>
    <row r="246" spans="1:14" ht="16.5" x14ac:dyDescent="0.25">
      <c r="A246" s="262"/>
      <c r="B246" s="262"/>
      <c r="C246" s="262"/>
      <c r="D246" s="263"/>
      <c r="E246" s="263"/>
      <c r="F246" s="263"/>
      <c r="G246" s="263"/>
      <c r="H246" s="263"/>
      <c r="I246" s="263"/>
      <c r="J246" s="19"/>
      <c r="K246" s="19"/>
      <c r="L246" s="19"/>
      <c r="M246" s="19"/>
      <c r="N246" s="19"/>
    </row>
    <row r="247" spans="1:14" ht="16.5" x14ac:dyDescent="0.25">
      <c r="A247" s="262"/>
      <c r="B247" s="262"/>
      <c r="C247" s="262"/>
      <c r="D247" s="263"/>
      <c r="E247" s="263"/>
      <c r="F247" s="263"/>
      <c r="G247" s="263"/>
      <c r="H247" s="263"/>
      <c r="I247" s="263"/>
      <c r="J247" s="19"/>
      <c r="K247" s="19"/>
      <c r="L247" s="19"/>
      <c r="M247" s="19"/>
      <c r="N247" s="19"/>
    </row>
    <row r="248" spans="1:14" ht="16.5" x14ac:dyDescent="0.25">
      <c r="A248" s="262"/>
      <c r="B248" s="262"/>
      <c r="C248" s="262"/>
      <c r="D248" s="263"/>
      <c r="E248" s="263"/>
      <c r="F248" s="263"/>
      <c r="G248" s="263"/>
      <c r="H248" s="263"/>
      <c r="I248" s="263"/>
      <c r="J248" s="19"/>
      <c r="K248" s="19"/>
      <c r="L248" s="19"/>
      <c r="M248" s="19"/>
      <c r="N248" s="19"/>
    </row>
    <row r="249" spans="1:14" ht="16.5" x14ac:dyDescent="0.25">
      <c r="A249" s="262"/>
      <c r="B249" s="262"/>
      <c r="C249" s="262"/>
      <c r="D249" s="263"/>
      <c r="E249" s="263"/>
      <c r="F249" s="263"/>
      <c r="G249" s="263"/>
      <c r="H249" s="263"/>
      <c r="I249" s="263"/>
      <c r="J249" s="19"/>
      <c r="K249" s="19"/>
      <c r="L249" s="19"/>
      <c r="M249" s="19"/>
      <c r="N249" s="19"/>
    </row>
    <row r="250" spans="1:14" ht="16.5" x14ac:dyDescent="0.25">
      <c r="A250" s="262"/>
      <c r="B250" s="262"/>
      <c r="C250" s="262"/>
      <c r="D250" s="263"/>
      <c r="E250" s="263"/>
      <c r="F250" s="263"/>
      <c r="G250" s="263"/>
      <c r="H250" s="263"/>
      <c r="I250" s="263"/>
      <c r="J250" s="19"/>
      <c r="K250" s="19"/>
      <c r="L250" s="19"/>
      <c r="M250" s="19"/>
      <c r="N250" s="19"/>
    </row>
    <row r="251" spans="1:14" ht="16.5" x14ac:dyDescent="0.25">
      <c r="A251" s="262"/>
      <c r="B251" s="262"/>
      <c r="C251" s="262"/>
      <c r="D251" s="263"/>
      <c r="E251" s="263"/>
      <c r="F251" s="263"/>
      <c r="G251" s="263"/>
      <c r="H251" s="263"/>
      <c r="I251" s="263"/>
      <c r="J251" s="19"/>
      <c r="K251" s="19"/>
      <c r="L251" s="19"/>
      <c r="M251" s="19"/>
      <c r="N251" s="19"/>
    </row>
    <row r="252" spans="1:14" ht="16.5" x14ac:dyDescent="0.25">
      <c r="A252" s="262"/>
      <c r="B252" s="262"/>
      <c r="C252" s="262"/>
      <c r="D252" s="263"/>
      <c r="E252" s="263"/>
      <c r="F252" s="263"/>
      <c r="G252" s="263"/>
      <c r="H252" s="263"/>
      <c r="I252" s="263"/>
      <c r="J252" s="19"/>
      <c r="K252" s="19"/>
      <c r="L252" s="19"/>
      <c r="M252" s="19"/>
      <c r="N252" s="19"/>
    </row>
    <row r="253" spans="1:14" ht="16.5" x14ac:dyDescent="0.25">
      <c r="A253" s="262"/>
      <c r="B253" s="262"/>
      <c r="C253" s="262"/>
      <c r="D253" s="263"/>
      <c r="E253" s="263"/>
      <c r="F253" s="263"/>
      <c r="G253" s="263"/>
      <c r="H253" s="263"/>
      <c r="I253" s="263"/>
      <c r="J253" s="19"/>
      <c r="K253" s="19"/>
      <c r="L253" s="19"/>
      <c r="M253" s="19"/>
      <c r="N253" s="19"/>
    </row>
    <row r="254" spans="1:14" ht="16.5" x14ac:dyDescent="0.25">
      <c r="A254" s="262"/>
      <c r="B254" s="262"/>
      <c r="C254" s="262"/>
      <c r="D254" s="263"/>
      <c r="E254" s="263"/>
      <c r="F254" s="263"/>
      <c r="G254" s="263"/>
      <c r="H254" s="263"/>
      <c r="I254" s="263"/>
      <c r="J254" s="19"/>
      <c r="K254" s="19"/>
      <c r="L254" s="19"/>
      <c r="M254" s="19"/>
      <c r="N254" s="19"/>
    </row>
    <row r="255" spans="1:14" ht="16.5" x14ac:dyDescent="0.25">
      <c r="A255" s="262"/>
      <c r="B255" s="262"/>
      <c r="C255" s="262"/>
      <c r="D255" s="263"/>
      <c r="E255" s="263"/>
      <c r="F255" s="263"/>
      <c r="G255" s="263"/>
      <c r="H255" s="263"/>
      <c r="I255" s="263"/>
      <c r="J255" s="19"/>
      <c r="K255" s="19"/>
      <c r="L255" s="19"/>
      <c r="M255" s="19"/>
      <c r="N255" s="19"/>
    </row>
    <row r="256" spans="1:14" ht="16.5" x14ac:dyDescent="0.25">
      <c r="A256" s="262"/>
      <c r="B256" s="262"/>
      <c r="C256" s="262"/>
      <c r="D256" s="263"/>
      <c r="E256" s="263"/>
      <c r="F256" s="263"/>
      <c r="G256" s="263"/>
      <c r="H256" s="263"/>
      <c r="I256" s="263"/>
      <c r="J256" s="19"/>
      <c r="K256" s="19"/>
      <c r="L256" s="19"/>
      <c r="M256" s="19"/>
      <c r="N256" s="19"/>
    </row>
    <row r="257" spans="1:14" ht="16.5" x14ac:dyDescent="0.25">
      <c r="A257" s="262"/>
      <c r="B257" s="262"/>
      <c r="C257" s="262"/>
      <c r="D257" s="263"/>
      <c r="E257" s="263"/>
      <c r="F257" s="263"/>
      <c r="G257" s="263"/>
      <c r="H257" s="263"/>
      <c r="I257" s="263"/>
      <c r="J257" s="19"/>
      <c r="K257" s="19"/>
      <c r="L257" s="19"/>
      <c r="M257" s="19"/>
      <c r="N257" s="19"/>
    </row>
    <row r="258" spans="1:14" ht="16.5" x14ac:dyDescent="0.25">
      <c r="A258" s="262"/>
      <c r="B258" s="262"/>
      <c r="C258" s="262"/>
      <c r="D258" s="263"/>
      <c r="E258" s="263"/>
      <c r="F258" s="263"/>
      <c r="G258" s="263"/>
      <c r="H258" s="263"/>
      <c r="I258" s="263"/>
      <c r="J258" s="19"/>
      <c r="K258" s="19"/>
      <c r="L258" s="19"/>
      <c r="M258" s="19"/>
      <c r="N258" s="19"/>
    </row>
    <row r="259" spans="1:14" ht="16.5" x14ac:dyDescent="0.25">
      <c r="A259" s="262"/>
      <c r="B259" s="262"/>
      <c r="C259" s="262"/>
      <c r="D259" s="263"/>
      <c r="E259" s="263"/>
      <c r="F259" s="263"/>
      <c r="G259" s="263"/>
      <c r="H259" s="263"/>
      <c r="I259" s="263"/>
      <c r="J259" s="19"/>
      <c r="K259" s="19"/>
      <c r="L259" s="19"/>
      <c r="M259" s="19"/>
      <c r="N259" s="19"/>
    </row>
    <row r="260" spans="1:14" ht="16.5" x14ac:dyDescent="0.25">
      <c r="A260" s="262"/>
      <c r="B260" s="262"/>
      <c r="C260" s="262"/>
      <c r="D260" s="263"/>
      <c r="E260" s="263"/>
      <c r="F260" s="263"/>
      <c r="G260" s="263"/>
      <c r="H260" s="263"/>
      <c r="I260" s="263"/>
      <c r="J260" s="19"/>
      <c r="K260" s="19"/>
      <c r="L260" s="19"/>
      <c r="M260" s="19"/>
      <c r="N260" s="19"/>
    </row>
    <row r="261" spans="1:14" ht="16.5" x14ac:dyDescent="0.25">
      <c r="A261" s="262"/>
      <c r="B261" s="262"/>
      <c r="C261" s="262"/>
      <c r="D261" s="263"/>
      <c r="E261" s="263"/>
      <c r="F261" s="263"/>
      <c r="G261" s="263"/>
      <c r="H261" s="263"/>
      <c r="I261" s="263"/>
      <c r="J261" s="19"/>
      <c r="K261" s="19"/>
      <c r="L261" s="19"/>
      <c r="M261" s="19"/>
      <c r="N261" s="19"/>
    </row>
    <row r="262" spans="1:14" ht="16.5" x14ac:dyDescent="0.25">
      <c r="A262" s="262"/>
      <c r="B262" s="262"/>
      <c r="C262" s="262"/>
      <c r="D262" s="263"/>
      <c r="E262" s="263"/>
      <c r="F262" s="263"/>
      <c r="G262" s="263"/>
      <c r="H262" s="263"/>
      <c r="I262" s="263"/>
      <c r="J262" s="19"/>
      <c r="K262" s="19"/>
      <c r="L262" s="19"/>
      <c r="M262" s="19"/>
      <c r="N262" s="19"/>
    </row>
    <row r="263" spans="1:14" ht="16.5" x14ac:dyDescent="0.25">
      <c r="A263" s="262"/>
      <c r="B263" s="262"/>
      <c r="C263" s="262"/>
      <c r="D263" s="263"/>
      <c r="E263" s="263"/>
      <c r="F263" s="263"/>
      <c r="G263" s="263"/>
      <c r="H263" s="263"/>
      <c r="I263" s="263"/>
      <c r="J263" s="19"/>
      <c r="K263" s="19"/>
      <c r="L263" s="19"/>
      <c r="M263" s="19"/>
      <c r="N263" s="19"/>
    </row>
    <row r="264" spans="1:14" ht="16.5" x14ac:dyDescent="0.25">
      <c r="A264" s="262"/>
      <c r="B264" s="262"/>
      <c r="C264" s="262"/>
      <c r="D264" s="263"/>
      <c r="E264" s="263"/>
      <c r="F264" s="263"/>
      <c r="G264" s="263"/>
      <c r="H264" s="263"/>
      <c r="I264" s="263"/>
      <c r="J264" s="19"/>
      <c r="K264" s="19"/>
      <c r="L264" s="19"/>
      <c r="M264" s="19"/>
      <c r="N264" s="19"/>
    </row>
    <row r="265" spans="1:14" ht="16.5" x14ac:dyDescent="0.25">
      <c r="A265" s="262"/>
      <c r="B265" s="262"/>
      <c r="C265" s="262"/>
      <c r="D265" s="263"/>
      <c r="E265" s="263"/>
      <c r="F265" s="263"/>
      <c r="G265" s="263"/>
      <c r="H265" s="263"/>
      <c r="I265" s="263"/>
      <c r="J265" s="19"/>
      <c r="K265" s="19"/>
      <c r="L265" s="19"/>
      <c r="M265" s="19"/>
      <c r="N265" s="19"/>
    </row>
    <row r="266" spans="1:14" ht="16.5" x14ac:dyDescent="0.25">
      <c r="A266" s="262"/>
      <c r="B266" s="262"/>
      <c r="C266" s="262"/>
      <c r="D266" s="263"/>
      <c r="E266" s="263"/>
      <c r="F266" s="263"/>
      <c r="G266" s="263"/>
      <c r="H266" s="263"/>
      <c r="I266" s="263"/>
      <c r="J266" s="19"/>
      <c r="K266" s="19"/>
      <c r="L266" s="19"/>
      <c r="M266" s="19"/>
      <c r="N266" s="19"/>
    </row>
    <row r="267" spans="1:14" ht="16.5" x14ac:dyDescent="0.25">
      <c r="A267" s="262"/>
      <c r="B267" s="262"/>
      <c r="C267" s="262"/>
      <c r="D267" s="263"/>
      <c r="E267" s="263"/>
      <c r="F267" s="263"/>
      <c r="G267" s="263"/>
      <c r="H267" s="263"/>
      <c r="I267" s="263"/>
      <c r="J267" s="19"/>
      <c r="K267" s="19"/>
      <c r="L267" s="19"/>
      <c r="M267" s="19"/>
      <c r="N267" s="19"/>
    </row>
    <row r="268" spans="1:14" ht="16.5" x14ac:dyDescent="0.25">
      <c r="A268" s="262"/>
      <c r="B268" s="262"/>
      <c r="C268" s="262"/>
      <c r="D268" s="263"/>
      <c r="E268" s="263"/>
      <c r="F268" s="263"/>
      <c r="G268" s="263"/>
      <c r="H268" s="263"/>
      <c r="I268" s="263"/>
      <c r="J268" s="19"/>
      <c r="K268" s="19"/>
      <c r="L268" s="19"/>
      <c r="M268" s="19"/>
      <c r="N268" s="19"/>
    </row>
    <row r="269" spans="1:14" ht="16.5" x14ac:dyDescent="0.25">
      <c r="A269" s="262"/>
      <c r="B269" s="262"/>
      <c r="C269" s="262"/>
      <c r="D269" s="263"/>
      <c r="E269" s="263"/>
      <c r="F269" s="263"/>
      <c r="G269" s="263"/>
      <c r="H269" s="263"/>
      <c r="I269" s="263"/>
      <c r="J269" s="19"/>
      <c r="K269" s="19"/>
      <c r="L269" s="19"/>
      <c r="M269" s="19"/>
      <c r="N269" s="19"/>
    </row>
    <row r="270" spans="1:14" ht="16.5" x14ac:dyDescent="0.25">
      <c r="A270" s="262"/>
      <c r="B270" s="262"/>
      <c r="C270" s="262"/>
      <c r="D270" s="263"/>
      <c r="E270" s="263"/>
      <c r="F270" s="263"/>
      <c r="G270" s="263"/>
      <c r="H270" s="263"/>
      <c r="I270" s="263"/>
      <c r="J270" s="19"/>
      <c r="K270" s="19"/>
      <c r="L270" s="19"/>
      <c r="M270" s="19"/>
      <c r="N270" s="19"/>
    </row>
    <row r="271" spans="1:14" ht="16.5" x14ac:dyDescent="0.25">
      <c r="A271" s="262"/>
      <c r="B271" s="262"/>
      <c r="C271" s="262"/>
      <c r="D271" s="263"/>
      <c r="E271" s="263"/>
      <c r="F271" s="263"/>
      <c r="G271" s="263"/>
      <c r="H271" s="263"/>
      <c r="I271" s="263"/>
      <c r="J271" s="19"/>
      <c r="K271" s="19"/>
      <c r="L271" s="19"/>
      <c r="M271" s="19"/>
      <c r="N271" s="19"/>
    </row>
    <row r="272" spans="1:14" ht="16.5" x14ac:dyDescent="0.25">
      <c r="A272" s="262"/>
      <c r="B272" s="262"/>
      <c r="C272" s="262"/>
      <c r="D272" s="263"/>
      <c r="E272" s="263"/>
      <c r="F272" s="263"/>
      <c r="G272" s="263"/>
      <c r="H272" s="263"/>
      <c r="I272" s="263"/>
      <c r="J272" s="19"/>
      <c r="K272" s="19"/>
      <c r="L272" s="19"/>
      <c r="M272" s="19"/>
      <c r="N272" s="19"/>
    </row>
    <row r="273" spans="1:14" ht="16.5" x14ac:dyDescent="0.25">
      <c r="A273" s="262"/>
      <c r="B273" s="262"/>
      <c r="C273" s="262"/>
      <c r="D273" s="263"/>
      <c r="E273" s="263"/>
      <c r="F273" s="263"/>
      <c r="G273" s="263"/>
      <c r="H273" s="263"/>
      <c r="I273" s="263"/>
      <c r="J273" s="19"/>
      <c r="K273" s="19"/>
      <c r="L273" s="19"/>
      <c r="M273" s="19"/>
      <c r="N273" s="19"/>
    </row>
    <row r="274" spans="1:14" ht="16.5" x14ac:dyDescent="0.25">
      <c r="A274" s="262"/>
      <c r="B274" s="262"/>
      <c r="C274" s="262"/>
      <c r="D274" s="263"/>
      <c r="E274" s="263"/>
      <c r="F274" s="263"/>
      <c r="G274" s="263"/>
      <c r="H274" s="263"/>
      <c r="I274" s="263"/>
      <c r="J274" s="19"/>
      <c r="K274" s="19"/>
      <c r="L274" s="19"/>
      <c r="M274" s="19"/>
      <c r="N274" s="19"/>
    </row>
    <row r="275" spans="1:14" ht="16.5" x14ac:dyDescent="0.25">
      <c r="A275" s="262"/>
      <c r="B275" s="262"/>
      <c r="C275" s="262"/>
      <c r="D275" s="263"/>
      <c r="E275" s="263"/>
      <c r="F275" s="263"/>
      <c r="G275" s="263"/>
      <c r="H275" s="263"/>
      <c r="I275" s="263"/>
      <c r="J275" s="19"/>
      <c r="K275" s="19"/>
      <c r="L275" s="19"/>
      <c r="M275" s="19"/>
      <c r="N275" s="19"/>
    </row>
    <row r="276" spans="1:14" ht="16.5" x14ac:dyDescent="0.25">
      <c r="A276" s="262"/>
      <c r="B276" s="262"/>
      <c r="C276" s="262"/>
      <c r="D276" s="263"/>
      <c r="E276" s="263"/>
      <c r="F276" s="263"/>
      <c r="G276" s="263"/>
      <c r="H276" s="263"/>
      <c r="I276" s="263"/>
      <c r="J276" s="19"/>
      <c r="K276" s="19"/>
      <c r="L276" s="19"/>
      <c r="M276" s="19"/>
      <c r="N276" s="19"/>
    </row>
    <row r="277" spans="1:14" ht="16.5" x14ac:dyDescent="0.25">
      <c r="A277" s="262"/>
      <c r="B277" s="262"/>
      <c r="C277" s="262"/>
      <c r="D277" s="263"/>
      <c r="E277" s="263"/>
      <c r="F277" s="263"/>
      <c r="G277" s="263"/>
      <c r="H277" s="263"/>
      <c r="I277" s="263"/>
      <c r="J277" s="19"/>
      <c r="K277" s="19"/>
      <c r="L277" s="19"/>
      <c r="M277" s="19"/>
      <c r="N277" s="19"/>
    </row>
    <row r="278" spans="1:14" ht="16.5" x14ac:dyDescent="0.25">
      <c r="A278" s="262"/>
      <c r="B278" s="262"/>
      <c r="C278" s="262"/>
      <c r="D278" s="263"/>
      <c r="E278" s="263"/>
      <c r="F278" s="263"/>
      <c r="G278" s="263"/>
      <c r="H278" s="263"/>
      <c r="I278" s="263"/>
      <c r="J278" s="19"/>
      <c r="K278" s="19"/>
      <c r="L278" s="19"/>
      <c r="M278" s="19"/>
      <c r="N278" s="19"/>
    </row>
    <row r="279" spans="1:14" ht="16.5" x14ac:dyDescent="0.25">
      <c r="A279" s="262"/>
      <c r="B279" s="262"/>
      <c r="C279" s="262"/>
      <c r="D279" s="263"/>
      <c r="E279" s="263"/>
      <c r="F279" s="263"/>
      <c r="G279" s="263"/>
      <c r="H279" s="263"/>
      <c r="I279" s="263"/>
      <c r="J279" s="19"/>
      <c r="K279" s="19"/>
      <c r="L279" s="19"/>
      <c r="M279" s="19"/>
      <c r="N279" s="19"/>
    </row>
    <row r="280" spans="1:14" ht="16.5" x14ac:dyDescent="0.25">
      <c r="A280" s="262"/>
      <c r="B280" s="262"/>
      <c r="C280" s="262"/>
      <c r="D280" s="263"/>
      <c r="E280" s="263"/>
      <c r="F280" s="263"/>
      <c r="G280" s="263"/>
      <c r="H280" s="263"/>
      <c r="I280" s="263"/>
      <c r="J280" s="19"/>
      <c r="K280" s="19"/>
      <c r="L280" s="19"/>
      <c r="M280" s="19"/>
      <c r="N280" s="19"/>
    </row>
    <row r="281" spans="1:14" ht="16.5" x14ac:dyDescent="0.25">
      <c r="A281" s="262"/>
      <c r="B281" s="262"/>
      <c r="C281" s="262"/>
      <c r="D281" s="263"/>
      <c r="E281" s="263"/>
      <c r="F281" s="263"/>
      <c r="G281" s="263"/>
      <c r="H281" s="263"/>
      <c r="I281" s="263"/>
      <c r="J281" s="19"/>
      <c r="K281" s="19"/>
      <c r="L281" s="19"/>
      <c r="M281" s="19"/>
      <c r="N281" s="19"/>
    </row>
    <row r="282" spans="1:14" ht="16.5" x14ac:dyDescent="0.25">
      <c r="A282" s="262"/>
      <c r="B282" s="262"/>
      <c r="C282" s="262"/>
      <c r="D282" s="263"/>
      <c r="E282" s="263"/>
      <c r="F282" s="263"/>
      <c r="G282" s="263"/>
      <c r="H282" s="263"/>
      <c r="I282" s="263"/>
      <c r="J282" s="19"/>
      <c r="K282" s="19"/>
      <c r="L282" s="19"/>
      <c r="M282" s="19"/>
      <c r="N282" s="19"/>
    </row>
    <row r="283" spans="1:14" ht="16.5" x14ac:dyDescent="0.25">
      <c r="A283" s="262"/>
      <c r="B283" s="262"/>
      <c r="C283" s="262"/>
      <c r="D283" s="263"/>
      <c r="E283" s="263"/>
      <c r="F283" s="263"/>
      <c r="G283" s="263"/>
      <c r="H283" s="263"/>
      <c r="I283" s="263"/>
      <c r="J283" s="19"/>
      <c r="K283" s="19"/>
      <c r="L283" s="19"/>
      <c r="M283" s="19"/>
      <c r="N283" s="19"/>
    </row>
    <row r="284" spans="1:14" ht="16.5" x14ac:dyDescent="0.25">
      <c r="A284" s="262"/>
      <c r="B284" s="262"/>
      <c r="C284" s="262"/>
      <c r="D284" s="263"/>
      <c r="E284" s="263"/>
      <c r="F284" s="263"/>
      <c r="G284" s="263"/>
      <c r="H284" s="263"/>
      <c r="I284" s="263"/>
      <c r="J284" s="19"/>
      <c r="K284" s="19"/>
      <c r="L284" s="19"/>
      <c r="M284" s="19"/>
      <c r="N284" s="19"/>
    </row>
    <row r="285" spans="1:14" ht="16.5" x14ac:dyDescent="0.25">
      <c r="A285" s="262"/>
      <c r="B285" s="262"/>
      <c r="C285" s="262"/>
      <c r="D285" s="263"/>
      <c r="E285" s="263"/>
      <c r="F285" s="263"/>
      <c r="G285" s="263"/>
      <c r="H285" s="263"/>
      <c r="I285" s="263"/>
      <c r="J285" s="19"/>
      <c r="K285" s="19"/>
      <c r="L285" s="19"/>
      <c r="M285" s="19"/>
      <c r="N285" s="19"/>
    </row>
    <row r="286" spans="1:14" ht="16.5" x14ac:dyDescent="0.25">
      <c r="A286" s="262"/>
      <c r="B286" s="262"/>
      <c r="C286" s="262"/>
      <c r="D286" s="263"/>
      <c r="E286" s="263"/>
      <c r="F286" s="263"/>
      <c r="G286" s="263"/>
      <c r="H286" s="263"/>
      <c r="I286" s="263"/>
      <c r="J286" s="19"/>
      <c r="K286" s="19"/>
      <c r="L286" s="19"/>
      <c r="M286" s="19"/>
      <c r="N286" s="19"/>
    </row>
    <row r="287" spans="1:14" ht="16.5" x14ac:dyDescent="0.25">
      <c r="A287" s="262"/>
      <c r="B287" s="262"/>
      <c r="C287" s="262"/>
      <c r="D287" s="263"/>
      <c r="E287" s="263"/>
      <c r="F287" s="263"/>
      <c r="G287" s="263"/>
      <c r="H287" s="263"/>
      <c r="I287" s="263"/>
      <c r="J287" s="19"/>
      <c r="K287" s="19"/>
      <c r="L287" s="19"/>
      <c r="M287" s="19"/>
      <c r="N287" s="19"/>
    </row>
    <row r="288" spans="1:14" ht="16.5" x14ac:dyDescent="0.25">
      <c r="A288" s="262"/>
      <c r="B288" s="262"/>
      <c r="C288" s="262"/>
      <c r="D288" s="263"/>
      <c r="E288" s="263"/>
      <c r="F288" s="263"/>
      <c r="G288" s="263"/>
      <c r="H288" s="263"/>
      <c r="I288" s="263"/>
      <c r="J288" s="19"/>
      <c r="K288" s="19"/>
      <c r="L288" s="19"/>
      <c r="M288" s="19"/>
      <c r="N288" s="19"/>
    </row>
    <row r="289" spans="1:14" ht="16.5" x14ac:dyDescent="0.25">
      <c r="A289" s="262"/>
      <c r="B289" s="262"/>
      <c r="C289" s="262"/>
      <c r="D289" s="263"/>
      <c r="E289" s="263"/>
      <c r="F289" s="263"/>
      <c r="G289" s="263"/>
      <c r="H289" s="263"/>
      <c r="I289" s="263"/>
      <c r="J289" s="19"/>
      <c r="K289" s="19"/>
      <c r="L289" s="19"/>
      <c r="M289" s="19"/>
      <c r="N289" s="19"/>
    </row>
    <row r="290" spans="1:14" ht="16.5" x14ac:dyDescent="0.25">
      <c r="A290" s="262"/>
      <c r="B290" s="262"/>
      <c r="C290" s="262"/>
      <c r="D290" s="263"/>
      <c r="E290" s="263"/>
      <c r="F290" s="263"/>
      <c r="G290" s="263"/>
      <c r="H290" s="263"/>
      <c r="I290" s="263"/>
      <c r="J290" s="19"/>
      <c r="K290" s="19"/>
      <c r="L290" s="19"/>
      <c r="M290" s="19"/>
      <c r="N290" s="19"/>
    </row>
    <row r="291" spans="1:14" ht="16.5" x14ac:dyDescent="0.25">
      <c r="A291" s="262"/>
      <c r="B291" s="262"/>
      <c r="C291" s="262"/>
      <c r="D291" s="263"/>
      <c r="E291" s="263"/>
      <c r="F291" s="263"/>
      <c r="G291" s="263"/>
      <c r="H291" s="263"/>
      <c r="I291" s="263"/>
      <c r="J291" s="19"/>
      <c r="K291" s="19"/>
      <c r="L291" s="19"/>
      <c r="M291" s="19"/>
      <c r="N291" s="19"/>
    </row>
    <row r="292" spans="1:14" ht="16.5" x14ac:dyDescent="0.25">
      <c r="A292" s="262"/>
      <c r="B292" s="262"/>
      <c r="C292" s="262"/>
      <c r="D292" s="263"/>
      <c r="E292" s="263"/>
      <c r="F292" s="263"/>
      <c r="G292" s="263"/>
      <c r="H292" s="263"/>
      <c r="I292" s="263"/>
      <c r="J292" s="19"/>
      <c r="K292" s="19"/>
      <c r="L292" s="19"/>
      <c r="M292" s="19"/>
      <c r="N292" s="19"/>
    </row>
    <row r="293" spans="1:14" ht="16.5" x14ac:dyDescent="0.25">
      <c r="A293" s="262"/>
      <c r="B293" s="262"/>
      <c r="C293" s="262"/>
      <c r="D293" s="263"/>
      <c r="E293" s="263"/>
      <c r="F293" s="263"/>
      <c r="G293" s="263"/>
      <c r="H293" s="263"/>
      <c r="I293" s="263"/>
      <c r="J293" s="19"/>
      <c r="K293" s="19"/>
      <c r="L293" s="19"/>
      <c r="M293" s="19"/>
      <c r="N293" s="19"/>
    </row>
    <row r="294" spans="1:14" ht="16.5" x14ac:dyDescent="0.25">
      <c r="A294" s="262"/>
      <c r="B294" s="262"/>
      <c r="C294" s="262"/>
      <c r="D294" s="263"/>
      <c r="E294" s="263"/>
      <c r="F294" s="263"/>
      <c r="G294" s="263"/>
      <c r="H294" s="263"/>
      <c r="I294" s="263"/>
      <c r="J294" s="19"/>
      <c r="K294" s="19"/>
      <c r="L294" s="19"/>
      <c r="M294" s="19"/>
      <c r="N294" s="19"/>
    </row>
    <row r="295" spans="1:14" ht="16.5" x14ac:dyDescent="0.25">
      <c r="A295" s="262"/>
      <c r="B295" s="262"/>
      <c r="C295" s="262"/>
      <c r="D295" s="263"/>
      <c r="E295" s="263"/>
      <c r="F295" s="263"/>
      <c r="G295" s="263"/>
      <c r="H295" s="263"/>
      <c r="I295" s="263"/>
      <c r="J295" s="19"/>
      <c r="K295" s="19"/>
      <c r="L295" s="19"/>
      <c r="M295" s="19"/>
      <c r="N295" s="19"/>
    </row>
    <row r="296" spans="1:14" ht="16.5" x14ac:dyDescent="0.25">
      <c r="A296" s="262"/>
      <c r="B296" s="262"/>
      <c r="C296" s="262"/>
      <c r="D296" s="263"/>
      <c r="E296" s="263"/>
      <c r="F296" s="263"/>
      <c r="G296" s="263"/>
      <c r="H296" s="263"/>
      <c r="I296" s="263"/>
      <c r="J296" s="19"/>
      <c r="K296" s="19"/>
      <c r="L296" s="19"/>
      <c r="M296" s="19"/>
      <c r="N296" s="19"/>
    </row>
    <row r="297" spans="1:14" ht="16.5" x14ac:dyDescent="0.25">
      <c r="A297" s="262"/>
      <c r="B297" s="262"/>
      <c r="C297" s="262"/>
      <c r="D297" s="263"/>
      <c r="E297" s="263"/>
      <c r="F297" s="263"/>
      <c r="G297" s="263"/>
      <c r="H297" s="263"/>
      <c r="I297" s="263"/>
      <c r="J297" s="19"/>
      <c r="K297" s="19"/>
      <c r="L297" s="19"/>
      <c r="M297" s="19"/>
      <c r="N297" s="19"/>
    </row>
    <row r="298" spans="1:14" ht="16.5" x14ac:dyDescent="0.25">
      <c r="A298" s="262"/>
      <c r="B298" s="262"/>
      <c r="C298" s="262"/>
      <c r="D298" s="263"/>
      <c r="E298" s="263"/>
      <c r="F298" s="263"/>
      <c r="G298" s="263"/>
      <c r="H298" s="263"/>
      <c r="I298" s="263"/>
      <c r="J298" s="19"/>
      <c r="K298" s="19"/>
      <c r="L298" s="19"/>
      <c r="M298" s="19"/>
      <c r="N298" s="19"/>
    </row>
    <row r="299" spans="1:14" ht="16.5" x14ac:dyDescent="0.25">
      <c r="A299" s="262"/>
      <c r="B299" s="262"/>
      <c r="C299" s="262"/>
      <c r="D299" s="263"/>
      <c r="E299" s="263"/>
      <c r="F299" s="263"/>
      <c r="G299" s="263"/>
      <c r="H299" s="263"/>
      <c r="I299" s="263"/>
      <c r="J299" s="19"/>
      <c r="K299" s="19"/>
      <c r="L299" s="19"/>
      <c r="M299" s="19"/>
      <c r="N299" s="19"/>
    </row>
    <row r="300" spans="1:14" ht="16.5" x14ac:dyDescent="0.25">
      <c r="A300" s="262"/>
      <c r="B300" s="262"/>
      <c r="C300" s="262"/>
      <c r="D300" s="263"/>
      <c r="E300" s="263"/>
      <c r="F300" s="263"/>
      <c r="G300" s="263"/>
      <c r="H300" s="263"/>
      <c r="I300" s="263"/>
      <c r="J300" s="19"/>
      <c r="K300" s="19"/>
      <c r="L300" s="19"/>
      <c r="M300" s="19"/>
      <c r="N300" s="19"/>
    </row>
    <row r="301" spans="1:14" ht="16.5" x14ac:dyDescent="0.25">
      <c r="A301" s="262"/>
      <c r="B301" s="262"/>
      <c r="C301" s="262"/>
      <c r="D301" s="263"/>
      <c r="E301" s="263"/>
      <c r="F301" s="263"/>
      <c r="G301" s="263"/>
      <c r="H301" s="263"/>
      <c r="I301" s="263"/>
      <c r="J301" s="19"/>
      <c r="K301" s="19"/>
      <c r="L301" s="19"/>
      <c r="M301" s="19"/>
      <c r="N301" s="19"/>
    </row>
    <row r="302" spans="1:14" ht="16.5" x14ac:dyDescent="0.25">
      <c r="A302" s="262"/>
      <c r="B302" s="262"/>
      <c r="C302" s="262"/>
      <c r="D302" s="263"/>
      <c r="E302" s="263"/>
      <c r="F302" s="263"/>
      <c r="G302" s="263"/>
      <c r="H302" s="263"/>
      <c r="I302" s="263"/>
      <c r="J302" s="19"/>
      <c r="K302" s="19"/>
      <c r="L302" s="19"/>
      <c r="M302" s="19"/>
      <c r="N302" s="19"/>
    </row>
    <row r="303" spans="1:14" ht="16.5" x14ac:dyDescent="0.25">
      <c r="A303" s="262"/>
      <c r="B303" s="262"/>
      <c r="C303" s="262"/>
      <c r="D303" s="263"/>
      <c r="E303" s="263"/>
      <c r="F303" s="263"/>
      <c r="G303" s="263"/>
      <c r="H303" s="263"/>
      <c r="I303" s="263"/>
      <c r="J303" s="19"/>
      <c r="K303" s="19"/>
      <c r="L303" s="19"/>
      <c r="M303" s="19"/>
      <c r="N303" s="19"/>
    </row>
    <row r="304" spans="1:14" ht="16.5" x14ac:dyDescent="0.25">
      <c r="A304" s="262"/>
      <c r="B304" s="262"/>
      <c r="C304" s="262"/>
      <c r="D304" s="263"/>
      <c r="E304" s="263"/>
      <c r="F304" s="263"/>
      <c r="G304" s="263"/>
      <c r="H304" s="263"/>
      <c r="I304" s="263"/>
      <c r="J304" s="19"/>
      <c r="K304" s="19"/>
      <c r="L304" s="19"/>
      <c r="M304" s="19"/>
      <c r="N304" s="19"/>
    </row>
    <row r="305" spans="1:14" ht="16.5" x14ac:dyDescent="0.25">
      <c r="A305" s="262"/>
      <c r="B305" s="262"/>
      <c r="C305" s="262"/>
      <c r="D305" s="263"/>
      <c r="E305" s="263"/>
      <c r="F305" s="263"/>
      <c r="G305" s="263"/>
      <c r="H305" s="263"/>
      <c r="I305" s="263"/>
      <c r="J305" s="19"/>
      <c r="K305" s="19"/>
      <c r="L305" s="19"/>
      <c r="M305" s="19"/>
      <c r="N305" s="19"/>
    </row>
    <row r="306" spans="1:14" ht="16.5" x14ac:dyDescent="0.25">
      <c r="A306" s="262"/>
      <c r="B306" s="262"/>
      <c r="C306" s="262"/>
      <c r="D306" s="263"/>
      <c r="E306" s="263"/>
      <c r="F306" s="263"/>
      <c r="G306" s="263"/>
      <c r="H306" s="263"/>
      <c r="I306" s="263"/>
      <c r="J306" s="19"/>
      <c r="K306" s="19"/>
      <c r="L306" s="19"/>
      <c r="M306" s="19"/>
      <c r="N306" s="19"/>
    </row>
    <row r="307" spans="1:14" ht="16.5" x14ac:dyDescent="0.25">
      <c r="A307" s="262"/>
      <c r="B307" s="262"/>
      <c r="C307" s="262"/>
      <c r="D307" s="263"/>
      <c r="E307" s="263"/>
      <c r="F307" s="263"/>
      <c r="G307" s="263"/>
      <c r="H307" s="263"/>
      <c r="I307" s="263"/>
      <c r="J307" s="19"/>
      <c r="K307" s="19"/>
      <c r="L307" s="19"/>
      <c r="M307" s="19"/>
      <c r="N307" s="19"/>
    </row>
    <row r="308" spans="1:14" ht="16.5" x14ac:dyDescent="0.25">
      <c r="A308" s="262"/>
      <c r="B308" s="262"/>
      <c r="C308" s="262"/>
      <c r="D308" s="263"/>
      <c r="E308" s="263"/>
      <c r="F308" s="263"/>
      <c r="G308" s="263"/>
      <c r="H308" s="263"/>
      <c r="I308" s="263"/>
      <c r="J308" s="19"/>
      <c r="K308" s="19"/>
      <c r="L308" s="19"/>
      <c r="M308" s="19"/>
      <c r="N308" s="19"/>
    </row>
    <row r="309" spans="1:14" ht="16.5" x14ac:dyDescent="0.25">
      <c r="A309" s="262"/>
      <c r="B309" s="262"/>
      <c r="C309" s="262"/>
      <c r="D309" s="263"/>
      <c r="E309" s="263"/>
      <c r="F309" s="263"/>
      <c r="G309" s="263"/>
      <c r="H309" s="263"/>
      <c r="I309" s="263"/>
      <c r="J309" s="19"/>
      <c r="K309" s="19"/>
      <c r="L309" s="19"/>
      <c r="M309" s="19"/>
      <c r="N309" s="19"/>
    </row>
    <row r="310" spans="1:14" ht="16.5" x14ac:dyDescent="0.25">
      <c r="A310" s="262"/>
      <c r="B310" s="262"/>
      <c r="C310" s="262"/>
      <c r="D310" s="263"/>
      <c r="E310" s="263"/>
      <c r="F310" s="263"/>
      <c r="G310" s="263"/>
      <c r="H310" s="263"/>
      <c r="I310" s="263"/>
      <c r="J310" s="19"/>
      <c r="K310" s="19"/>
      <c r="L310" s="19"/>
      <c r="M310" s="19"/>
      <c r="N310" s="19"/>
    </row>
    <row r="311" spans="1:14" ht="16.5" x14ac:dyDescent="0.25">
      <c r="A311" s="262"/>
      <c r="B311" s="262"/>
      <c r="C311" s="262"/>
      <c r="D311" s="263"/>
      <c r="E311" s="263"/>
      <c r="F311" s="263"/>
      <c r="G311" s="263"/>
      <c r="H311" s="263"/>
      <c r="I311" s="263"/>
      <c r="J311" s="19"/>
      <c r="K311" s="19"/>
      <c r="L311" s="19"/>
      <c r="M311" s="19"/>
      <c r="N311" s="19"/>
    </row>
    <row r="312" spans="1:14" ht="16.5" x14ac:dyDescent="0.25">
      <c r="A312" s="262"/>
      <c r="B312" s="262"/>
      <c r="C312" s="262"/>
      <c r="D312" s="263"/>
      <c r="E312" s="263"/>
      <c r="F312" s="263"/>
      <c r="G312" s="263"/>
      <c r="H312" s="263"/>
      <c r="I312" s="263"/>
      <c r="J312" s="19"/>
      <c r="K312" s="19"/>
      <c r="L312" s="19"/>
      <c r="M312" s="19"/>
      <c r="N312" s="19"/>
    </row>
    <row r="313" spans="1:14" ht="16.5" x14ac:dyDescent="0.25">
      <c r="A313" s="262"/>
      <c r="B313" s="262"/>
      <c r="C313" s="262"/>
      <c r="D313" s="263"/>
      <c r="E313" s="263"/>
      <c r="F313" s="263"/>
      <c r="G313" s="263"/>
      <c r="H313" s="263"/>
      <c r="I313" s="263"/>
      <c r="J313" s="19"/>
      <c r="K313" s="19"/>
      <c r="L313" s="19"/>
      <c r="M313" s="19"/>
      <c r="N313" s="19"/>
    </row>
    <row r="314" spans="1:14" ht="16.5" x14ac:dyDescent="0.25">
      <c r="A314" s="262"/>
      <c r="B314" s="262"/>
      <c r="C314" s="262"/>
      <c r="D314" s="263"/>
      <c r="E314" s="263"/>
      <c r="F314" s="263"/>
      <c r="G314" s="263"/>
      <c r="H314" s="263"/>
      <c r="I314" s="263"/>
      <c r="J314" s="19"/>
      <c r="K314" s="19"/>
      <c r="L314" s="19"/>
      <c r="M314" s="19"/>
      <c r="N314" s="19"/>
    </row>
    <row r="315" spans="1:14" ht="16.5" x14ac:dyDescent="0.25">
      <c r="A315" s="262"/>
      <c r="B315" s="262"/>
      <c r="C315" s="262"/>
      <c r="D315" s="263"/>
      <c r="E315" s="263"/>
      <c r="F315" s="263"/>
      <c r="G315" s="263"/>
      <c r="H315" s="263"/>
      <c r="I315" s="263"/>
      <c r="J315" s="19"/>
      <c r="K315" s="19"/>
      <c r="L315" s="19"/>
      <c r="M315" s="19"/>
      <c r="N315" s="19"/>
    </row>
    <row r="316" spans="1:14" ht="16.5" x14ac:dyDescent="0.25">
      <c r="A316" s="262"/>
      <c r="B316" s="262"/>
      <c r="C316" s="262"/>
      <c r="D316" s="263"/>
      <c r="E316" s="263"/>
      <c r="F316" s="263"/>
      <c r="G316" s="263"/>
      <c r="H316" s="263"/>
      <c r="I316" s="263"/>
      <c r="J316" s="19"/>
      <c r="K316" s="19"/>
      <c r="L316" s="19"/>
      <c r="M316" s="19"/>
      <c r="N316" s="19"/>
    </row>
    <row r="317" spans="1:14" ht="16.5" x14ac:dyDescent="0.25">
      <c r="A317" s="262"/>
      <c r="B317" s="262"/>
      <c r="C317" s="262"/>
      <c r="D317" s="263"/>
      <c r="E317" s="263"/>
      <c r="F317" s="263"/>
      <c r="G317" s="263"/>
      <c r="H317" s="263"/>
      <c r="I317" s="263"/>
      <c r="J317" s="19"/>
      <c r="K317" s="19"/>
      <c r="L317" s="19"/>
      <c r="M317" s="19"/>
      <c r="N317" s="19"/>
    </row>
    <row r="318" spans="1:14" ht="16.5" x14ac:dyDescent="0.25">
      <c r="A318" s="262"/>
      <c r="B318" s="262"/>
      <c r="C318" s="262"/>
      <c r="D318" s="263"/>
      <c r="E318" s="263"/>
      <c r="F318" s="263"/>
      <c r="G318" s="263"/>
      <c r="H318" s="263"/>
      <c r="I318" s="263"/>
      <c r="J318" s="19"/>
      <c r="K318" s="19"/>
      <c r="L318" s="19"/>
      <c r="M318" s="19"/>
      <c r="N318" s="19"/>
    </row>
    <row r="319" spans="1:14" ht="16.5" x14ac:dyDescent="0.25">
      <c r="A319" s="262"/>
      <c r="B319" s="262"/>
      <c r="C319" s="262"/>
      <c r="D319" s="263"/>
      <c r="E319" s="263"/>
      <c r="F319" s="263"/>
      <c r="G319" s="263"/>
      <c r="H319" s="263"/>
      <c r="I319" s="263"/>
      <c r="J319" s="19"/>
      <c r="K319" s="19"/>
      <c r="L319" s="19"/>
      <c r="M319" s="19"/>
      <c r="N319" s="19"/>
    </row>
    <row r="320" spans="1:14" ht="16.5" x14ac:dyDescent="0.25">
      <c r="A320" s="262"/>
      <c r="B320" s="262"/>
      <c r="C320" s="262"/>
      <c r="D320" s="263"/>
      <c r="E320" s="263"/>
      <c r="F320" s="263"/>
      <c r="G320" s="263"/>
      <c r="H320" s="263"/>
      <c r="I320" s="263"/>
      <c r="J320" s="19"/>
      <c r="K320" s="19"/>
      <c r="L320" s="19"/>
      <c r="M320" s="19"/>
      <c r="N320" s="19"/>
    </row>
    <row r="321" spans="1:14" ht="16.5" x14ac:dyDescent="0.25">
      <c r="A321" s="262"/>
      <c r="B321" s="262"/>
      <c r="C321" s="262"/>
      <c r="D321" s="263"/>
      <c r="E321" s="263"/>
      <c r="F321" s="263"/>
      <c r="G321" s="263"/>
      <c r="H321" s="263"/>
      <c r="I321" s="263"/>
      <c r="J321" s="19"/>
      <c r="K321" s="19"/>
      <c r="L321" s="19"/>
      <c r="M321" s="19"/>
      <c r="N321" s="19"/>
    </row>
    <row r="322" spans="1:14" ht="16.5" x14ac:dyDescent="0.25">
      <c r="A322" s="262"/>
      <c r="B322" s="262"/>
      <c r="C322" s="262"/>
      <c r="D322" s="263"/>
      <c r="E322" s="263"/>
      <c r="F322" s="263"/>
      <c r="G322" s="263"/>
      <c r="H322" s="263"/>
      <c r="I322" s="263"/>
      <c r="J322" s="19"/>
      <c r="K322" s="19"/>
      <c r="L322" s="19"/>
      <c r="M322" s="19"/>
      <c r="N322" s="19"/>
    </row>
    <row r="323" spans="1:14" ht="16.5" x14ac:dyDescent="0.25">
      <c r="A323" s="262"/>
      <c r="B323" s="262"/>
      <c r="C323" s="262"/>
      <c r="D323" s="263"/>
      <c r="E323" s="263"/>
      <c r="F323" s="263"/>
      <c r="G323" s="263"/>
      <c r="H323" s="263"/>
      <c r="I323" s="263"/>
      <c r="J323" s="19"/>
      <c r="K323" s="19"/>
      <c r="L323" s="19"/>
      <c r="M323" s="19"/>
      <c r="N323" s="19"/>
    </row>
    <row r="324" spans="1:14" ht="16.5" x14ac:dyDescent="0.25">
      <c r="A324" s="262"/>
      <c r="B324" s="262"/>
      <c r="C324" s="262"/>
      <c r="D324" s="263"/>
      <c r="E324" s="263"/>
      <c r="F324" s="263"/>
      <c r="G324" s="263"/>
      <c r="H324" s="263"/>
      <c r="I324" s="263"/>
      <c r="J324" s="19"/>
      <c r="K324" s="19"/>
      <c r="L324" s="19"/>
      <c r="M324" s="19"/>
      <c r="N324" s="19"/>
    </row>
    <row r="325" spans="1:14" ht="16.5" x14ac:dyDescent="0.25">
      <c r="A325" s="262"/>
      <c r="B325" s="262"/>
      <c r="C325" s="262"/>
      <c r="D325" s="263"/>
      <c r="E325" s="263"/>
      <c r="F325" s="263"/>
      <c r="G325" s="263"/>
      <c r="H325" s="263"/>
      <c r="I325" s="263"/>
      <c r="J325" s="19"/>
      <c r="K325" s="19"/>
      <c r="L325" s="19"/>
      <c r="M325" s="19"/>
      <c r="N325" s="19"/>
    </row>
    <row r="326" spans="1:14" ht="16.5" x14ac:dyDescent="0.25">
      <c r="A326" s="262"/>
      <c r="B326" s="262"/>
      <c r="C326" s="262"/>
      <c r="D326" s="263"/>
      <c r="E326" s="263"/>
      <c r="F326" s="263"/>
      <c r="G326" s="263"/>
      <c r="H326" s="263"/>
      <c r="I326" s="263"/>
      <c r="J326" s="19"/>
      <c r="K326" s="19"/>
      <c r="L326" s="19"/>
      <c r="M326" s="19"/>
      <c r="N326" s="19"/>
    </row>
    <row r="327" spans="1:14" ht="16.5" x14ac:dyDescent="0.25">
      <c r="A327" s="262"/>
      <c r="B327" s="262"/>
      <c r="C327" s="262"/>
      <c r="D327" s="263"/>
      <c r="E327" s="263"/>
      <c r="F327" s="263"/>
      <c r="G327" s="263"/>
      <c r="H327" s="263"/>
      <c r="I327" s="263"/>
      <c r="J327" s="19"/>
      <c r="K327" s="19"/>
      <c r="L327" s="19"/>
      <c r="M327" s="19"/>
      <c r="N327" s="19"/>
    </row>
    <row r="328" spans="1:14" ht="16.5" x14ac:dyDescent="0.25">
      <c r="A328" s="262"/>
      <c r="B328" s="262"/>
      <c r="C328" s="262"/>
      <c r="D328" s="263"/>
      <c r="E328" s="263"/>
      <c r="F328" s="263"/>
      <c r="G328" s="263"/>
      <c r="H328" s="263"/>
      <c r="I328" s="263"/>
      <c r="J328" s="19"/>
      <c r="K328" s="19"/>
      <c r="L328" s="19"/>
      <c r="M328" s="19"/>
      <c r="N328" s="19"/>
    </row>
    <row r="329" spans="1:14" ht="16.5" x14ac:dyDescent="0.25">
      <c r="A329" s="262"/>
      <c r="B329" s="262"/>
      <c r="C329" s="262"/>
      <c r="D329" s="263"/>
      <c r="E329" s="263"/>
      <c r="F329" s="263"/>
      <c r="G329" s="263"/>
      <c r="H329" s="263"/>
      <c r="I329" s="263"/>
      <c r="J329" s="19"/>
      <c r="K329" s="19"/>
      <c r="L329" s="19"/>
      <c r="M329" s="19"/>
      <c r="N329" s="19"/>
    </row>
    <row r="330" spans="1:14" ht="16.5" x14ac:dyDescent="0.25">
      <c r="A330" s="262"/>
      <c r="B330" s="262"/>
      <c r="C330" s="262"/>
      <c r="D330" s="263"/>
      <c r="E330" s="263"/>
      <c r="F330" s="263"/>
      <c r="G330" s="263"/>
      <c r="H330" s="263"/>
      <c r="I330" s="263"/>
      <c r="J330" s="19"/>
      <c r="K330" s="19"/>
      <c r="L330" s="19"/>
      <c r="M330" s="19"/>
      <c r="N330" s="19"/>
    </row>
    <row r="331" spans="1:14" ht="16.5" x14ac:dyDescent="0.25">
      <c r="A331" s="262"/>
      <c r="B331" s="262"/>
      <c r="C331" s="262"/>
      <c r="D331" s="263"/>
      <c r="E331" s="263"/>
      <c r="F331" s="263"/>
      <c r="G331" s="263"/>
      <c r="H331" s="263"/>
      <c r="I331" s="263"/>
      <c r="J331" s="19"/>
      <c r="K331" s="19"/>
      <c r="L331" s="19"/>
      <c r="M331" s="19"/>
      <c r="N331" s="19"/>
    </row>
    <row r="332" spans="1:14" ht="16.5" x14ac:dyDescent="0.25">
      <c r="A332" s="262"/>
      <c r="B332" s="262"/>
      <c r="C332" s="262"/>
      <c r="D332" s="263"/>
      <c r="E332" s="263"/>
      <c r="F332" s="263"/>
      <c r="G332" s="263"/>
      <c r="H332" s="263"/>
      <c r="I332" s="263"/>
      <c r="J332" s="19"/>
      <c r="K332" s="19"/>
      <c r="L332" s="19"/>
      <c r="M332" s="19"/>
      <c r="N332" s="19"/>
    </row>
    <row r="333" spans="1:14" ht="16.5" x14ac:dyDescent="0.25">
      <c r="A333" s="262"/>
      <c r="B333" s="262"/>
      <c r="C333" s="262"/>
      <c r="D333" s="263"/>
      <c r="E333" s="263"/>
      <c r="F333" s="263"/>
      <c r="G333" s="263"/>
      <c r="H333" s="263"/>
      <c r="I333" s="263"/>
      <c r="J333" s="19"/>
      <c r="K333" s="19"/>
      <c r="L333" s="19"/>
      <c r="M333" s="19"/>
      <c r="N333" s="19"/>
    </row>
    <row r="334" spans="1:14" ht="16.5" x14ac:dyDescent="0.25">
      <c r="A334" s="262"/>
      <c r="B334" s="262"/>
      <c r="C334" s="262"/>
      <c r="D334" s="263"/>
      <c r="E334" s="263"/>
      <c r="F334" s="263"/>
      <c r="G334" s="263"/>
      <c r="H334" s="263"/>
      <c r="I334" s="263"/>
      <c r="J334" s="19"/>
      <c r="K334" s="19"/>
      <c r="L334" s="19"/>
      <c r="M334" s="19"/>
      <c r="N334" s="19"/>
    </row>
    <row r="335" spans="1:14" ht="16.5" x14ac:dyDescent="0.25">
      <c r="A335" s="262"/>
      <c r="B335" s="262"/>
      <c r="C335" s="262"/>
      <c r="D335" s="263"/>
      <c r="E335" s="263"/>
      <c r="F335" s="263"/>
      <c r="G335" s="263"/>
      <c r="H335" s="263"/>
      <c r="I335" s="263"/>
      <c r="J335" s="19"/>
      <c r="K335" s="19"/>
      <c r="L335" s="19"/>
      <c r="M335" s="19"/>
      <c r="N335" s="19"/>
    </row>
    <row r="336" spans="1:14" ht="16.5" x14ac:dyDescent="0.25">
      <c r="A336" s="262"/>
      <c r="B336" s="262"/>
      <c r="C336" s="262"/>
      <c r="D336" s="263"/>
      <c r="E336" s="263"/>
      <c r="F336" s="263"/>
      <c r="G336" s="263"/>
      <c r="H336" s="263"/>
      <c r="I336" s="263"/>
      <c r="J336" s="19"/>
      <c r="K336" s="19"/>
      <c r="L336" s="19"/>
      <c r="M336" s="19"/>
      <c r="N336" s="19"/>
    </row>
    <row r="337" spans="1:14" ht="16.5" x14ac:dyDescent="0.25">
      <c r="A337" s="262"/>
      <c r="B337" s="262"/>
      <c r="C337" s="262"/>
      <c r="D337" s="263"/>
      <c r="E337" s="263"/>
      <c r="F337" s="263"/>
      <c r="G337" s="263"/>
      <c r="H337" s="263"/>
      <c r="I337" s="263"/>
      <c r="J337" s="19"/>
      <c r="K337" s="19"/>
      <c r="L337" s="19"/>
      <c r="M337" s="19"/>
      <c r="N337" s="19"/>
    </row>
    <row r="338" spans="1:14" ht="16.5" x14ac:dyDescent="0.25">
      <c r="A338" s="262"/>
      <c r="B338" s="262"/>
      <c r="C338" s="262"/>
      <c r="D338" s="263"/>
      <c r="E338" s="263"/>
      <c r="F338" s="263"/>
      <c r="G338" s="263"/>
      <c r="H338" s="263"/>
      <c r="I338" s="263"/>
      <c r="J338" s="19"/>
      <c r="K338" s="19"/>
      <c r="L338" s="19"/>
      <c r="M338" s="19"/>
      <c r="N338" s="19"/>
    </row>
    <row r="339" spans="1:14" ht="16.5" x14ac:dyDescent="0.25">
      <c r="A339" s="262"/>
      <c r="B339" s="262"/>
      <c r="C339" s="262"/>
      <c r="D339" s="263"/>
      <c r="E339" s="263"/>
      <c r="F339" s="263"/>
      <c r="G339" s="263"/>
      <c r="H339" s="263"/>
      <c r="I339" s="263"/>
      <c r="J339" s="19"/>
      <c r="K339" s="19"/>
      <c r="L339" s="19"/>
      <c r="M339" s="19"/>
      <c r="N339" s="19"/>
    </row>
    <row r="340" spans="1:14" ht="16.5" x14ac:dyDescent="0.25">
      <c r="A340" s="262"/>
      <c r="B340" s="262"/>
      <c r="C340" s="262"/>
      <c r="D340" s="263"/>
      <c r="E340" s="263"/>
      <c r="F340" s="263"/>
      <c r="G340" s="263"/>
      <c r="H340" s="263"/>
      <c r="I340" s="263"/>
      <c r="J340" s="19"/>
      <c r="K340" s="19"/>
      <c r="L340" s="19"/>
      <c r="M340" s="19"/>
      <c r="N340" s="19"/>
    </row>
    <row r="341" spans="1:14" ht="16.5" x14ac:dyDescent="0.25">
      <c r="A341" s="262"/>
      <c r="B341" s="262"/>
      <c r="C341" s="262"/>
      <c r="D341" s="263"/>
      <c r="E341" s="263"/>
      <c r="F341" s="263"/>
      <c r="G341" s="263"/>
      <c r="H341" s="263"/>
      <c r="I341" s="263"/>
      <c r="J341" s="19"/>
      <c r="K341" s="19"/>
      <c r="L341" s="19"/>
      <c r="M341" s="19"/>
      <c r="N341" s="19"/>
    </row>
    <row r="342" spans="1:14" ht="16.5" x14ac:dyDescent="0.25">
      <c r="A342" s="262"/>
      <c r="B342" s="262"/>
      <c r="C342" s="262"/>
      <c r="D342" s="263"/>
      <c r="E342" s="263"/>
      <c r="F342" s="263"/>
      <c r="G342" s="263"/>
      <c r="H342" s="263"/>
      <c r="I342" s="263"/>
      <c r="J342" s="19"/>
      <c r="K342" s="19"/>
      <c r="L342" s="19"/>
      <c r="M342" s="19"/>
      <c r="N342" s="19"/>
    </row>
    <row r="343" spans="1:14" ht="16.5" x14ac:dyDescent="0.25">
      <c r="A343" s="262"/>
      <c r="B343" s="262"/>
      <c r="C343" s="262"/>
      <c r="D343" s="263"/>
      <c r="E343" s="263"/>
      <c r="F343" s="263"/>
      <c r="G343" s="263"/>
      <c r="H343" s="263"/>
      <c r="I343" s="263"/>
      <c r="J343" s="19"/>
      <c r="K343" s="19"/>
      <c r="L343" s="19"/>
      <c r="M343" s="19"/>
      <c r="N343" s="19"/>
    </row>
    <row r="344" spans="1:14" ht="16.5" x14ac:dyDescent="0.25">
      <c r="A344" s="262"/>
      <c r="B344" s="262"/>
      <c r="C344" s="262"/>
      <c r="D344" s="263"/>
      <c r="E344" s="263"/>
      <c r="F344" s="263"/>
      <c r="G344" s="263"/>
      <c r="H344" s="263"/>
      <c r="I344" s="263"/>
      <c r="J344" s="19"/>
      <c r="K344" s="19"/>
      <c r="L344" s="19"/>
      <c r="M344" s="19"/>
      <c r="N344" s="19"/>
    </row>
    <row r="345" spans="1:14" ht="16.5" x14ac:dyDescent="0.25">
      <c r="A345" s="262"/>
      <c r="B345" s="262"/>
      <c r="C345" s="262"/>
      <c r="D345" s="263"/>
      <c r="E345" s="263"/>
      <c r="F345" s="263"/>
      <c r="G345" s="263"/>
      <c r="H345" s="263"/>
      <c r="I345" s="263"/>
      <c r="J345" s="19"/>
      <c r="K345" s="19"/>
      <c r="L345" s="19"/>
      <c r="M345" s="19"/>
      <c r="N345" s="19"/>
    </row>
    <row r="346" spans="1:14" ht="16.5" x14ac:dyDescent="0.25">
      <c r="A346" s="262"/>
      <c r="B346" s="262"/>
      <c r="C346" s="262"/>
      <c r="D346" s="263"/>
      <c r="E346" s="263"/>
      <c r="F346" s="263"/>
      <c r="G346" s="263"/>
      <c r="H346" s="263"/>
      <c r="I346" s="263"/>
      <c r="J346" s="19"/>
      <c r="K346" s="19"/>
      <c r="L346" s="19"/>
      <c r="M346" s="19"/>
      <c r="N346" s="19"/>
    </row>
    <row r="347" spans="1:14" ht="16.5" x14ac:dyDescent="0.25">
      <c r="A347" s="262"/>
      <c r="B347" s="262"/>
      <c r="C347" s="262"/>
      <c r="D347" s="263"/>
      <c r="E347" s="263"/>
      <c r="F347" s="263"/>
      <c r="G347" s="263"/>
      <c r="H347" s="263"/>
      <c r="I347" s="263"/>
      <c r="J347" s="19"/>
      <c r="K347" s="19"/>
      <c r="L347" s="19"/>
      <c r="M347" s="19"/>
      <c r="N347" s="19"/>
    </row>
    <row r="348" spans="1:14" ht="16.5" x14ac:dyDescent="0.25">
      <c r="A348" s="262"/>
      <c r="B348" s="262"/>
      <c r="C348" s="262"/>
      <c r="D348" s="263"/>
      <c r="E348" s="263"/>
      <c r="F348" s="263"/>
      <c r="G348" s="263"/>
      <c r="H348" s="263"/>
      <c r="I348" s="263"/>
      <c r="J348" s="19"/>
      <c r="K348" s="19"/>
      <c r="L348" s="19"/>
      <c r="M348" s="19"/>
      <c r="N348" s="19"/>
    </row>
    <row r="349" spans="1:14" ht="16.5" x14ac:dyDescent="0.25">
      <c r="A349" s="262"/>
      <c r="B349" s="262"/>
      <c r="C349" s="262"/>
      <c r="D349" s="263"/>
      <c r="E349" s="263"/>
      <c r="F349" s="263"/>
      <c r="G349" s="263"/>
      <c r="H349" s="263"/>
      <c r="I349" s="263"/>
      <c r="J349" s="19"/>
      <c r="K349" s="19"/>
      <c r="L349" s="19"/>
      <c r="M349" s="19"/>
      <c r="N349" s="19"/>
    </row>
    <row r="350" spans="1:14" ht="16.5" x14ac:dyDescent="0.25">
      <c r="A350" s="262"/>
      <c r="B350" s="262"/>
      <c r="C350" s="262"/>
      <c r="D350" s="263"/>
      <c r="E350" s="263"/>
      <c r="F350" s="263"/>
      <c r="G350" s="263"/>
      <c r="H350" s="263"/>
      <c r="I350" s="263"/>
      <c r="J350" s="19"/>
      <c r="K350" s="19"/>
      <c r="L350" s="19"/>
      <c r="M350" s="19"/>
      <c r="N350" s="19"/>
    </row>
    <row r="351" spans="1:14" ht="16.5" x14ac:dyDescent="0.25">
      <c r="A351" s="262"/>
      <c r="B351" s="262"/>
      <c r="C351" s="262"/>
      <c r="D351" s="263"/>
      <c r="E351" s="263"/>
      <c r="F351" s="263"/>
      <c r="G351" s="263"/>
      <c r="H351" s="263"/>
      <c r="I351" s="263"/>
      <c r="J351" s="19"/>
      <c r="K351" s="19"/>
      <c r="L351" s="19"/>
      <c r="M351" s="19"/>
      <c r="N351" s="19"/>
    </row>
    <row r="352" spans="1:14" ht="16.5" x14ac:dyDescent="0.25">
      <c r="A352" s="262"/>
      <c r="B352" s="262"/>
      <c r="C352" s="262"/>
      <c r="D352" s="263"/>
      <c r="E352" s="263"/>
      <c r="F352" s="263"/>
      <c r="G352" s="263"/>
      <c r="H352" s="263"/>
      <c r="I352" s="263"/>
      <c r="J352" s="19"/>
      <c r="K352" s="19"/>
      <c r="L352" s="19"/>
      <c r="M352" s="19"/>
      <c r="N352" s="19"/>
    </row>
    <row r="353" spans="1:14" ht="16.5" x14ac:dyDescent="0.25">
      <c r="A353" s="262"/>
      <c r="B353" s="262"/>
      <c r="C353" s="262"/>
      <c r="D353" s="263"/>
      <c r="E353" s="263"/>
      <c r="F353" s="263"/>
      <c r="G353" s="263"/>
      <c r="H353" s="263"/>
      <c r="I353" s="263"/>
      <c r="J353" s="19"/>
      <c r="K353" s="19"/>
      <c r="L353" s="19"/>
      <c r="M353" s="19"/>
      <c r="N353" s="19"/>
    </row>
    <row r="354" spans="1:14" ht="16.5" x14ac:dyDescent="0.25">
      <c r="A354" s="262"/>
      <c r="B354" s="262"/>
      <c r="C354" s="262"/>
      <c r="D354" s="263"/>
      <c r="E354" s="263"/>
      <c r="F354" s="263"/>
      <c r="G354" s="263"/>
      <c r="H354" s="263"/>
      <c r="I354" s="263"/>
      <c r="J354" s="19"/>
      <c r="K354" s="19"/>
      <c r="L354" s="19"/>
      <c r="M354" s="19"/>
      <c r="N354" s="19"/>
    </row>
    <row r="355" spans="1:14" ht="16.5" x14ac:dyDescent="0.25">
      <c r="A355" s="262"/>
      <c r="B355" s="262"/>
      <c r="C355" s="262"/>
      <c r="D355" s="263"/>
      <c r="E355" s="263"/>
      <c r="F355" s="263"/>
      <c r="G355" s="263"/>
      <c r="H355" s="263"/>
      <c r="I355" s="263"/>
      <c r="J355" s="19"/>
      <c r="K355" s="19"/>
      <c r="L355" s="19"/>
      <c r="M355" s="19"/>
      <c r="N355" s="19"/>
    </row>
    <row r="356" spans="1:14" ht="16.5" x14ac:dyDescent="0.25">
      <c r="A356" s="262"/>
      <c r="B356" s="262"/>
      <c r="C356" s="262"/>
      <c r="D356" s="263"/>
      <c r="E356" s="263"/>
      <c r="F356" s="263"/>
      <c r="G356" s="263"/>
      <c r="H356" s="263"/>
      <c r="I356" s="263"/>
      <c r="J356" s="19"/>
      <c r="K356" s="19"/>
      <c r="L356" s="19"/>
      <c r="M356" s="19"/>
      <c r="N356" s="19"/>
    </row>
    <row r="357" spans="1:14" ht="16.5" x14ac:dyDescent="0.25">
      <c r="A357" s="262"/>
      <c r="B357" s="262"/>
      <c r="C357" s="262"/>
      <c r="D357" s="263"/>
      <c r="E357" s="263"/>
      <c r="F357" s="263"/>
      <c r="G357" s="263"/>
      <c r="H357" s="263"/>
      <c r="I357" s="263"/>
      <c r="J357" s="19"/>
      <c r="K357" s="19"/>
      <c r="L357" s="19"/>
      <c r="M357" s="19"/>
      <c r="N357" s="19"/>
    </row>
    <row r="358" spans="1:14" ht="16.5" x14ac:dyDescent="0.25">
      <c r="A358" s="262"/>
      <c r="B358" s="262"/>
      <c r="C358" s="262"/>
      <c r="D358" s="263"/>
      <c r="E358" s="263"/>
      <c r="F358" s="263"/>
      <c r="G358" s="263"/>
      <c r="H358" s="263"/>
      <c r="I358" s="263"/>
      <c r="J358" s="19"/>
      <c r="K358" s="19"/>
      <c r="L358" s="19"/>
      <c r="M358" s="19"/>
      <c r="N358" s="19"/>
    </row>
    <row r="359" spans="1:14" ht="16.5" x14ac:dyDescent="0.25">
      <c r="A359" s="262"/>
      <c r="B359" s="262"/>
      <c r="C359" s="262"/>
      <c r="D359" s="263"/>
      <c r="E359" s="263"/>
      <c r="F359" s="263"/>
      <c r="G359" s="263"/>
      <c r="H359" s="263"/>
      <c r="I359" s="263"/>
      <c r="J359" s="19"/>
      <c r="K359" s="19"/>
      <c r="L359" s="19"/>
      <c r="M359" s="19"/>
      <c r="N359" s="19"/>
    </row>
    <row r="360" spans="1:14" ht="16.5" x14ac:dyDescent="0.25">
      <c r="A360" s="262"/>
      <c r="B360" s="262"/>
      <c r="C360" s="262"/>
      <c r="D360" s="263"/>
      <c r="E360" s="263"/>
      <c r="F360" s="263"/>
      <c r="G360" s="263"/>
      <c r="H360" s="263"/>
      <c r="I360" s="263"/>
      <c r="J360" s="19"/>
      <c r="K360" s="19"/>
      <c r="L360" s="19"/>
      <c r="M360" s="19"/>
      <c r="N360" s="19"/>
    </row>
    <row r="361" spans="1:14" ht="16.5" x14ac:dyDescent="0.25">
      <c r="A361" s="262"/>
      <c r="B361" s="262"/>
      <c r="C361" s="262"/>
      <c r="D361" s="263"/>
      <c r="E361" s="263"/>
      <c r="F361" s="263"/>
      <c r="G361" s="263"/>
      <c r="H361" s="263"/>
      <c r="I361" s="263"/>
      <c r="J361" s="19"/>
      <c r="K361" s="19"/>
      <c r="L361" s="19"/>
      <c r="M361" s="19"/>
      <c r="N361" s="19"/>
    </row>
    <row r="362" spans="1:14" ht="16.5" x14ac:dyDescent="0.25">
      <c r="A362" s="262"/>
      <c r="B362" s="262"/>
      <c r="C362" s="262"/>
      <c r="D362" s="263"/>
      <c r="E362" s="263"/>
      <c r="F362" s="263"/>
      <c r="G362" s="263"/>
      <c r="H362" s="263"/>
      <c r="I362" s="263"/>
      <c r="J362" s="19"/>
      <c r="K362" s="19"/>
      <c r="L362" s="19"/>
      <c r="M362" s="19"/>
      <c r="N362" s="19"/>
    </row>
    <row r="363" spans="1:14" ht="16.5" x14ac:dyDescent="0.25">
      <c r="A363" s="262"/>
      <c r="B363" s="262"/>
      <c r="C363" s="262"/>
      <c r="D363" s="263"/>
      <c r="E363" s="263"/>
      <c r="F363" s="263"/>
      <c r="G363" s="263"/>
      <c r="H363" s="263"/>
      <c r="I363" s="263"/>
      <c r="J363" s="19"/>
      <c r="K363" s="19"/>
      <c r="L363" s="19"/>
      <c r="M363" s="19"/>
      <c r="N363" s="19"/>
    </row>
    <row r="364" spans="1:14" ht="16.5" x14ac:dyDescent="0.25">
      <c r="A364" s="262"/>
      <c r="B364" s="262"/>
      <c r="C364" s="262"/>
      <c r="D364" s="263"/>
      <c r="E364" s="263"/>
      <c r="F364" s="263"/>
      <c r="G364" s="263"/>
      <c r="H364" s="263"/>
      <c r="I364" s="263"/>
      <c r="J364" s="19"/>
      <c r="K364" s="19"/>
      <c r="L364" s="19"/>
      <c r="M364" s="19"/>
      <c r="N364" s="19"/>
    </row>
    <row r="365" spans="1:14" ht="16.5" x14ac:dyDescent="0.25">
      <c r="A365" s="262"/>
      <c r="B365" s="262"/>
      <c r="C365" s="262"/>
      <c r="D365" s="263"/>
      <c r="E365" s="263"/>
      <c r="F365" s="263"/>
      <c r="G365" s="263"/>
      <c r="H365" s="263"/>
      <c r="I365" s="263"/>
      <c r="J365" s="19"/>
      <c r="K365" s="19"/>
      <c r="L365" s="19"/>
      <c r="M365" s="19"/>
      <c r="N365" s="19"/>
    </row>
    <row r="366" spans="1:14" ht="16.5" x14ac:dyDescent="0.25">
      <c r="A366" s="262"/>
      <c r="B366" s="262"/>
      <c r="C366" s="262"/>
      <c r="D366" s="263"/>
      <c r="E366" s="263"/>
      <c r="F366" s="263"/>
      <c r="G366" s="263"/>
      <c r="H366" s="263"/>
      <c r="I366" s="263"/>
      <c r="J366" s="19"/>
      <c r="K366" s="19"/>
      <c r="L366" s="19"/>
      <c r="M366" s="19"/>
      <c r="N366" s="19"/>
    </row>
    <row r="367" spans="1:14" ht="16.5" x14ac:dyDescent="0.25">
      <c r="A367" s="262"/>
      <c r="B367" s="262"/>
      <c r="C367" s="262"/>
      <c r="D367" s="263"/>
      <c r="E367" s="263"/>
      <c r="F367" s="263"/>
      <c r="G367" s="263"/>
      <c r="H367" s="263"/>
      <c r="I367" s="263"/>
      <c r="J367" s="19"/>
      <c r="K367" s="19"/>
      <c r="L367" s="19"/>
      <c r="M367" s="19"/>
      <c r="N367" s="19"/>
    </row>
    <row r="368" spans="1:14" ht="16.5" x14ac:dyDescent="0.25">
      <c r="A368" s="262"/>
      <c r="B368" s="262"/>
      <c r="C368" s="262"/>
      <c r="D368" s="263"/>
      <c r="E368" s="263"/>
      <c r="F368" s="263"/>
      <c r="G368" s="263"/>
      <c r="H368" s="263"/>
      <c r="I368" s="263"/>
      <c r="J368" s="19"/>
      <c r="K368" s="19"/>
      <c r="L368" s="19"/>
      <c r="M368" s="19"/>
      <c r="N368" s="19"/>
    </row>
    <row r="369" spans="1:14" ht="16.5" x14ac:dyDescent="0.25">
      <c r="A369" s="262"/>
      <c r="B369" s="262"/>
      <c r="C369" s="262"/>
      <c r="D369" s="263"/>
      <c r="E369" s="263"/>
      <c r="F369" s="263"/>
      <c r="G369" s="263"/>
      <c r="H369" s="263"/>
      <c r="I369" s="263"/>
      <c r="J369" s="19"/>
      <c r="K369" s="19"/>
      <c r="L369" s="19"/>
      <c r="M369" s="19"/>
      <c r="N369" s="19"/>
    </row>
    <row r="370" spans="1:14" ht="16.5" x14ac:dyDescent="0.25">
      <c r="A370" s="262"/>
      <c r="B370" s="262"/>
      <c r="C370" s="262"/>
      <c r="D370" s="263"/>
      <c r="E370" s="263"/>
      <c r="F370" s="263"/>
      <c r="G370" s="263"/>
      <c r="H370" s="263"/>
      <c r="I370" s="263"/>
      <c r="J370" s="19"/>
      <c r="K370" s="19"/>
      <c r="L370" s="19"/>
      <c r="M370" s="19"/>
      <c r="N370" s="19"/>
    </row>
    <row r="371" spans="1:14" ht="16.5" x14ac:dyDescent="0.25">
      <c r="A371" s="262"/>
      <c r="B371" s="262"/>
      <c r="C371" s="262"/>
      <c r="D371" s="263"/>
      <c r="E371" s="263"/>
      <c r="F371" s="263"/>
      <c r="G371" s="263"/>
      <c r="H371" s="263"/>
      <c r="I371" s="263"/>
      <c r="J371" s="19"/>
      <c r="K371" s="19"/>
      <c r="L371" s="19"/>
      <c r="M371" s="19"/>
      <c r="N371" s="19"/>
    </row>
    <row r="372" spans="1:14" ht="16.5" x14ac:dyDescent="0.25">
      <c r="A372" s="262"/>
      <c r="B372" s="262"/>
      <c r="C372" s="262"/>
      <c r="D372" s="263"/>
      <c r="E372" s="263"/>
      <c r="F372" s="263"/>
      <c r="G372" s="263"/>
      <c r="H372" s="263"/>
      <c r="I372" s="263"/>
      <c r="J372" s="19"/>
      <c r="K372" s="19"/>
      <c r="L372" s="19"/>
      <c r="M372" s="19"/>
      <c r="N372" s="19"/>
    </row>
    <row r="373" spans="1:14" ht="16.5" x14ac:dyDescent="0.25">
      <c r="A373" s="262"/>
      <c r="B373" s="262"/>
      <c r="C373" s="262"/>
      <c r="D373" s="263"/>
      <c r="E373" s="263"/>
      <c r="F373" s="263"/>
      <c r="G373" s="263"/>
      <c r="H373" s="263"/>
      <c r="I373" s="263"/>
      <c r="J373" s="19"/>
      <c r="K373" s="19"/>
      <c r="L373" s="19"/>
      <c r="M373" s="19"/>
      <c r="N373" s="19"/>
    </row>
    <row r="374" spans="1:14" ht="16.5" x14ac:dyDescent="0.25">
      <c r="A374" s="262"/>
      <c r="B374" s="262"/>
      <c r="C374" s="262"/>
      <c r="D374" s="263"/>
      <c r="E374" s="263"/>
      <c r="F374" s="263"/>
      <c r="G374" s="263"/>
      <c r="H374" s="263"/>
      <c r="I374" s="263"/>
      <c r="J374" s="19"/>
      <c r="K374" s="19"/>
      <c r="L374" s="19"/>
      <c r="M374" s="19"/>
      <c r="N374" s="19"/>
    </row>
    <row r="375" spans="1:14" ht="16.5" x14ac:dyDescent="0.25">
      <c r="A375" s="262"/>
      <c r="B375" s="262"/>
      <c r="C375" s="262"/>
      <c r="D375" s="263"/>
      <c r="E375" s="263"/>
      <c r="F375" s="263"/>
      <c r="G375" s="263"/>
      <c r="H375" s="263"/>
      <c r="I375" s="263"/>
      <c r="J375" s="19"/>
      <c r="K375" s="19"/>
      <c r="L375" s="19"/>
      <c r="M375" s="19"/>
      <c r="N375" s="19"/>
    </row>
    <row r="376" spans="1:14" ht="16.5" x14ac:dyDescent="0.25">
      <c r="A376" s="262"/>
      <c r="B376" s="262"/>
      <c r="C376" s="262"/>
      <c r="D376" s="263"/>
      <c r="E376" s="263"/>
      <c r="F376" s="263"/>
      <c r="G376" s="263"/>
      <c r="H376" s="263"/>
      <c r="I376" s="263"/>
      <c r="J376" s="19"/>
      <c r="K376" s="19"/>
      <c r="L376" s="19"/>
      <c r="M376" s="19"/>
      <c r="N376" s="19"/>
    </row>
    <row r="377" spans="1:14" ht="16.5" x14ac:dyDescent="0.25">
      <c r="A377" s="262"/>
      <c r="B377" s="262"/>
      <c r="C377" s="262"/>
      <c r="D377" s="263"/>
      <c r="E377" s="263"/>
      <c r="F377" s="263"/>
      <c r="G377" s="263"/>
      <c r="H377" s="263"/>
      <c r="I377" s="263"/>
      <c r="J377" s="19"/>
      <c r="K377" s="19"/>
      <c r="L377" s="19"/>
      <c r="M377" s="19"/>
      <c r="N377" s="19"/>
    </row>
    <row r="378" spans="1:14" ht="16.5" x14ac:dyDescent="0.25">
      <c r="A378" s="262"/>
      <c r="B378" s="262"/>
      <c r="C378" s="262"/>
      <c r="D378" s="263"/>
      <c r="E378" s="263"/>
      <c r="F378" s="263"/>
      <c r="G378" s="263"/>
      <c r="H378" s="263"/>
      <c r="I378" s="263"/>
      <c r="J378" s="19"/>
      <c r="K378" s="19"/>
      <c r="L378" s="19"/>
      <c r="M378" s="19"/>
      <c r="N378" s="19"/>
    </row>
    <row r="379" spans="1:14" ht="16.5" x14ac:dyDescent="0.25">
      <c r="A379" s="262"/>
      <c r="B379" s="262"/>
      <c r="C379" s="262"/>
      <c r="D379" s="263"/>
      <c r="E379" s="263"/>
      <c r="F379" s="263"/>
      <c r="G379" s="263"/>
      <c r="H379" s="263"/>
      <c r="I379" s="263"/>
      <c r="J379" s="19"/>
      <c r="K379" s="19"/>
      <c r="L379" s="19"/>
      <c r="M379" s="19"/>
      <c r="N379" s="19"/>
    </row>
    <row r="380" spans="1:14" ht="16.5" x14ac:dyDescent="0.25">
      <c r="A380" s="262"/>
      <c r="B380" s="262"/>
      <c r="C380" s="262"/>
      <c r="D380" s="263"/>
      <c r="E380" s="263"/>
      <c r="F380" s="263"/>
      <c r="G380" s="263"/>
      <c r="H380" s="263"/>
      <c r="I380" s="263"/>
      <c r="J380" s="19"/>
      <c r="K380" s="19"/>
      <c r="L380" s="19"/>
      <c r="M380" s="19"/>
      <c r="N380" s="19"/>
    </row>
    <row r="381" spans="1:14" ht="16.5" x14ac:dyDescent="0.25">
      <c r="A381" s="262"/>
      <c r="B381" s="262"/>
      <c r="C381" s="262"/>
      <c r="D381" s="263"/>
      <c r="E381" s="263"/>
      <c r="F381" s="263"/>
      <c r="G381" s="263"/>
      <c r="H381" s="263"/>
      <c r="I381" s="263"/>
      <c r="J381" s="19"/>
      <c r="K381" s="19"/>
      <c r="L381" s="19"/>
      <c r="M381" s="19"/>
      <c r="N381" s="19"/>
    </row>
    <row r="382" spans="1:14" ht="16.5" x14ac:dyDescent="0.25">
      <c r="A382" s="262"/>
      <c r="B382" s="262"/>
      <c r="C382" s="262"/>
      <c r="D382" s="263"/>
      <c r="E382" s="263"/>
      <c r="F382" s="263"/>
      <c r="G382" s="263"/>
      <c r="H382" s="263"/>
      <c r="I382" s="263"/>
      <c r="J382" s="19"/>
      <c r="K382" s="19"/>
      <c r="L382" s="19"/>
      <c r="M382" s="19"/>
      <c r="N382" s="19"/>
    </row>
    <row r="383" spans="1:14" ht="16.5" x14ac:dyDescent="0.25">
      <c r="A383" s="262"/>
      <c r="B383" s="262"/>
      <c r="C383" s="262"/>
      <c r="D383" s="263"/>
      <c r="E383" s="263"/>
      <c r="F383" s="263"/>
      <c r="G383" s="263"/>
      <c r="H383" s="263"/>
      <c r="I383" s="263"/>
      <c r="J383" s="19"/>
      <c r="K383" s="19"/>
      <c r="L383" s="19"/>
      <c r="M383" s="19"/>
      <c r="N383" s="19"/>
    </row>
    <row r="384" spans="1:14" ht="16.5" x14ac:dyDescent="0.25">
      <c r="A384" s="262"/>
      <c r="B384" s="262"/>
      <c r="C384" s="262"/>
      <c r="D384" s="263"/>
      <c r="E384" s="263"/>
      <c r="F384" s="263"/>
      <c r="G384" s="263"/>
      <c r="H384" s="263"/>
      <c r="I384" s="263"/>
      <c r="J384" s="19"/>
      <c r="K384" s="19"/>
      <c r="L384" s="19"/>
      <c r="M384" s="19"/>
      <c r="N384" s="19"/>
    </row>
    <row r="385" spans="1:14" ht="16.5" x14ac:dyDescent="0.25">
      <c r="A385" s="262"/>
      <c r="B385" s="262"/>
      <c r="C385" s="262"/>
      <c r="D385" s="263"/>
      <c r="E385" s="263"/>
      <c r="F385" s="263"/>
      <c r="G385" s="263"/>
      <c r="H385" s="263"/>
      <c r="I385" s="263"/>
      <c r="J385" s="19"/>
      <c r="K385" s="19"/>
      <c r="L385" s="19"/>
      <c r="M385" s="19"/>
      <c r="N385" s="19"/>
    </row>
    <row r="386" spans="1:14" ht="16.5" x14ac:dyDescent="0.25">
      <c r="A386" s="262"/>
      <c r="B386" s="262"/>
      <c r="C386" s="262"/>
      <c r="D386" s="263"/>
      <c r="E386" s="263"/>
      <c r="F386" s="263"/>
      <c r="G386" s="263"/>
      <c r="H386" s="263"/>
      <c r="I386" s="263"/>
      <c r="J386" s="19"/>
      <c r="K386" s="19"/>
      <c r="L386" s="19"/>
      <c r="M386" s="19"/>
      <c r="N386" s="19"/>
    </row>
    <row r="387" spans="1:14" ht="16.5" x14ac:dyDescent="0.25">
      <c r="A387" s="262"/>
      <c r="B387" s="262"/>
      <c r="C387" s="262"/>
      <c r="D387" s="263"/>
      <c r="E387" s="263"/>
      <c r="F387" s="263"/>
      <c r="G387" s="263"/>
      <c r="H387" s="263"/>
      <c r="I387" s="263"/>
      <c r="J387" s="19"/>
      <c r="K387" s="19"/>
      <c r="L387" s="19"/>
      <c r="M387" s="19"/>
      <c r="N387" s="19"/>
    </row>
    <row r="388" spans="1:14" ht="16.5" x14ac:dyDescent="0.25">
      <c r="A388" s="262"/>
      <c r="B388" s="262"/>
      <c r="C388" s="262"/>
      <c r="D388" s="263"/>
      <c r="E388" s="263"/>
      <c r="F388" s="263"/>
      <c r="G388" s="263"/>
      <c r="H388" s="263"/>
      <c r="I388" s="263"/>
      <c r="J388" s="19"/>
      <c r="K388" s="19"/>
      <c r="L388" s="19"/>
      <c r="M388" s="19"/>
      <c r="N388" s="19"/>
    </row>
    <row r="389" spans="1:14" ht="16.5" x14ac:dyDescent="0.25">
      <c r="A389" s="262"/>
      <c r="B389" s="262"/>
      <c r="C389" s="262"/>
      <c r="D389" s="263"/>
      <c r="E389" s="263"/>
      <c r="F389" s="263"/>
      <c r="G389" s="263"/>
      <c r="H389" s="263"/>
      <c r="I389" s="263"/>
      <c r="J389" s="19"/>
      <c r="K389" s="19"/>
      <c r="L389" s="19"/>
      <c r="M389" s="19"/>
      <c r="N389" s="19"/>
    </row>
    <row r="390" spans="1:14" ht="16.5" x14ac:dyDescent="0.25">
      <c r="A390" s="262"/>
      <c r="B390" s="262"/>
      <c r="C390" s="262"/>
      <c r="D390" s="263"/>
      <c r="E390" s="263"/>
      <c r="F390" s="263"/>
      <c r="G390" s="263"/>
      <c r="H390" s="263"/>
      <c r="I390" s="263"/>
      <c r="J390" s="19"/>
      <c r="K390" s="19"/>
      <c r="L390" s="19"/>
      <c r="M390" s="19"/>
      <c r="N390" s="19"/>
    </row>
    <row r="391" spans="1:14" ht="16.5" x14ac:dyDescent="0.25">
      <c r="A391" s="262"/>
      <c r="B391" s="262"/>
      <c r="C391" s="262"/>
      <c r="D391" s="263"/>
      <c r="E391" s="263"/>
      <c r="F391" s="263"/>
      <c r="G391" s="263"/>
      <c r="H391" s="263"/>
      <c r="I391" s="263"/>
      <c r="J391" s="19"/>
      <c r="K391" s="19"/>
      <c r="L391" s="19"/>
      <c r="M391" s="19"/>
      <c r="N391" s="19"/>
    </row>
    <row r="392" spans="1:14" ht="16.5" x14ac:dyDescent="0.25">
      <c r="A392" s="262"/>
      <c r="B392" s="262"/>
      <c r="C392" s="262"/>
      <c r="D392" s="263"/>
      <c r="E392" s="263"/>
      <c r="F392" s="263"/>
      <c r="G392" s="263"/>
      <c r="H392" s="263"/>
      <c r="I392" s="263"/>
      <c r="J392" s="19"/>
      <c r="K392" s="19"/>
      <c r="L392" s="19"/>
      <c r="M392" s="19"/>
      <c r="N392" s="19"/>
    </row>
    <row r="393" spans="1:14" ht="16.5" x14ac:dyDescent="0.25">
      <c r="A393" s="262"/>
      <c r="B393" s="262"/>
      <c r="C393" s="262"/>
      <c r="D393" s="263"/>
      <c r="E393" s="263"/>
      <c r="F393" s="263"/>
      <c r="G393" s="263"/>
      <c r="H393" s="263"/>
      <c r="I393" s="263"/>
      <c r="J393" s="19"/>
      <c r="K393" s="19"/>
      <c r="L393" s="19"/>
      <c r="M393" s="19"/>
      <c r="N393" s="19"/>
    </row>
    <row r="394" spans="1:14" ht="16.5" x14ac:dyDescent="0.25">
      <c r="A394" s="262"/>
      <c r="B394" s="262"/>
      <c r="C394" s="262"/>
      <c r="D394" s="263"/>
      <c r="E394" s="263"/>
      <c r="F394" s="263"/>
      <c r="G394" s="263"/>
      <c r="H394" s="263"/>
      <c r="I394" s="263"/>
      <c r="J394" s="19"/>
      <c r="K394" s="19"/>
      <c r="L394" s="19"/>
      <c r="M394" s="19"/>
      <c r="N394" s="19"/>
    </row>
    <row r="395" spans="1:14" ht="16.5" x14ac:dyDescent="0.25">
      <c r="A395" s="262"/>
      <c r="B395" s="262"/>
      <c r="C395" s="262"/>
      <c r="D395" s="263"/>
      <c r="E395" s="263"/>
      <c r="F395" s="263"/>
      <c r="G395" s="263"/>
      <c r="H395" s="263"/>
      <c r="I395" s="263"/>
      <c r="J395" s="19"/>
      <c r="K395" s="19"/>
      <c r="L395" s="19"/>
      <c r="M395" s="19"/>
      <c r="N395" s="19"/>
    </row>
    <row r="396" spans="1:14" ht="16.5" x14ac:dyDescent="0.25">
      <c r="A396" s="262"/>
      <c r="B396" s="262"/>
      <c r="C396" s="262"/>
      <c r="D396" s="263"/>
      <c r="E396" s="263"/>
      <c r="F396" s="263"/>
      <c r="G396" s="263"/>
      <c r="H396" s="263"/>
      <c r="I396" s="263"/>
      <c r="J396" s="19"/>
      <c r="K396" s="19"/>
      <c r="L396" s="19"/>
      <c r="M396" s="19"/>
      <c r="N396" s="19"/>
    </row>
    <row r="397" spans="1:14" ht="16.5" x14ac:dyDescent="0.25">
      <c r="A397" s="262"/>
      <c r="B397" s="262"/>
      <c r="C397" s="262"/>
      <c r="D397" s="263"/>
      <c r="E397" s="263"/>
      <c r="F397" s="263"/>
      <c r="G397" s="263"/>
      <c r="H397" s="263"/>
      <c r="I397" s="263"/>
      <c r="J397" s="19"/>
      <c r="K397" s="19"/>
      <c r="L397" s="19"/>
      <c r="M397" s="19"/>
      <c r="N397" s="19"/>
    </row>
    <row r="398" spans="1:14" ht="16.5" x14ac:dyDescent="0.25">
      <c r="A398" s="262"/>
      <c r="B398" s="262"/>
      <c r="C398" s="262"/>
      <c r="D398" s="263"/>
      <c r="E398" s="263"/>
      <c r="F398" s="263"/>
      <c r="G398" s="263"/>
      <c r="H398" s="263"/>
      <c r="I398" s="263"/>
      <c r="J398" s="19"/>
      <c r="K398" s="19"/>
      <c r="L398" s="19"/>
      <c r="M398" s="19"/>
      <c r="N398" s="19"/>
    </row>
    <row r="399" spans="1:14" ht="16.5" x14ac:dyDescent="0.25">
      <c r="A399" s="262"/>
      <c r="B399" s="262"/>
      <c r="C399" s="262"/>
      <c r="D399" s="263"/>
      <c r="E399" s="263"/>
      <c r="F399" s="263"/>
      <c r="G399" s="263"/>
      <c r="H399" s="263"/>
      <c r="I399" s="263"/>
      <c r="J399" s="19"/>
      <c r="K399" s="19"/>
      <c r="L399" s="19"/>
      <c r="M399" s="19"/>
      <c r="N399" s="19"/>
    </row>
    <row r="400" spans="1:14" ht="16.5" x14ac:dyDescent="0.25">
      <c r="A400" s="262"/>
      <c r="B400" s="262"/>
      <c r="C400" s="262"/>
      <c r="D400" s="263"/>
      <c r="E400" s="263"/>
      <c r="F400" s="263"/>
      <c r="G400" s="263"/>
      <c r="H400" s="263"/>
      <c r="I400" s="263"/>
      <c r="J400" s="19"/>
      <c r="K400" s="19"/>
      <c r="L400" s="19"/>
      <c r="M400" s="19"/>
      <c r="N400" s="19"/>
    </row>
    <row r="401" spans="1:14" ht="16.5" x14ac:dyDescent="0.25">
      <c r="A401" s="262"/>
      <c r="B401" s="262"/>
      <c r="C401" s="262"/>
      <c r="D401" s="263"/>
      <c r="E401" s="263"/>
      <c r="F401" s="263"/>
      <c r="G401" s="263"/>
      <c r="H401" s="263"/>
      <c r="I401" s="263"/>
      <c r="J401" s="19"/>
      <c r="K401" s="19"/>
      <c r="L401" s="19"/>
      <c r="M401" s="19"/>
      <c r="N401" s="19"/>
    </row>
    <row r="402" spans="1:14" ht="16.5" x14ac:dyDescent="0.25">
      <c r="A402" s="262"/>
      <c r="B402" s="262"/>
      <c r="C402" s="262"/>
      <c r="D402" s="263"/>
      <c r="E402" s="263"/>
      <c r="F402" s="263"/>
      <c r="G402" s="263"/>
      <c r="H402" s="263"/>
      <c r="I402" s="263"/>
      <c r="J402" s="19"/>
      <c r="K402" s="19"/>
      <c r="L402" s="19"/>
      <c r="M402" s="19"/>
      <c r="N402" s="19"/>
    </row>
    <row r="403" spans="1:14" ht="16.5" x14ac:dyDescent="0.25">
      <c r="A403" s="262"/>
      <c r="B403" s="262"/>
      <c r="C403" s="262"/>
      <c r="D403" s="263"/>
      <c r="E403" s="263"/>
      <c r="F403" s="263"/>
      <c r="G403" s="263"/>
      <c r="H403" s="263"/>
      <c r="I403" s="263"/>
      <c r="J403" s="19"/>
      <c r="K403" s="19"/>
      <c r="L403" s="19"/>
      <c r="M403" s="19"/>
      <c r="N403" s="19"/>
    </row>
    <row r="404" spans="1:14" ht="16.5" x14ac:dyDescent="0.25">
      <c r="A404" s="262"/>
      <c r="B404" s="262"/>
      <c r="C404" s="262"/>
      <c r="D404" s="263"/>
      <c r="E404" s="263"/>
      <c r="F404" s="263"/>
      <c r="G404" s="263"/>
      <c r="H404" s="263"/>
      <c r="I404" s="263"/>
      <c r="J404" s="19"/>
      <c r="K404" s="19"/>
      <c r="L404" s="19"/>
      <c r="M404" s="19"/>
      <c r="N404" s="19"/>
    </row>
    <row r="405" spans="1:14" ht="16.5" x14ac:dyDescent="0.25">
      <c r="A405" s="262"/>
      <c r="B405" s="262"/>
      <c r="C405" s="262"/>
      <c r="D405" s="263"/>
      <c r="E405" s="263"/>
      <c r="F405" s="263"/>
      <c r="G405" s="263"/>
      <c r="H405" s="263"/>
      <c r="I405" s="263"/>
      <c r="J405" s="19"/>
      <c r="K405" s="19"/>
      <c r="L405" s="19"/>
      <c r="M405" s="19"/>
      <c r="N405" s="19"/>
    </row>
    <row r="406" spans="1:14" ht="16.5" x14ac:dyDescent="0.25">
      <c r="A406" s="262"/>
      <c r="B406" s="262"/>
      <c r="C406" s="262"/>
      <c r="D406" s="263"/>
      <c r="E406" s="263"/>
      <c r="F406" s="263"/>
      <c r="G406" s="263"/>
      <c r="H406" s="263"/>
      <c r="I406" s="263"/>
      <c r="J406" s="19"/>
      <c r="K406" s="19"/>
      <c r="L406" s="19"/>
      <c r="M406" s="19"/>
      <c r="N406" s="19"/>
    </row>
    <row r="407" spans="1:14" ht="16.5" x14ac:dyDescent="0.25">
      <c r="A407" s="262"/>
      <c r="B407" s="262"/>
      <c r="C407" s="262"/>
      <c r="D407" s="263"/>
      <c r="E407" s="263"/>
      <c r="F407" s="263"/>
      <c r="G407" s="263"/>
      <c r="H407" s="263"/>
      <c r="I407" s="263"/>
      <c r="J407" s="19"/>
      <c r="K407" s="19"/>
      <c r="L407" s="19"/>
      <c r="M407" s="19"/>
      <c r="N407" s="19"/>
    </row>
    <row r="408" spans="1:14" ht="16.5" x14ac:dyDescent="0.25">
      <c r="A408" s="262"/>
      <c r="B408" s="262"/>
      <c r="C408" s="262"/>
      <c r="D408" s="263"/>
      <c r="E408" s="263"/>
      <c r="F408" s="263"/>
      <c r="G408" s="263"/>
      <c r="H408" s="263"/>
      <c r="I408" s="263"/>
      <c r="J408" s="19"/>
      <c r="K408" s="19"/>
      <c r="L408" s="19"/>
      <c r="M408" s="19"/>
      <c r="N408" s="19"/>
    </row>
    <row r="409" spans="1:14" ht="16.5" x14ac:dyDescent="0.25">
      <c r="A409" s="262"/>
      <c r="B409" s="262"/>
      <c r="C409" s="262"/>
      <c r="D409" s="263"/>
      <c r="E409" s="263"/>
      <c r="F409" s="263"/>
      <c r="G409" s="263"/>
      <c r="H409" s="263"/>
      <c r="I409" s="263"/>
      <c r="J409" s="19"/>
      <c r="K409" s="19"/>
      <c r="L409" s="19"/>
      <c r="M409" s="19"/>
      <c r="N409" s="19"/>
    </row>
    <row r="410" spans="1:14" ht="16.5" x14ac:dyDescent="0.25">
      <c r="A410" s="262"/>
      <c r="B410" s="262"/>
      <c r="C410" s="262"/>
      <c r="D410" s="263"/>
      <c r="E410" s="263"/>
      <c r="F410" s="263"/>
      <c r="G410" s="263"/>
      <c r="H410" s="263"/>
      <c r="I410" s="263"/>
      <c r="J410" s="19"/>
      <c r="K410" s="19"/>
      <c r="L410" s="19"/>
      <c r="M410" s="19"/>
      <c r="N410" s="19"/>
    </row>
    <row r="411" spans="1:14" ht="16.5" x14ac:dyDescent="0.25">
      <c r="A411" s="262"/>
      <c r="B411" s="262"/>
      <c r="C411" s="262"/>
      <c r="D411" s="263"/>
      <c r="E411" s="263"/>
      <c r="F411" s="263"/>
      <c r="G411" s="263"/>
      <c r="H411" s="263"/>
      <c r="I411" s="263"/>
      <c r="J411" s="19"/>
      <c r="K411" s="19"/>
      <c r="L411" s="19"/>
      <c r="M411" s="19"/>
      <c r="N411" s="19"/>
    </row>
    <row r="412" spans="1:14" ht="16.5" x14ac:dyDescent="0.25">
      <c r="A412" s="262"/>
      <c r="B412" s="262"/>
      <c r="C412" s="262"/>
      <c r="D412" s="263"/>
      <c r="E412" s="263"/>
      <c r="F412" s="263"/>
      <c r="G412" s="263"/>
      <c r="H412" s="263"/>
      <c r="I412" s="263"/>
      <c r="J412" s="19"/>
      <c r="K412" s="19"/>
      <c r="L412" s="19"/>
      <c r="M412" s="19"/>
      <c r="N412" s="19"/>
    </row>
    <row r="413" spans="1:14" ht="16.5" x14ac:dyDescent="0.25">
      <c r="A413" s="262"/>
      <c r="B413" s="262"/>
      <c r="C413" s="262"/>
      <c r="D413" s="263"/>
      <c r="E413" s="263"/>
      <c r="F413" s="263"/>
      <c r="G413" s="263"/>
      <c r="H413" s="263"/>
      <c r="I413" s="263"/>
      <c r="J413" s="19"/>
      <c r="K413" s="19"/>
      <c r="L413" s="19"/>
      <c r="M413" s="19"/>
      <c r="N413" s="19"/>
    </row>
    <row r="414" spans="1:14" ht="16.5" x14ac:dyDescent="0.25">
      <c r="A414" s="262"/>
      <c r="B414" s="262"/>
      <c r="C414" s="262"/>
      <c r="D414" s="263"/>
      <c r="E414" s="263"/>
      <c r="F414" s="263"/>
      <c r="G414" s="263"/>
      <c r="H414" s="263"/>
      <c r="I414" s="263"/>
      <c r="J414" s="19"/>
      <c r="K414" s="19"/>
      <c r="L414" s="19"/>
      <c r="M414" s="19"/>
      <c r="N414" s="19"/>
    </row>
    <row r="415" spans="1:14" ht="16.5" x14ac:dyDescent="0.25">
      <c r="A415" s="262"/>
      <c r="B415" s="262"/>
      <c r="C415" s="262"/>
      <c r="D415" s="263"/>
      <c r="E415" s="263"/>
      <c r="F415" s="263"/>
      <c r="G415" s="263"/>
      <c r="H415" s="263"/>
      <c r="I415" s="263"/>
      <c r="J415" s="19"/>
      <c r="K415" s="19"/>
      <c r="L415" s="19"/>
      <c r="M415" s="19"/>
      <c r="N415" s="19"/>
    </row>
    <row r="416" spans="1:14" ht="16.5" x14ac:dyDescent="0.25">
      <c r="A416" s="262"/>
      <c r="B416" s="262"/>
      <c r="C416" s="262"/>
      <c r="D416" s="263"/>
      <c r="E416" s="263"/>
      <c r="F416" s="263"/>
      <c r="G416" s="263"/>
      <c r="H416" s="263"/>
      <c r="I416" s="263"/>
      <c r="J416" s="19"/>
      <c r="K416" s="19"/>
      <c r="L416" s="19"/>
      <c r="M416" s="19"/>
      <c r="N416" s="19"/>
    </row>
    <row r="417" spans="1:14" ht="16.5" x14ac:dyDescent="0.25">
      <c r="A417" s="262"/>
      <c r="B417" s="262"/>
      <c r="C417" s="262"/>
      <c r="D417" s="263"/>
      <c r="E417" s="263"/>
      <c r="F417" s="263"/>
      <c r="G417" s="263"/>
      <c r="H417" s="263"/>
      <c r="I417" s="263"/>
      <c r="J417" s="19"/>
      <c r="K417" s="19"/>
      <c r="L417" s="19"/>
      <c r="M417" s="19"/>
      <c r="N417" s="19"/>
    </row>
    <row r="418" spans="1:14" ht="16.5" x14ac:dyDescent="0.25">
      <c r="A418" s="262"/>
      <c r="B418" s="262"/>
      <c r="C418" s="262"/>
      <c r="D418" s="263"/>
      <c r="E418" s="263"/>
      <c r="F418" s="263"/>
      <c r="G418" s="263"/>
      <c r="H418" s="263"/>
      <c r="I418" s="263"/>
      <c r="J418" s="19"/>
      <c r="K418" s="19"/>
      <c r="L418" s="19"/>
      <c r="M418" s="19"/>
      <c r="N418" s="19"/>
    </row>
    <row r="419" spans="1:14" ht="16.5" x14ac:dyDescent="0.25">
      <c r="A419" s="262"/>
      <c r="B419" s="262"/>
      <c r="C419" s="262"/>
      <c r="D419" s="263"/>
      <c r="E419" s="263"/>
      <c r="F419" s="263"/>
      <c r="G419" s="263"/>
      <c r="H419" s="263"/>
      <c r="I419" s="263"/>
      <c r="J419" s="19"/>
      <c r="K419" s="19"/>
      <c r="L419" s="19"/>
      <c r="M419" s="19"/>
      <c r="N419" s="19"/>
    </row>
    <row r="420" spans="1:14" ht="16.5" x14ac:dyDescent="0.25">
      <c r="A420" s="262"/>
      <c r="B420" s="262"/>
      <c r="C420" s="262"/>
      <c r="D420" s="263"/>
      <c r="E420" s="263"/>
      <c r="F420" s="263"/>
      <c r="G420" s="263"/>
      <c r="H420" s="263"/>
      <c r="I420" s="263"/>
      <c r="J420" s="19"/>
      <c r="K420" s="19"/>
      <c r="L420" s="19"/>
      <c r="M420" s="19"/>
      <c r="N420" s="19"/>
    </row>
    <row r="421" spans="1:14" ht="16.5" x14ac:dyDescent="0.25">
      <c r="A421" s="262"/>
      <c r="B421" s="262"/>
      <c r="C421" s="262"/>
      <c r="D421" s="263"/>
      <c r="E421" s="263"/>
      <c r="F421" s="263"/>
      <c r="G421" s="263"/>
      <c r="H421" s="263"/>
      <c r="I421" s="263"/>
      <c r="J421" s="19"/>
      <c r="K421" s="19"/>
      <c r="L421" s="19"/>
      <c r="M421" s="19"/>
      <c r="N421" s="19"/>
    </row>
    <row r="422" spans="1:14" ht="16.5" x14ac:dyDescent="0.25">
      <c r="A422" s="262"/>
      <c r="B422" s="262"/>
      <c r="C422" s="262"/>
      <c r="D422" s="263"/>
      <c r="E422" s="263"/>
      <c r="F422" s="263"/>
      <c r="G422" s="263"/>
      <c r="H422" s="263"/>
      <c r="I422" s="263"/>
      <c r="J422" s="19"/>
      <c r="K422" s="19"/>
      <c r="L422" s="19"/>
      <c r="M422" s="19"/>
      <c r="N422" s="19"/>
    </row>
    <row r="423" spans="1:14" ht="16.5" x14ac:dyDescent="0.25">
      <c r="A423" s="262"/>
      <c r="B423" s="262"/>
      <c r="C423" s="262"/>
      <c r="D423" s="263"/>
      <c r="E423" s="263"/>
      <c r="F423" s="263"/>
      <c r="G423" s="263"/>
      <c r="H423" s="263"/>
      <c r="I423" s="263"/>
      <c r="J423" s="19"/>
      <c r="K423" s="19"/>
      <c r="L423" s="19"/>
      <c r="M423" s="19"/>
      <c r="N423" s="19"/>
    </row>
    <row r="424" spans="1:14" ht="16.5" x14ac:dyDescent="0.25">
      <c r="A424" s="262"/>
      <c r="B424" s="262"/>
      <c r="C424" s="262"/>
      <c r="D424" s="263"/>
      <c r="E424" s="263"/>
      <c r="F424" s="263"/>
      <c r="G424" s="263"/>
      <c r="H424" s="263"/>
      <c r="I424" s="263"/>
      <c r="J424" s="19"/>
      <c r="K424" s="19"/>
      <c r="L424" s="19"/>
      <c r="M424" s="19"/>
      <c r="N424" s="19"/>
    </row>
    <row r="425" spans="1:14" ht="16.5" x14ac:dyDescent="0.25">
      <c r="A425" s="262"/>
      <c r="B425" s="262"/>
      <c r="C425" s="262"/>
      <c r="D425" s="263"/>
      <c r="E425" s="263"/>
      <c r="F425" s="263"/>
      <c r="G425" s="263"/>
      <c r="H425" s="263"/>
      <c r="I425" s="263"/>
      <c r="J425" s="19"/>
      <c r="K425" s="19"/>
      <c r="L425" s="19"/>
      <c r="M425" s="19"/>
      <c r="N425" s="19"/>
    </row>
    <row r="426" spans="1:14" ht="16.5" x14ac:dyDescent="0.25">
      <c r="A426" s="262"/>
      <c r="B426" s="262"/>
      <c r="C426" s="262"/>
      <c r="D426" s="263"/>
      <c r="E426" s="263"/>
      <c r="F426" s="263"/>
      <c r="G426" s="263"/>
      <c r="H426" s="263"/>
      <c r="I426" s="263"/>
      <c r="J426" s="19"/>
      <c r="K426" s="19"/>
      <c r="L426" s="19"/>
      <c r="M426" s="19"/>
      <c r="N426" s="19"/>
    </row>
    <row r="427" spans="1:14" ht="16.5" x14ac:dyDescent="0.25">
      <c r="A427" s="262"/>
      <c r="B427" s="262"/>
      <c r="C427" s="262"/>
      <c r="D427" s="263"/>
      <c r="E427" s="263"/>
      <c r="F427" s="263"/>
      <c r="G427" s="263"/>
      <c r="H427" s="263"/>
      <c r="I427" s="263"/>
      <c r="J427" s="19"/>
      <c r="K427" s="19"/>
      <c r="L427" s="19"/>
      <c r="M427" s="19"/>
      <c r="N427" s="19"/>
    </row>
    <row r="428" spans="1:14" ht="16.5" x14ac:dyDescent="0.25">
      <c r="A428" s="262"/>
      <c r="B428" s="262"/>
      <c r="C428" s="262"/>
      <c r="D428" s="263"/>
      <c r="E428" s="263"/>
      <c r="F428" s="263"/>
      <c r="G428" s="263"/>
      <c r="H428" s="263"/>
      <c r="I428" s="263"/>
      <c r="J428" s="19"/>
      <c r="K428" s="19"/>
      <c r="L428" s="19"/>
      <c r="M428" s="19"/>
      <c r="N428" s="19"/>
    </row>
    <row r="429" spans="1:14" ht="16.5" x14ac:dyDescent="0.25">
      <c r="A429" s="262"/>
      <c r="B429" s="262"/>
      <c r="C429" s="262"/>
      <c r="D429" s="263"/>
      <c r="E429" s="263"/>
      <c r="F429" s="263"/>
      <c r="G429" s="263"/>
      <c r="H429" s="263"/>
      <c r="I429" s="263"/>
      <c r="J429" s="19"/>
      <c r="K429" s="19"/>
      <c r="L429" s="19"/>
      <c r="M429" s="19"/>
      <c r="N429" s="19"/>
    </row>
    <row r="430" spans="1:14" ht="16.5" x14ac:dyDescent="0.25">
      <c r="A430" s="262"/>
      <c r="B430" s="262"/>
      <c r="C430" s="262"/>
      <c r="D430" s="263"/>
      <c r="E430" s="263"/>
      <c r="F430" s="263"/>
      <c r="G430" s="263"/>
      <c r="H430" s="263"/>
      <c r="I430" s="263"/>
      <c r="J430" s="19"/>
      <c r="K430" s="19"/>
      <c r="L430" s="19"/>
      <c r="M430" s="19"/>
      <c r="N430" s="19"/>
    </row>
    <row r="431" spans="1:14" ht="16.5" x14ac:dyDescent="0.25">
      <c r="A431" s="262"/>
      <c r="B431" s="262"/>
      <c r="C431" s="262"/>
      <c r="D431" s="263"/>
      <c r="E431" s="263"/>
      <c r="F431" s="263"/>
      <c r="G431" s="263"/>
      <c r="H431" s="263"/>
      <c r="I431" s="263"/>
      <c r="J431" s="19"/>
      <c r="K431" s="19"/>
      <c r="L431" s="19"/>
      <c r="M431" s="19"/>
      <c r="N431" s="19"/>
    </row>
    <row r="432" spans="1:14" ht="16.5" x14ac:dyDescent="0.25">
      <c r="A432" s="262"/>
      <c r="B432" s="262"/>
      <c r="C432" s="262"/>
      <c r="D432" s="263"/>
      <c r="E432" s="263"/>
      <c r="F432" s="263"/>
      <c r="G432" s="263"/>
      <c r="H432" s="263"/>
      <c r="I432" s="263"/>
      <c r="J432" s="19"/>
      <c r="K432" s="19"/>
      <c r="L432" s="19"/>
      <c r="M432" s="19"/>
      <c r="N432" s="19"/>
    </row>
    <row r="433" spans="1:14" ht="16.5" x14ac:dyDescent="0.25">
      <c r="A433" s="262"/>
      <c r="B433" s="262"/>
      <c r="C433" s="262"/>
      <c r="D433" s="263"/>
      <c r="E433" s="263"/>
      <c r="F433" s="263"/>
      <c r="G433" s="263"/>
      <c r="H433" s="263"/>
      <c r="I433" s="263"/>
      <c r="J433" s="19"/>
      <c r="K433" s="19"/>
      <c r="L433" s="19"/>
      <c r="M433" s="19"/>
      <c r="N433" s="19"/>
    </row>
    <row r="434" spans="1:14" ht="16.5" x14ac:dyDescent="0.25">
      <c r="A434" s="262"/>
      <c r="B434" s="262"/>
      <c r="C434" s="262"/>
      <c r="D434" s="263"/>
      <c r="E434" s="263"/>
      <c r="F434" s="263"/>
      <c r="G434" s="263"/>
      <c r="H434" s="263"/>
      <c r="I434" s="263"/>
      <c r="J434" s="19"/>
      <c r="K434" s="19"/>
      <c r="L434" s="19"/>
      <c r="M434" s="19"/>
      <c r="N434" s="19"/>
    </row>
    <row r="435" spans="1:14" ht="16.5" x14ac:dyDescent="0.25">
      <c r="A435" s="262"/>
      <c r="B435" s="262"/>
      <c r="C435" s="262"/>
      <c r="D435" s="263"/>
      <c r="E435" s="263"/>
      <c r="F435" s="263"/>
      <c r="G435" s="263"/>
      <c r="H435" s="263"/>
      <c r="I435" s="263"/>
      <c r="J435" s="19"/>
      <c r="K435" s="19"/>
      <c r="L435" s="19"/>
      <c r="M435" s="19"/>
      <c r="N435" s="19"/>
    </row>
    <row r="436" spans="1:14" ht="16.5" x14ac:dyDescent="0.25">
      <c r="A436" s="262"/>
      <c r="B436" s="262"/>
      <c r="C436" s="262"/>
      <c r="D436" s="263"/>
      <c r="E436" s="263"/>
      <c r="F436" s="263"/>
      <c r="G436" s="263"/>
      <c r="H436" s="263"/>
      <c r="I436" s="263"/>
      <c r="J436" s="19"/>
      <c r="K436" s="19"/>
      <c r="L436" s="19"/>
      <c r="M436" s="19"/>
      <c r="N436" s="19"/>
    </row>
    <row r="437" spans="1:14" ht="16.5" x14ac:dyDescent="0.25">
      <c r="A437" s="262"/>
      <c r="B437" s="262"/>
      <c r="C437" s="262"/>
      <c r="D437" s="263"/>
      <c r="E437" s="263"/>
      <c r="F437" s="263"/>
      <c r="G437" s="263"/>
      <c r="H437" s="263"/>
      <c r="I437" s="263"/>
      <c r="J437" s="19"/>
      <c r="K437" s="19"/>
      <c r="L437" s="19"/>
      <c r="M437" s="19"/>
      <c r="N437" s="19"/>
    </row>
    <row r="438" spans="1:14" ht="16.5" x14ac:dyDescent="0.25">
      <c r="A438" s="262"/>
      <c r="B438" s="262"/>
      <c r="C438" s="262"/>
      <c r="D438" s="263"/>
      <c r="E438" s="263"/>
      <c r="F438" s="263"/>
      <c r="G438" s="263"/>
      <c r="H438" s="263"/>
      <c r="I438" s="263"/>
      <c r="J438" s="19"/>
      <c r="K438" s="19"/>
      <c r="L438" s="19"/>
      <c r="M438" s="19"/>
      <c r="N438" s="19"/>
    </row>
    <row r="439" spans="1:14" ht="16.5" x14ac:dyDescent="0.25">
      <c r="A439" s="262"/>
      <c r="B439" s="262"/>
      <c r="C439" s="262"/>
      <c r="D439" s="263"/>
      <c r="E439" s="263"/>
      <c r="F439" s="263"/>
      <c r="G439" s="263"/>
      <c r="H439" s="263"/>
      <c r="I439" s="263"/>
      <c r="J439" s="19"/>
      <c r="K439" s="19"/>
      <c r="L439" s="19"/>
      <c r="M439" s="19"/>
      <c r="N439" s="19"/>
    </row>
    <row r="440" spans="1:14" ht="16.5" x14ac:dyDescent="0.25">
      <c r="A440" s="262"/>
      <c r="B440" s="262"/>
      <c r="C440" s="262"/>
      <c r="D440" s="263"/>
      <c r="E440" s="263"/>
      <c r="F440" s="263"/>
      <c r="G440" s="263"/>
      <c r="H440" s="263"/>
      <c r="I440" s="263"/>
      <c r="J440" s="19"/>
      <c r="K440" s="19"/>
      <c r="L440" s="19"/>
      <c r="M440" s="19"/>
      <c r="N440" s="19"/>
    </row>
    <row r="441" spans="1:14" ht="16.5" x14ac:dyDescent="0.25">
      <c r="A441" s="262"/>
      <c r="B441" s="262"/>
      <c r="C441" s="262"/>
      <c r="D441" s="263"/>
      <c r="E441" s="263"/>
      <c r="F441" s="263"/>
      <c r="G441" s="263"/>
      <c r="H441" s="263"/>
      <c r="I441" s="263"/>
      <c r="J441" s="19"/>
      <c r="K441" s="19"/>
      <c r="L441" s="19"/>
      <c r="M441" s="19"/>
      <c r="N441" s="19"/>
    </row>
    <row r="442" spans="1:14" ht="16.5" x14ac:dyDescent="0.25">
      <c r="A442" s="262"/>
      <c r="B442" s="262"/>
      <c r="C442" s="262"/>
      <c r="D442" s="263"/>
      <c r="E442" s="263"/>
      <c r="F442" s="263"/>
      <c r="G442" s="263"/>
      <c r="H442" s="263"/>
      <c r="I442" s="263"/>
      <c r="J442" s="19"/>
      <c r="K442" s="19"/>
      <c r="L442" s="19"/>
      <c r="M442" s="19"/>
      <c r="N442" s="19"/>
    </row>
    <row r="443" spans="1:14" ht="16.5" x14ac:dyDescent="0.25">
      <c r="A443" s="262"/>
      <c r="B443" s="262"/>
      <c r="C443" s="262"/>
      <c r="D443" s="263"/>
      <c r="E443" s="263"/>
      <c r="F443" s="263"/>
      <c r="G443" s="263"/>
      <c r="H443" s="263"/>
      <c r="I443" s="263"/>
      <c r="J443" s="19"/>
      <c r="K443" s="19"/>
      <c r="L443" s="19"/>
      <c r="M443" s="19"/>
      <c r="N443" s="19"/>
    </row>
    <row r="444" spans="1:14" ht="16.5" x14ac:dyDescent="0.25">
      <c r="A444" s="262"/>
      <c r="B444" s="262"/>
      <c r="C444" s="262"/>
      <c r="D444" s="263"/>
      <c r="E444" s="263"/>
      <c r="F444" s="263"/>
      <c r="G444" s="263"/>
      <c r="H444" s="263"/>
      <c r="I444" s="263"/>
      <c r="J444" s="19"/>
      <c r="K444" s="19"/>
      <c r="L444" s="19"/>
      <c r="M444" s="19"/>
      <c r="N444" s="19"/>
    </row>
    <row r="445" spans="1:14" ht="16.5" x14ac:dyDescent="0.25">
      <c r="A445" s="262"/>
      <c r="B445" s="262"/>
      <c r="C445" s="262"/>
      <c r="D445" s="263"/>
      <c r="E445" s="263"/>
      <c r="F445" s="263"/>
      <c r="G445" s="263"/>
      <c r="H445" s="263"/>
      <c r="I445" s="263"/>
      <c r="J445" s="19"/>
      <c r="K445" s="19"/>
      <c r="L445" s="19"/>
      <c r="M445" s="19"/>
      <c r="N445" s="19"/>
    </row>
    <row r="446" spans="1:14" ht="16.5" x14ac:dyDescent="0.25">
      <c r="A446" s="262"/>
      <c r="B446" s="262"/>
      <c r="C446" s="262"/>
      <c r="D446" s="263"/>
      <c r="E446" s="263"/>
      <c r="F446" s="263"/>
      <c r="G446" s="263"/>
      <c r="H446" s="263"/>
      <c r="I446" s="263"/>
      <c r="J446" s="19"/>
      <c r="K446" s="19"/>
      <c r="L446" s="19"/>
      <c r="M446" s="19"/>
      <c r="N446" s="19"/>
    </row>
    <row r="447" spans="1:14" ht="16.5" x14ac:dyDescent="0.25">
      <c r="A447" s="262"/>
      <c r="B447" s="262"/>
      <c r="C447" s="262"/>
      <c r="D447" s="263"/>
      <c r="E447" s="263"/>
      <c r="F447" s="263"/>
      <c r="G447" s="263"/>
      <c r="H447" s="263"/>
      <c r="I447" s="263"/>
      <c r="J447" s="19"/>
      <c r="K447" s="19"/>
      <c r="L447" s="19"/>
      <c r="M447" s="19"/>
      <c r="N447" s="19"/>
    </row>
    <row r="448" spans="1:14" ht="16.5" x14ac:dyDescent="0.25">
      <c r="A448" s="262"/>
      <c r="B448" s="262"/>
      <c r="C448" s="262"/>
      <c r="D448" s="263"/>
      <c r="E448" s="263"/>
      <c r="F448" s="263"/>
      <c r="G448" s="263"/>
      <c r="H448" s="263"/>
      <c r="I448" s="263"/>
      <c r="J448" s="19"/>
      <c r="K448" s="19"/>
      <c r="L448" s="19"/>
      <c r="M448" s="19"/>
      <c r="N448" s="19"/>
    </row>
    <row r="449" spans="1:14" ht="16.5" x14ac:dyDescent="0.25">
      <c r="A449" s="262"/>
      <c r="B449" s="262"/>
      <c r="C449" s="262"/>
      <c r="D449" s="263"/>
      <c r="E449" s="263"/>
      <c r="F449" s="263"/>
      <c r="G449" s="263"/>
      <c r="H449" s="263"/>
      <c r="I449" s="263"/>
      <c r="J449" s="19"/>
      <c r="K449" s="19"/>
      <c r="L449" s="19"/>
      <c r="M449" s="19"/>
      <c r="N449" s="19"/>
    </row>
    <row r="450" spans="1:14" ht="16.5" x14ac:dyDescent="0.25">
      <c r="A450" s="262"/>
      <c r="B450" s="262"/>
      <c r="C450" s="262"/>
      <c r="D450" s="263"/>
      <c r="E450" s="263"/>
      <c r="F450" s="263"/>
      <c r="G450" s="263"/>
      <c r="H450" s="263"/>
      <c r="I450" s="263"/>
      <c r="J450" s="19"/>
      <c r="K450" s="19"/>
      <c r="L450" s="19"/>
      <c r="M450" s="19"/>
      <c r="N450" s="19"/>
    </row>
    <row r="451" spans="1:14" ht="16.5" x14ac:dyDescent="0.25">
      <c r="A451" s="262"/>
      <c r="B451" s="262"/>
      <c r="C451" s="262"/>
      <c r="D451" s="263"/>
      <c r="E451" s="263"/>
      <c r="F451" s="263"/>
      <c r="G451" s="263"/>
      <c r="H451" s="263"/>
      <c r="I451" s="263"/>
      <c r="J451" s="19"/>
      <c r="K451" s="19"/>
      <c r="L451" s="19"/>
      <c r="M451" s="19"/>
      <c r="N451" s="19"/>
    </row>
    <row r="452" spans="1:14" ht="16.5" x14ac:dyDescent="0.25">
      <c r="A452" s="262"/>
      <c r="B452" s="262"/>
      <c r="C452" s="262"/>
      <c r="D452" s="263"/>
      <c r="E452" s="263"/>
      <c r="F452" s="263"/>
      <c r="G452" s="263"/>
      <c r="H452" s="263"/>
      <c r="I452" s="263"/>
      <c r="J452" s="19"/>
      <c r="K452" s="19"/>
      <c r="L452" s="19"/>
      <c r="M452" s="19"/>
      <c r="N452" s="19"/>
    </row>
    <row r="453" spans="1:14" ht="16.5" x14ac:dyDescent="0.25">
      <c r="A453" s="262"/>
      <c r="B453" s="262"/>
      <c r="C453" s="262"/>
      <c r="D453" s="263"/>
      <c r="E453" s="263"/>
      <c r="F453" s="263"/>
      <c r="G453" s="263"/>
      <c r="H453" s="263"/>
      <c r="I453" s="263"/>
      <c r="J453" s="19"/>
      <c r="K453" s="19"/>
      <c r="L453" s="19"/>
      <c r="M453" s="19"/>
      <c r="N453" s="19"/>
    </row>
    <row r="454" spans="1:14" ht="16.5" x14ac:dyDescent="0.25">
      <c r="A454" s="262"/>
      <c r="B454" s="262"/>
      <c r="C454" s="262"/>
      <c r="D454" s="263"/>
      <c r="E454" s="263"/>
      <c r="F454" s="263"/>
      <c r="G454" s="263"/>
      <c r="H454" s="263"/>
      <c r="I454" s="263"/>
      <c r="J454" s="19"/>
      <c r="K454" s="19"/>
      <c r="L454" s="19"/>
      <c r="M454" s="19"/>
      <c r="N454" s="19"/>
    </row>
    <row r="455" spans="1:14" ht="16.5" x14ac:dyDescent="0.25">
      <c r="A455" s="262"/>
      <c r="B455" s="262"/>
      <c r="C455" s="262"/>
      <c r="D455" s="263"/>
      <c r="E455" s="263"/>
      <c r="F455" s="263"/>
      <c r="G455" s="263"/>
      <c r="H455" s="263"/>
      <c r="I455" s="263"/>
      <c r="J455" s="19"/>
      <c r="K455" s="19"/>
      <c r="L455" s="19"/>
      <c r="M455" s="19"/>
      <c r="N455" s="19"/>
    </row>
    <row r="456" spans="1:14" ht="16.5" x14ac:dyDescent="0.25">
      <c r="A456" s="262"/>
      <c r="B456" s="262"/>
      <c r="C456" s="262"/>
      <c r="D456" s="263"/>
      <c r="E456" s="263"/>
      <c r="F456" s="263"/>
      <c r="G456" s="263"/>
      <c r="H456" s="263"/>
      <c r="I456" s="263"/>
      <c r="J456" s="19"/>
      <c r="K456" s="19"/>
      <c r="L456" s="19"/>
      <c r="M456" s="19"/>
      <c r="N456" s="19"/>
    </row>
    <row r="457" spans="1:14" ht="16.5" x14ac:dyDescent="0.25">
      <c r="A457" s="262"/>
      <c r="B457" s="262"/>
      <c r="C457" s="262"/>
      <c r="D457" s="263"/>
      <c r="E457" s="263"/>
      <c r="F457" s="263"/>
      <c r="G457" s="263"/>
      <c r="H457" s="263"/>
      <c r="I457" s="263"/>
      <c r="J457" s="19"/>
      <c r="K457" s="19"/>
      <c r="L457" s="19"/>
      <c r="M457" s="19"/>
      <c r="N457" s="19"/>
    </row>
    <row r="458" spans="1:14" ht="16.5" x14ac:dyDescent="0.25">
      <c r="A458" s="262"/>
      <c r="B458" s="262"/>
      <c r="C458" s="262"/>
      <c r="D458" s="263"/>
      <c r="E458" s="263"/>
      <c r="F458" s="263"/>
      <c r="G458" s="263"/>
      <c r="H458" s="263"/>
      <c r="I458" s="263"/>
      <c r="J458" s="19"/>
      <c r="K458" s="19"/>
      <c r="L458" s="19"/>
      <c r="M458" s="19"/>
      <c r="N458" s="19"/>
    </row>
    <row r="459" spans="1:14" ht="16.5" x14ac:dyDescent="0.25">
      <c r="A459" s="262"/>
      <c r="B459" s="262"/>
      <c r="C459" s="262"/>
      <c r="D459" s="263"/>
      <c r="E459" s="263"/>
      <c r="F459" s="263"/>
      <c r="G459" s="263"/>
      <c r="H459" s="263"/>
      <c r="I459" s="263"/>
      <c r="J459" s="19"/>
      <c r="K459" s="19"/>
      <c r="L459" s="19"/>
      <c r="M459" s="19"/>
      <c r="N459" s="19"/>
    </row>
    <row r="460" spans="1:14" ht="16.5" x14ac:dyDescent="0.25">
      <c r="A460" s="262"/>
      <c r="B460" s="262"/>
      <c r="C460" s="262"/>
      <c r="D460" s="263"/>
      <c r="E460" s="263"/>
      <c r="F460" s="263"/>
      <c r="G460" s="263"/>
      <c r="H460" s="263"/>
      <c r="I460" s="263"/>
      <c r="J460" s="19"/>
      <c r="K460" s="19"/>
      <c r="L460" s="19"/>
      <c r="M460" s="19"/>
      <c r="N460" s="19"/>
    </row>
    <row r="461" spans="1:14" ht="16.5" x14ac:dyDescent="0.25">
      <c r="A461" s="262"/>
      <c r="B461" s="262"/>
      <c r="C461" s="262"/>
      <c r="D461" s="263"/>
      <c r="E461" s="263"/>
      <c r="F461" s="263"/>
      <c r="G461" s="263"/>
      <c r="H461" s="263"/>
      <c r="I461" s="263"/>
      <c r="J461" s="19"/>
      <c r="K461" s="19"/>
      <c r="L461" s="19"/>
      <c r="M461" s="19"/>
      <c r="N461" s="19"/>
    </row>
    <row r="462" spans="1:14" ht="16.5" x14ac:dyDescent="0.25">
      <c r="A462" s="262"/>
      <c r="B462" s="262"/>
      <c r="C462" s="262"/>
      <c r="D462" s="263"/>
      <c r="E462" s="263"/>
      <c r="F462" s="263"/>
      <c r="G462" s="263"/>
      <c r="H462" s="263"/>
      <c r="I462" s="263"/>
      <c r="J462" s="19"/>
      <c r="K462" s="19"/>
      <c r="L462" s="19"/>
      <c r="M462" s="19"/>
      <c r="N462" s="19"/>
    </row>
    <row r="463" spans="1:14" ht="16.5" x14ac:dyDescent="0.25">
      <c r="A463" s="262"/>
      <c r="B463" s="262"/>
      <c r="C463" s="262"/>
      <c r="D463" s="263"/>
      <c r="E463" s="263"/>
      <c r="F463" s="263"/>
      <c r="G463" s="263"/>
      <c r="H463" s="263"/>
      <c r="I463" s="263"/>
      <c r="J463" s="19"/>
      <c r="K463" s="19"/>
      <c r="L463" s="19"/>
      <c r="M463" s="19"/>
      <c r="N463" s="19"/>
    </row>
    <row r="464" spans="1:14" ht="16.5" x14ac:dyDescent="0.25">
      <c r="A464" s="262"/>
      <c r="B464" s="262"/>
      <c r="C464" s="262"/>
      <c r="D464" s="263"/>
      <c r="E464" s="263"/>
      <c r="F464" s="263"/>
      <c r="G464" s="263"/>
      <c r="H464" s="263"/>
      <c r="I464" s="263"/>
      <c r="J464" s="19"/>
      <c r="K464" s="19"/>
      <c r="L464" s="19"/>
      <c r="M464" s="19"/>
      <c r="N464" s="19"/>
    </row>
    <row r="465" spans="1:14" ht="16.5" x14ac:dyDescent="0.25">
      <c r="A465" s="262"/>
      <c r="B465" s="262"/>
      <c r="C465" s="262"/>
      <c r="D465" s="263"/>
      <c r="E465" s="263"/>
      <c r="F465" s="263"/>
      <c r="G465" s="263"/>
      <c r="H465" s="263"/>
      <c r="I465" s="263"/>
      <c r="J465" s="19"/>
      <c r="K465" s="19"/>
      <c r="L465" s="19"/>
      <c r="M465" s="19"/>
      <c r="N465" s="19"/>
    </row>
    <row r="466" spans="1:14" ht="16.5" x14ac:dyDescent="0.25">
      <c r="A466" s="262"/>
      <c r="B466" s="262"/>
      <c r="C466" s="262"/>
      <c r="D466" s="263"/>
      <c r="E466" s="263"/>
      <c r="F466" s="263"/>
      <c r="G466" s="263"/>
      <c r="H466" s="263"/>
      <c r="I466" s="263"/>
      <c r="J466" s="19"/>
      <c r="K466" s="19"/>
      <c r="L466" s="19"/>
      <c r="M466" s="19"/>
      <c r="N466" s="19"/>
    </row>
    <row r="467" spans="1:14" ht="16.5" x14ac:dyDescent="0.25">
      <c r="A467" s="262"/>
      <c r="B467" s="262"/>
      <c r="C467" s="262"/>
      <c r="D467" s="263"/>
      <c r="E467" s="263"/>
      <c r="F467" s="263"/>
      <c r="G467" s="263"/>
      <c r="H467" s="263"/>
      <c r="I467" s="263"/>
      <c r="J467" s="19"/>
      <c r="K467" s="19"/>
      <c r="L467" s="19"/>
      <c r="M467" s="19"/>
      <c r="N467" s="19"/>
    </row>
    <row r="468" spans="1:14" ht="16.5" x14ac:dyDescent="0.25">
      <c r="A468" s="262"/>
      <c r="B468" s="262"/>
      <c r="C468" s="262"/>
      <c r="D468" s="263"/>
      <c r="E468" s="263"/>
      <c r="F468" s="263"/>
      <c r="G468" s="263"/>
      <c r="H468" s="263"/>
      <c r="I468" s="263"/>
      <c r="J468" s="19"/>
      <c r="K468" s="19"/>
      <c r="L468" s="19"/>
      <c r="M468" s="19"/>
      <c r="N468" s="19"/>
    </row>
    <row r="469" spans="1:14" ht="16.5" x14ac:dyDescent="0.25">
      <c r="A469" s="262"/>
      <c r="B469" s="262"/>
      <c r="C469" s="262"/>
      <c r="D469" s="263"/>
      <c r="E469" s="263"/>
      <c r="F469" s="263"/>
      <c r="G469" s="263"/>
      <c r="H469" s="263"/>
      <c r="I469" s="263"/>
      <c r="J469" s="19"/>
      <c r="K469" s="19"/>
      <c r="L469" s="19"/>
      <c r="M469" s="19"/>
      <c r="N469" s="19"/>
    </row>
    <row r="470" spans="1:14" ht="16.5" x14ac:dyDescent="0.25">
      <c r="A470" s="262"/>
      <c r="B470" s="262"/>
      <c r="C470" s="262"/>
      <c r="D470" s="263"/>
      <c r="E470" s="263"/>
      <c r="F470" s="263"/>
      <c r="G470" s="263"/>
      <c r="H470" s="263"/>
      <c r="I470" s="263"/>
      <c r="J470" s="19"/>
      <c r="K470" s="19"/>
      <c r="L470" s="19"/>
      <c r="M470" s="19"/>
      <c r="N470" s="19"/>
    </row>
    <row r="471" spans="1:14" ht="16.5" x14ac:dyDescent="0.25">
      <c r="A471" s="262"/>
      <c r="B471" s="262"/>
      <c r="C471" s="262"/>
      <c r="D471" s="263"/>
      <c r="E471" s="263"/>
      <c r="F471" s="263"/>
      <c r="G471" s="263"/>
      <c r="H471" s="263"/>
      <c r="I471" s="263"/>
      <c r="J471" s="19"/>
      <c r="K471" s="19"/>
      <c r="L471" s="19"/>
      <c r="M471" s="19"/>
      <c r="N471" s="19"/>
    </row>
    <row r="472" spans="1:14" ht="16.5" x14ac:dyDescent="0.25">
      <c r="A472" s="262"/>
      <c r="B472" s="262"/>
      <c r="C472" s="262"/>
      <c r="D472" s="263"/>
      <c r="E472" s="263"/>
      <c r="F472" s="263"/>
      <c r="G472" s="263"/>
      <c r="H472" s="263"/>
      <c r="I472" s="263"/>
      <c r="J472" s="19"/>
      <c r="K472" s="19"/>
      <c r="L472" s="19"/>
      <c r="M472" s="19"/>
      <c r="N472" s="19"/>
    </row>
    <row r="473" spans="1:14" ht="16.5" x14ac:dyDescent="0.25">
      <c r="A473" s="262"/>
      <c r="B473" s="262"/>
      <c r="C473" s="262"/>
      <c r="D473" s="263"/>
      <c r="E473" s="263"/>
      <c r="F473" s="263"/>
      <c r="G473" s="263"/>
      <c r="H473" s="263"/>
      <c r="I473" s="263"/>
      <c r="J473" s="19"/>
      <c r="K473" s="19"/>
      <c r="L473" s="19"/>
      <c r="M473" s="19"/>
      <c r="N473" s="19"/>
    </row>
    <row r="474" spans="1:14" ht="16.5" x14ac:dyDescent="0.25">
      <c r="A474" s="262"/>
      <c r="B474" s="262"/>
      <c r="C474" s="262"/>
      <c r="D474" s="263"/>
      <c r="E474" s="263"/>
      <c r="F474" s="263"/>
      <c r="G474" s="263"/>
      <c r="H474" s="263"/>
      <c r="I474" s="263"/>
      <c r="J474" s="19"/>
      <c r="K474" s="19"/>
      <c r="L474" s="19"/>
      <c r="M474" s="19"/>
      <c r="N474" s="19"/>
    </row>
    <row r="475" spans="1:14" ht="16.5" x14ac:dyDescent="0.25">
      <c r="A475" s="262"/>
      <c r="B475" s="262"/>
      <c r="C475" s="262"/>
      <c r="D475" s="263"/>
      <c r="E475" s="263"/>
      <c r="F475" s="263"/>
      <c r="G475" s="263"/>
      <c r="H475" s="263"/>
      <c r="I475" s="263"/>
      <c r="J475" s="19"/>
      <c r="K475" s="19"/>
      <c r="L475" s="19"/>
      <c r="M475" s="19"/>
      <c r="N475" s="19"/>
    </row>
    <row r="476" spans="1:14" ht="16.5" x14ac:dyDescent="0.25">
      <c r="A476" s="262"/>
      <c r="B476" s="262"/>
      <c r="C476" s="262"/>
      <c r="D476" s="263"/>
      <c r="E476" s="263"/>
      <c r="F476" s="263"/>
      <c r="G476" s="263"/>
      <c r="H476" s="263"/>
      <c r="I476" s="263"/>
      <c r="J476" s="19"/>
      <c r="K476" s="19"/>
      <c r="L476" s="19"/>
      <c r="M476" s="19"/>
      <c r="N476" s="19"/>
    </row>
    <row r="477" spans="1:14" ht="16.5" x14ac:dyDescent="0.25">
      <c r="A477" s="262"/>
      <c r="B477" s="262"/>
      <c r="C477" s="262"/>
      <c r="D477" s="263"/>
      <c r="E477" s="263"/>
      <c r="F477" s="263"/>
      <c r="G477" s="263"/>
      <c r="H477" s="263"/>
      <c r="I477" s="263"/>
      <c r="J477" s="19"/>
      <c r="K477" s="19"/>
      <c r="L477" s="19"/>
      <c r="M477" s="19"/>
      <c r="N477" s="19"/>
    </row>
    <row r="478" spans="1:14" ht="16.5" x14ac:dyDescent="0.25">
      <c r="A478" s="262"/>
      <c r="B478" s="262"/>
      <c r="C478" s="262"/>
      <c r="D478" s="263"/>
      <c r="E478" s="263"/>
      <c r="F478" s="263"/>
      <c r="G478" s="263"/>
      <c r="H478" s="263"/>
      <c r="I478" s="263"/>
      <c r="J478" s="19"/>
      <c r="K478" s="19"/>
      <c r="L478" s="19"/>
      <c r="M478" s="19"/>
      <c r="N478" s="19"/>
    </row>
    <row r="479" spans="1:14" ht="16.5" x14ac:dyDescent="0.25">
      <c r="A479" s="262"/>
      <c r="B479" s="262"/>
      <c r="C479" s="262"/>
      <c r="D479" s="263"/>
      <c r="E479" s="263"/>
      <c r="F479" s="263"/>
      <c r="G479" s="263"/>
      <c r="H479" s="263"/>
      <c r="I479" s="263"/>
      <c r="J479" s="19"/>
      <c r="K479" s="19"/>
      <c r="L479" s="19"/>
      <c r="M479" s="19"/>
      <c r="N479" s="19"/>
    </row>
    <row r="480" spans="1:14" ht="16.5" x14ac:dyDescent="0.25">
      <c r="A480" s="262"/>
      <c r="B480" s="262"/>
      <c r="C480" s="262"/>
      <c r="D480" s="263"/>
      <c r="E480" s="263"/>
      <c r="F480" s="263"/>
      <c r="G480" s="263"/>
      <c r="H480" s="263"/>
      <c r="I480" s="263"/>
      <c r="J480" s="19"/>
      <c r="K480" s="19"/>
      <c r="L480" s="19"/>
      <c r="M480" s="19"/>
      <c r="N480" s="19"/>
    </row>
    <row r="481" spans="1:14" ht="16.5" x14ac:dyDescent="0.25">
      <c r="A481" s="262"/>
      <c r="B481" s="262"/>
      <c r="C481" s="262"/>
      <c r="D481" s="263"/>
      <c r="E481" s="263"/>
      <c r="F481" s="263"/>
      <c r="G481" s="263"/>
      <c r="H481" s="263"/>
      <c r="I481" s="263"/>
      <c r="J481" s="19"/>
      <c r="K481" s="19"/>
      <c r="L481" s="19"/>
      <c r="M481" s="19"/>
      <c r="N481" s="19"/>
    </row>
    <row r="482" spans="1:14" ht="16.5" x14ac:dyDescent="0.25">
      <c r="A482" s="262"/>
      <c r="B482" s="262"/>
      <c r="C482" s="262"/>
      <c r="D482" s="263"/>
      <c r="E482" s="263"/>
      <c r="F482" s="263"/>
      <c r="G482" s="263"/>
      <c r="H482" s="263"/>
      <c r="I482" s="263"/>
      <c r="J482" s="19"/>
      <c r="K482" s="19"/>
      <c r="L482" s="19"/>
      <c r="M482" s="19"/>
      <c r="N482" s="19"/>
    </row>
    <row r="483" spans="1:14" ht="16.5" x14ac:dyDescent="0.25">
      <c r="A483" s="262"/>
      <c r="B483" s="262"/>
      <c r="C483" s="262"/>
      <c r="D483" s="263"/>
      <c r="E483" s="263"/>
      <c r="F483" s="263"/>
      <c r="G483" s="263"/>
      <c r="H483" s="263"/>
      <c r="I483" s="263"/>
      <c r="J483" s="19"/>
      <c r="K483" s="19"/>
      <c r="L483" s="19"/>
      <c r="M483" s="19"/>
      <c r="N483" s="19"/>
    </row>
    <row r="484" spans="1:14" ht="16.5" x14ac:dyDescent="0.25">
      <c r="A484" s="262"/>
      <c r="B484" s="262"/>
      <c r="C484" s="262"/>
      <c r="D484" s="263"/>
      <c r="E484" s="263"/>
      <c r="F484" s="263"/>
      <c r="G484" s="263"/>
      <c r="H484" s="263"/>
      <c r="I484" s="263"/>
      <c r="J484" s="19"/>
      <c r="K484" s="19"/>
      <c r="L484" s="19"/>
      <c r="M484" s="19"/>
      <c r="N484" s="19"/>
    </row>
    <row r="485" spans="1:14" ht="16.5" x14ac:dyDescent="0.25">
      <c r="A485" s="262"/>
      <c r="B485" s="262"/>
      <c r="C485" s="262"/>
      <c r="D485" s="263"/>
      <c r="E485" s="263"/>
      <c r="F485" s="263"/>
      <c r="G485" s="263"/>
      <c r="H485" s="263"/>
      <c r="I485" s="263"/>
      <c r="J485" s="19"/>
      <c r="K485" s="19"/>
      <c r="L485" s="19"/>
      <c r="M485" s="19"/>
      <c r="N485" s="19"/>
    </row>
    <row r="486" spans="1:14" ht="16.5" x14ac:dyDescent="0.25">
      <c r="A486" s="262"/>
      <c r="B486" s="262"/>
      <c r="C486" s="262"/>
      <c r="D486" s="263"/>
      <c r="E486" s="263"/>
      <c r="F486" s="263"/>
      <c r="G486" s="263"/>
      <c r="H486" s="263"/>
      <c r="I486" s="263"/>
      <c r="J486" s="19"/>
      <c r="K486" s="19"/>
      <c r="L486" s="19"/>
      <c r="M486" s="19"/>
      <c r="N486" s="19"/>
    </row>
    <row r="487" spans="1:14" ht="16.5" x14ac:dyDescent="0.25">
      <c r="A487" s="262"/>
      <c r="B487" s="262"/>
      <c r="C487" s="262"/>
      <c r="D487" s="263"/>
      <c r="E487" s="263"/>
      <c r="F487" s="263"/>
      <c r="G487" s="263"/>
      <c r="H487" s="263"/>
      <c r="I487" s="263"/>
      <c r="J487" s="19"/>
      <c r="K487" s="19"/>
      <c r="L487" s="19"/>
      <c r="M487" s="19"/>
      <c r="N487" s="19"/>
    </row>
    <row r="488" spans="1:14" ht="16.5" x14ac:dyDescent="0.25">
      <c r="A488" s="262"/>
      <c r="B488" s="262"/>
      <c r="C488" s="262"/>
      <c r="D488" s="263"/>
      <c r="E488" s="263"/>
      <c r="F488" s="263"/>
      <c r="G488" s="263"/>
      <c r="H488" s="263"/>
      <c r="I488" s="263"/>
      <c r="J488" s="19"/>
      <c r="K488" s="19"/>
      <c r="L488" s="19"/>
      <c r="M488" s="19"/>
      <c r="N488" s="19"/>
    </row>
    <row r="489" spans="1:14" ht="16.5" x14ac:dyDescent="0.25">
      <c r="A489" s="262"/>
      <c r="B489" s="262"/>
      <c r="C489" s="262"/>
      <c r="D489" s="263"/>
      <c r="E489" s="263"/>
      <c r="F489" s="263"/>
      <c r="G489" s="263"/>
      <c r="H489" s="263"/>
      <c r="I489" s="263"/>
      <c r="J489" s="19"/>
      <c r="K489" s="19"/>
      <c r="L489" s="19"/>
      <c r="M489" s="19"/>
      <c r="N489" s="19"/>
    </row>
    <row r="490" spans="1:14" ht="16.5" x14ac:dyDescent="0.25">
      <c r="A490" s="262"/>
      <c r="B490" s="262"/>
      <c r="C490" s="262"/>
      <c r="D490" s="263"/>
      <c r="E490" s="263"/>
      <c r="F490" s="263"/>
      <c r="G490" s="263"/>
      <c r="H490" s="263"/>
      <c r="I490" s="263"/>
      <c r="J490" s="19"/>
      <c r="K490" s="19"/>
      <c r="L490" s="19"/>
      <c r="M490" s="19"/>
      <c r="N490" s="19"/>
    </row>
    <row r="491" spans="1:14" ht="16.5" x14ac:dyDescent="0.25">
      <c r="A491" s="262"/>
      <c r="B491" s="262"/>
      <c r="C491" s="262"/>
      <c r="D491" s="263"/>
      <c r="E491" s="263"/>
      <c r="F491" s="263"/>
      <c r="G491" s="263"/>
      <c r="H491" s="263"/>
      <c r="I491" s="263"/>
      <c r="J491" s="19"/>
      <c r="K491" s="19"/>
      <c r="L491" s="19"/>
      <c r="M491" s="19"/>
      <c r="N491" s="19"/>
    </row>
    <row r="492" spans="1:14" ht="16.5" x14ac:dyDescent="0.25">
      <c r="A492" s="262"/>
      <c r="B492" s="262"/>
      <c r="C492" s="262"/>
      <c r="D492" s="263"/>
      <c r="E492" s="263"/>
      <c r="F492" s="263"/>
      <c r="G492" s="263"/>
      <c r="H492" s="263"/>
      <c r="I492" s="263"/>
      <c r="J492" s="19"/>
      <c r="K492" s="19"/>
      <c r="L492" s="19"/>
      <c r="M492" s="19"/>
      <c r="N492" s="19"/>
    </row>
    <row r="493" spans="1:14" ht="16.5" x14ac:dyDescent="0.25">
      <c r="A493" s="262"/>
      <c r="B493" s="262"/>
      <c r="C493" s="262"/>
      <c r="D493" s="263"/>
      <c r="E493" s="263"/>
      <c r="F493" s="263"/>
      <c r="G493" s="263"/>
      <c r="H493" s="263"/>
      <c r="I493" s="263"/>
      <c r="J493" s="19"/>
      <c r="K493" s="19"/>
      <c r="L493" s="19"/>
      <c r="M493" s="19"/>
      <c r="N493" s="19"/>
    </row>
    <row r="494" spans="1:14" ht="16.5" x14ac:dyDescent="0.25">
      <c r="A494" s="262"/>
      <c r="B494" s="262"/>
      <c r="C494" s="262"/>
      <c r="D494" s="263"/>
      <c r="E494" s="263"/>
      <c r="F494" s="263"/>
      <c r="G494" s="263"/>
      <c r="H494" s="263"/>
      <c r="I494" s="263"/>
      <c r="J494" s="19"/>
      <c r="K494" s="19"/>
      <c r="L494" s="19"/>
      <c r="M494" s="19"/>
      <c r="N494" s="19"/>
    </row>
    <row r="495" spans="1:14" ht="16.5" x14ac:dyDescent="0.25">
      <c r="A495" s="262"/>
      <c r="B495" s="262"/>
      <c r="C495" s="262"/>
      <c r="D495" s="263"/>
      <c r="E495" s="263"/>
      <c r="F495" s="263"/>
      <c r="G495" s="263"/>
      <c r="H495" s="263"/>
      <c r="I495" s="263"/>
      <c r="J495" s="19"/>
      <c r="K495" s="19"/>
      <c r="L495" s="19"/>
      <c r="M495" s="19"/>
      <c r="N495" s="19"/>
    </row>
    <row r="496" spans="1:14" ht="16.5" x14ac:dyDescent="0.25">
      <c r="A496" s="262"/>
      <c r="B496" s="262"/>
      <c r="C496" s="262"/>
      <c r="D496" s="263"/>
      <c r="E496" s="263"/>
      <c r="F496" s="263"/>
      <c r="G496" s="263"/>
      <c r="H496" s="263"/>
      <c r="I496" s="263"/>
      <c r="J496" s="19"/>
      <c r="K496" s="19"/>
      <c r="L496" s="19"/>
      <c r="M496" s="19"/>
      <c r="N496" s="19"/>
    </row>
    <row r="497" spans="1:14" ht="16.5" x14ac:dyDescent="0.25">
      <c r="A497" s="262"/>
      <c r="B497" s="262"/>
      <c r="C497" s="262"/>
      <c r="D497" s="263"/>
      <c r="E497" s="263"/>
      <c r="F497" s="263"/>
      <c r="G497" s="263"/>
      <c r="H497" s="263"/>
      <c r="I497" s="263"/>
      <c r="J497" s="19"/>
      <c r="K497" s="19"/>
      <c r="L497" s="19"/>
      <c r="M497" s="19"/>
      <c r="N497" s="19"/>
    </row>
    <row r="498" spans="1:14" ht="16.5" x14ac:dyDescent="0.25">
      <c r="A498" s="262"/>
      <c r="B498" s="262"/>
      <c r="C498" s="262"/>
      <c r="D498" s="263"/>
      <c r="E498" s="263"/>
      <c r="F498" s="263"/>
      <c r="G498" s="263"/>
      <c r="H498" s="263"/>
      <c r="I498" s="263"/>
      <c r="J498" s="19"/>
      <c r="K498" s="19"/>
      <c r="L498" s="19"/>
      <c r="M498" s="19"/>
      <c r="N498" s="19"/>
    </row>
    <row r="499" spans="1:14" ht="16.5" x14ac:dyDescent="0.25">
      <c r="A499" s="262"/>
      <c r="B499" s="262"/>
      <c r="C499" s="262"/>
      <c r="D499" s="263"/>
      <c r="E499" s="263"/>
      <c r="F499" s="263"/>
      <c r="G499" s="263"/>
      <c r="H499" s="263"/>
      <c r="I499" s="263"/>
      <c r="J499" s="19"/>
      <c r="K499" s="19"/>
      <c r="L499" s="19"/>
      <c r="M499" s="19"/>
      <c r="N499" s="19"/>
    </row>
    <row r="500" spans="1:14" ht="16.5" x14ac:dyDescent="0.25">
      <c r="A500" s="262"/>
      <c r="B500" s="262"/>
      <c r="C500" s="262"/>
      <c r="D500" s="263"/>
      <c r="E500" s="263"/>
      <c r="F500" s="263"/>
      <c r="G500" s="263"/>
      <c r="H500" s="263"/>
      <c r="I500" s="263"/>
      <c r="J500" s="19"/>
      <c r="K500" s="19"/>
      <c r="L500" s="19"/>
      <c r="M500" s="19"/>
      <c r="N500" s="19"/>
    </row>
    <row r="501" spans="1:14" ht="16.5" x14ac:dyDescent="0.25">
      <c r="A501" s="262"/>
      <c r="B501" s="262"/>
      <c r="C501" s="262"/>
      <c r="D501" s="263"/>
      <c r="E501" s="263"/>
      <c r="F501" s="263"/>
      <c r="G501" s="263"/>
      <c r="H501" s="263"/>
      <c r="I501" s="263"/>
      <c r="J501" s="19"/>
      <c r="K501" s="19"/>
      <c r="L501" s="19"/>
      <c r="M501" s="19"/>
      <c r="N501" s="19"/>
    </row>
    <row r="502" spans="1:14" ht="16.5" x14ac:dyDescent="0.25">
      <c r="A502" s="262"/>
      <c r="B502" s="262"/>
      <c r="C502" s="262"/>
      <c r="D502" s="263"/>
      <c r="E502" s="263"/>
      <c r="F502" s="263"/>
      <c r="G502" s="263"/>
      <c r="H502" s="263"/>
      <c r="I502" s="263"/>
      <c r="J502" s="19"/>
      <c r="K502" s="19"/>
      <c r="L502" s="19"/>
      <c r="M502" s="19"/>
      <c r="N502" s="19"/>
    </row>
    <row r="503" spans="1:14" ht="16.5" x14ac:dyDescent="0.25">
      <c r="A503" s="262"/>
      <c r="B503" s="262"/>
      <c r="C503" s="262"/>
      <c r="D503" s="263"/>
      <c r="E503" s="263"/>
      <c r="F503" s="263"/>
      <c r="G503" s="263"/>
      <c r="H503" s="263"/>
      <c r="I503" s="263"/>
      <c r="J503" s="19"/>
      <c r="K503" s="19"/>
      <c r="L503" s="19"/>
      <c r="M503" s="19"/>
      <c r="N503" s="19"/>
    </row>
    <row r="504" spans="1:14" ht="16.5" x14ac:dyDescent="0.25">
      <c r="A504" s="262"/>
      <c r="B504" s="262"/>
      <c r="C504" s="262"/>
      <c r="D504" s="263"/>
      <c r="E504" s="263"/>
      <c r="F504" s="263"/>
      <c r="G504" s="263"/>
      <c r="H504" s="263"/>
      <c r="I504" s="263"/>
      <c r="J504" s="19"/>
      <c r="K504" s="19"/>
      <c r="L504" s="19"/>
      <c r="M504" s="19"/>
      <c r="N504" s="19"/>
    </row>
    <row r="505" spans="1:14" ht="16.5" x14ac:dyDescent="0.25">
      <c r="A505" s="262"/>
      <c r="B505" s="262"/>
      <c r="C505" s="262"/>
      <c r="D505" s="263"/>
      <c r="E505" s="263"/>
      <c r="F505" s="263"/>
      <c r="G505" s="263"/>
      <c r="H505" s="263"/>
      <c r="I505" s="263"/>
      <c r="J505" s="19"/>
      <c r="K505" s="19"/>
      <c r="L505" s="19"/>
      <c r="M505" s="19"/>
      <c r="N505" s="19"/>
    </row>
    <row r="506" spans="1:14" ht="16.5" x14ac:dyDescent="0.25">
      <c r="A506" s="262"/>
      <c r="B506" s="262"/>
      <c r="C506" s="262"/>
      <c r="D506" s="263"/>
      <c r="E506" s="263"/>
      <c r="F506" s="263"/>
      <c r="G506" s="263"/>
      <c r="H506" s="263"/>
      <c r="I506" s="263"/>
      <c r="J506" s="19"/>
      <c r="K506" s="19"/>
      <c r="L506" s="19"/>
      <c r="M506" s="19"/>
      <c r="N506" s="19"/>
    </row>
    <row r="507" spans="1:14" ht="16.5" x14ac:dyDescent="0.25">
      <c r="A507" s="262"/>
      <c r="B507" s="262"/>
      <c r="C507" s="262"/>
      <c r="D507" s="263"/>
      <c r="E507" s="263"/>
      <c r="F507" s="263"/>
      <c r="G507" s="263"/>
      <c r="H507" s="263"/>
      <c r="I507" s="263"/>
      <c r="J507" s="19"/>
      <c r="K507" s="19"/>
      <c r="L507" s="19"/>
      <c r="M507" s="19"/>
      <c r="N507" s="19"/>
    </row>
    <row r="508" spans="1:14" ht="16.5" x14ac:dyDescent="0.25">
      <c r="A508" s="262"/>
      <c r="B508" s="262"/>
      <c r="C508" s="262"/>
      <c r="D508" s="263"/>
      <c r="E508" s="263"/>
      <c r="F508" s="263"/>
      <c r="G508" s="263"/>
      <c r="H508" s="263"/>
      <c r="I508" s="263"/>
      <c r="J508" s="19"/>
      <c r="K508" s="19"/>
      <c r="L508" s="19"/>
      <c r="M508" s="19"/>
      <c r="N508" s="19"/>
    </row>
    <row r="509" spans="1:14" ht="16.5" x14ac:dyDescent="0.25">
      <c r="A509" s="262"/>
      <c r="B509" s="262"/>
      <c r="C509" s="262"/>
      <c r="D509" s="263"/>
      <c r="E509" s="263"/>
      <c r="F509" s="263"/>
      <c r="G509" s="263"/>
      <c r="H509" s="263"/>
      <c r="I509" s="263"/>
      <c r="J509" s="19"/>
      <c r="K509" s="19"/>
      <c r="L509" s="19"/>
      <c r="M509" s="19"/>
      <c r="N509" s="19"/>
    </row>
    <row r="510" spans="1:14" ht="16.5" x14ac:dyDescent="0.25">
      <c r="A510" s="262"/>
      <c r="B510" s="262"/>
      <c r="C510" s="262"/>
      <c r="D510" s="263"/>
      <c r="E510" s="263"/>
      <c r="F510" s="263"/>
      <c r="G510" s="263"/>
      <c r="H510" s="263"/>
      <c r="I510" s="263"/>
      <c r="J510" s="19"/>
      <c r="K510" s="19"/>
      <c r="L510" s="19"/>
      <c r="M510" s="19"/>
      <c r="N510" s="19"/>
    </row>
    <row r="511" spans="1:14" ht="16.5" x14ac:dyDescent="0.25">
      <c r="A511" s="262"/>
      <c r="B511" s="262"/>
      <c r="C511" s="262"/>
      <c r="D511" s="263"/>
      <c r="E511" s="263"/>
      <c r="F511" s="263"/>
      <c r="G511" s="263"/>
      <c r="H511" s="263"/>
      <c r="I511" s="263"/>
      <c r="J511" s="19"/>
      <c r="K511" s="19"/>
      <c r="L511" s="19"/>
      <c r="M511" s="19"/>
      <c r="N511" s="19"/>
    </row>
    <row r="512" spans="1:14" ht="16.5" x14ac:dyDescent="0.25">
      <c r="A512" s="262"/>
      <c r="B512" s="262"/>
      <c r="C512" s="262"/>
      <c r="D512" s="263"/>
      <c r="E512" s="263"/>
      <c r="F512" s="263"/>
      <c r="G512" s="263"/>
      <c r="H512" s="263"/>
      <c r="I512" s="263"/>
      <c r="J512" s="19"/>
      <c r="K512" s="19"/>
      <c r="L512" s="19"/>
      <c r="M512" s="19"/>
      <c r="N512" s="19"/>
    </row>
    <row r="513" spans="1:14" ht="16.5" x14ac:dyDescent="0.25">
      <c r="A513" s="262"/>
      <c r="B513" s="262"/>
      <c r="C513" s="262"/>
      <c r="D513" s="263"/>
      <c r="E513" s="263"/>
      <c r="F513" s="263"/>
      <c r="G513" s="263"/>
      <c r="H513" s="263"/>
      <c r="I513" s="263"/>
      <c r="J513" s="19"/>
      <c r="K513" s="19"/>
      <c r="L513" s="19"/>
      <c r="M513" s="19"/>
      <c r="N513" s="19"/>
    </row>
    <row r="514" spans="1:14" ht="16.5" x14ac:dyDescent="0.25">
      <c r="A514" s="262"/>
      <c r="B514" s="262"/>
      <c r="C514" s="262"/>
      <c r="D514" s="263"/>
      <c r="E514" s="263"/>
      <c r="F514" s="263"/>
      <c r="G514" s="263"/>
      <c r="H514" s="263"/>
      <c r="I514" s="263"/>
      <c r="J514" s="19"/>
      <c r="K514" s="19"/>
      <c r="L514" s="19"/>
      <c r="M514" s="19"/>
      <c r="N514" s="19"/>
    </row>
    <row r="515" spans="1:14" ht="16.5" x14ac:dyDescent="0.25">
      <c r="A515" s="262"/>
      <c r="B515" s="262"/>
      <c r="C515" s="262"/>
      <c r="D515" s="263"/>
      <c r="E515" s="263"/>
      <c r="F515" s="263"/>
      <c r="G515" s="263"/>
      <c r="H515" s="263"/>
      <c r="I515" s="263"/>
      <c r="J515" s="19"/>
      <c r="K515" s="19"/>
      <c r="L515" s="19"/>
      <c r="M515" s="19"/>
      <c r="N515" s="19"/>
    </row>
    <row r="516" spans="1:14" ht="16.5" x14ac:dyDescent="0.25">
      <c r="A516" s="262"/>
      <c r="B516" s="262"/>
      <c r="C516" s="262"/>
      <c r="D516" s="263"/>
      <c r="E516" s="263"/>
      <c r="F516" s="263"/>
      <c r="G516" s="263"/>
      <c r="H516" s="263"/>
      <c r="I516" s="263"/>
      <c r="J516" s="19"/>
      <c r="K516" s="19"/>
      <c r="L516" s="19"/>
      <c r="M516" s="19"/>
      <c r="N516" s="19"/>
    </row>
    <row r="517" spans="1:14" ht="16.5" x14ac:dyDescent="0.25">
      <c r="A517" s="262"/>
      <c r="B517" s="262"/>
      <c r="C517" s="262"/>
      <c r="D517" s="263"/>
      <c r="E517" s="263"/>
      <c r="F517" s="263"/>
      <c r="G517" s="263"/>
      <c r="H517" s="263"/>
      <c r="I517" s="263"/>
      <c r="J517" s="19"/>
      <c r="K517" s="19"/>
      <c r="L517" s="19"/>
      <c r="M517" s="19"/>
      <c r="N517" s="19"/>
    </row>
    <row r="518" spans="1:14" ht="16.5" x14ac:dyDescent="0.25">
      <c r="A518" s="262"/>
      <c r="B518" s="262"/>
      <c r="C518" s="262"/>
      <c r="D518" s="263"/>
      <c r="E518" s="263"/>
      <c r="F518" s="263"/>
      <c r="G518" s="263"/>
      <c r="H518" s="263"/>
      <c r="I518" s="263"/>
      <c r="J518" s="19"/>
      <c r="K518" s="19"/>
      <c r="L518" s="19"/>
      <c r="M518" s="19"/>
      <c r="N518" s="19"/>
    </row>
    <row r="519" spans="1:14" ht="16.5" x14ac:dyDescent="0.25">
      <c r="A519" s="262"/>
      <c r="B519" s="262"/>
      <c r="C519" s="262"/>
      <c r="D519" s="263"/>
      <c r="E519" s="263"/>
      <c r="F519" s="263"/>
      <c r="G519" s="263"/>
      <c r="H519" s="263"/>
      <c r="I519" s="263"/>
      <c r="J519" s="19"/>
      <c r="K519" s="19"/>
      <c r="L519" s="19"/>
      <c r="M519" s="19"/>
      <c r="N519" s="19"/>
    </row>
    <row r="520" spans="1:14" ht="16.5" x14ac:dyDescent="0.25">
      <c r="A520" s="262"/>
      <c r="B520" s="262"/>
      <c r="C520" s="262"/>
      <c r="D520" s="263"/>
      <c r="E520" s="263"/>
      <c r="F520" s="263"/>
      <c r="G520" s="263"/>
      <c r="H520" s="263"/>
      <c r="I520" s="263"/>
      <c r="J520" s="19"/>
      <c r="K520" s="19"/>
      <c r="L520" s="19"/>
      <c r="M520" s="19"/>
      <c r="N520" s="19"/>
    </row>
    <row r="521" spans="1:14" ht="16.5" x14ac:dyDescent="0.25">
      <c r="A521" s="262"/>
      <c r="B521" s="262"/>
      <c r="C521" s="262"/>
      <c r="D521" s="263"/>
      <c r="E521" s="263"/>
      <c r="F521" s="263"/>
      <c r="G521" s="263"/>
      <c r="H521" s="263"/>
      <c r="I521" s="263"/>
      <c r="J521" s="19"/>
      <c r="K521" s="19"/>
      <c r="L521" s="19"/>
      <c r="M521" s="19"/>
      <c r="N521" s="19"/>
    </row>
    <row r="522" spans="1:14" ht="16.5" x14ac:dyDescent="0.25">
      <c r="A522" s="262"/>
      <c r="B522" s="262"/>
      <c r="C522" s="262"/>
      <c r="D522" s="263"/>
      <c r="E522" s="263"/>
      <c r="F522" s="263"/>
      <c r="G522" s="263"/>
      <c r="H522" s="263"/>
      <c r="I522" s="263"/>
      <c r="J522" s="19"/>
      <c r="K522" s="19"/>
      <c r="L522" s="19"/>
      <c r="M522" s="19"/>
      <c r="N522" s="19"/>
    </row>
    <row r="523" spans="1:14" ht="16.5" x14ac:dyDescent="0.25">
      <c r="A523" s="262"/>
      <c r="B523" s="262"/>
      <c r="C523" s="262"/>
      <c r="D523" s="263"/>
      <c r="E523" s="263"/>
      <c r="F523" s="263"/>
      <c r="G523" s="263"/>
      <c r="H523" s="263"/>
      <c r="I523" s="263"/>
      <c r="J523" s="19"/>
      <c r="K523" s="19"/>
      <c r="L523" s="19"/>
      <c r="M523" s="19"/>
      <c r="N523" s="19"/>
    </row>
    <row r="524" spans="1:14" ht="16.5" x14ac:dyDescent="0.25">
      <c r="A524" s="262"/>
      <c r="B524" s="262"/>
      <c r="C524" s="262"/>
      <c r="D524" s="263"/>
      <c r="E524" s="263"/>
      <c r="F524" s="263"/>
      <c r="G524" s="263"/>
      <c r="H524" s="263"/>
      <c r="I524" s="263"/>
      <c r="J524" s="19"/>
      <c r="K524" s="19"/>
      <c r="L524" s="19"/>
      <c r="M524" s="19"/>
      <c r="N524" s="19"/>
    </row>
    <row r="525" spans="1:14" ht="16.5" x14ac:dyDescent="0.25">
      <c r="A525" s="262"/>
      <c r="B525" s="262"/>
      <c r="C525" s="262"/>
      <c r="D525" s="263"/>
      <c r="E525" s="263"/>
      <c r="F525" s="263"/>
      <c r="G525" s="263"/>
      <c r="H525" s="263"/>
      <c r="I525" s="263"/>
      <c r="J525" s="19"/>
      <c r="K525" s="19"/>
      <c r="L525" s="19"/>
      <c r="M525" s="19"/>
      <c r="N525" s="19"/>
    </row>
    <row r="526" spans="1:14" ht="16.5" x14ac:dyDescent="0.25">
      <c r="A526" s="262"/>
      <c r="B526" s="262"/>
      <c r="C526" s="262"/>
      <c r="D526" s="263"/>
      <c r="E526" s="263"/>
      <c r="F526" s="263"/>
      <c r="G526" s="263"/>
      <c r="H526" s="263"/>
      <c r="I526" s="263"/>
      <c r="J526" s="19"/>
      <c r="K526" s="19"/>
      <c r="L526" s="19"/>
      <c r="M526" s="19"/>
      <c r="N526" s="19"/>
    </row>
    <row r="527" spans="1:14" ht="16.5" x14ac:dyDescent="0.25">
      <c r="A527" s="262"/>
      <c r="B527" s="262"/>
      <c r="C527" s="262"/>
      <c r="D527" s="263"/>
      <c r="E527" s="263"/>
      <c r="F527" s="263"/>
      <c r="G527" s="263"/>
      <c r="H527" s="263"/>
      <c r="I527" s="263"/>
      <c r="J527" s="19"/>
      <c r="K527" s="19"/>
      <c r="L527" s="19"/>
      <c r="M527" s="19"/>
      <c r="N527" s="19"/>
    </row>
    <row r="528" spans="1:14" ht="16.5" x14ac:dyDescent="0.25">
      <c r="A528" s="262"/>
      <c r="B528" s="262"/>
      <c r="C528" s="262"/>
      <c r="D528" s="263"/>
      <c r="E528" s="263"/>
      <c r="F528" s="263"/>
      <c r="G528" s="263"/>
      <c r="H528" s="263"/>
      <c r="I528" s="263"/>
      <c r="J528" s="19"/>
      <c r="K528" s="19"/>
      <c r="L528" s="19"/>
      <c r="M528" s="19"/>
      <c r="N528" s="19"/>
    </row>
    <row r="529" spans="1:14" ht="16.5" x14ac:dyDescent="0.25">
      <c r="A529" s="262"/>
      <c r="B529" s="262"/>
      <c r="C529" s="262"/>
      <c r="D529" s="263"/>
      <c r="E529" s="263"/>
      <c r="F529" s="263"/>
      <c r="G529" s="263"/>
      <c r="H529" s="263"/>
      <c r="I529" s="263"/>
      <c r="J529" s="19"/>
      <c r="K529" s="19"/>
      <c r="L529" s="19"/>
      <c r="M529" s="19"/>
      <c r="N529" s="19"/>
    </row>
    <row r="530" spans="1:14" ht="16.5" x14ac:dyDescent="0.25">
      <c r="A530" s="262"/>
      <c r="B530" s="262"/>
      <c r="C530" s="262"/>
      <c r="D530" s="263"/>
      <c r="E530" s="263"/>
      <c r="F530" s="263"/>
      <c r="G530" s="263"/>
      <c r="H530" s="263"/>
      <c r="I530" s="263"/>
      <c r="J530" s="19"/>
      <c r="K530" s="19"/>
      <c r="L530" s="19"/>
      <c r="M530" s="19"/>
      <c r="N530" s="19"/>
    </row>
    <row r="531" spans="1:14" ht="16.5" x14ac:dyDescent="0.25">
      <c r="A531" s="262"/>
      <c r="B531" s="262"/>
      <c r="C531" s="262"/>
      <c r="D531" s="263"/>
      <c r="E531" s="263"/>
      <c r="F531" s="263"/>
      <c r="G531" s="263"/>
      <c r="H531" s="263"/>
      <c r="I531" s="263"/>
      <c r="J531" s="19"/>
      <c r="K531" s="19"/>
      <c r="L531" s="19"/>
      <c r="M531" s="19"/>
      <c r="N531" s="19"/>
    </row>
    <row r="532" spans="1:14" ht="16.5" x14ac:dyDescent="0.25">
      <c r="A532" s="262"/>
      <c r="B532" s="262"/>
      <c r="C532" s="262"/>
      <c r="D532" s="263"/>
      <c r="E532" s="263"/>
      <c r="F532" s="263"/>
      <c r="G532" s="263"/>
      <c r="H532" s="263"/>
      <c r="I532" s="263"/>
      <c r="J532" s="19"/>
      <c r="K532" s="19"/>
      <c r="L532" s="19"/>
      <c r="M532" s="19"/>
      <c r="N532" s="19"/>
    </row>
    <row r="533" spans="1:14" ht="16.5" x14ac:dyDescent="0.25">
      <c r="A533" s="262"/>
      <c r="B533" s="262"/>
      <c r="C533" s="262"/>
      <c r="D533" s="263"/>
      <c r="E533" s="263"/>
      <c r="F533" s="263"/>
      <c r="G533" s="263"/>
      <c r="H533" s="263"/>
      <c r="I533" s="263"/>
      <c r="J533" s="19"/>
      <c r="K533" s="19"/>
      <c r="L533" s="19"/>
      <c r="M533" s="19"/>
      <c r="N533" s="19"/>
    </row>
    <row r="534" spans="1:14" ht="16.5" x14ac:dyDescent="0.25">
      <c r="A534" s="262"/>
      <c r="B534" s="262"/>
      <c r="C534" s="262"/>
      <c r="D534" s="263"/>
      <c r="E534" s="263"/>
      <c r="F534" s="263"/>
      <c r="G534" s="263"/>
      <c r="H534" s="263"/>
      <c r="I534" s="263"/>
      <c r="J534" s="19"/>
      <c r="K534" s="19"/>
      <c r="L534" s="19"/>
      <c r="M534" s="19"/>
      <c r="N534" s="19"/>
    </row>
    <row r="535" spans="1:14" ht="16.5" x14ac:dyDescent="0.25">
      <c r="A535" s="262"/>
      <c r="B535" s="262"/>
      <c r="C535" s="262"/>
      <c r="D535" s="263"/>
      <c r="E535" s="263"/>
      <c r="F535" s="263"/>
      <c r="G535" s="263"/>
      <c r="H535" s="263"/>
      <c r="I535" s="263"/>
      <c r="J535" s="19"/>
      <c r="K535" s="19"/>
      <c r="L535" s="19"/>
      <c r="M535" s="19"/>
      <c r="N535" s="19"/>
    </row>
    <row r="536" spans="1:14" ht="16.5" x14ac:dyDescent="0.25">
      <c r="A536" s="262"/>
      <c r="B536" s="262"/>
      <c r="C536" s="262"/>
      <c r="D536" s="263"/>
      <c r="E536" s="263"/>
      <c r="F536" s="263"/>
      <c r="G536" s="263"/>
      <c r="H536" s="263"/>
      <c r="I536" s="263"/>
      <c r="J536" s="19"/>
      <c r="K536" s="19"/>
      <c r="L536" s="19"/>
      <c r="M536" s="19"/>
      <c r="N536" s="19"/>
    </row>
    <row r="537" spans="1:14" ht="16.5" x14ac:dyDescent="0.25">
      <c r="A537" s="262"/>
      <c r="B537" s="262"/>
      <c r="C537" s="262"/>
      <c r="D537" s="263"/>
      <c r="E537" s="263"/>
      <c r="F537" s="263"/>
      <c r="G537" s="263"/>
      <c r="H537" s="263"/>
      <c r="I537" s="263"/>
      <c r="J537" s="19"/>
      <c r="K537" s="19"/>
      <c r="L537" s="19"/>
      <c r="M537" s="19"/>
      <c r="N537" s="19"/>
    </row>
    <row r="538" spans="1:14" ht="16.5" x14ac:dyDescent="0.25">
      <c r="A538" s="262"/>
      <c r="B538" s="262"/>
      <c r="C538" s="262"/>
      <c r="D538" s="263"/>
      <c r="E538" s="263"/>
      <c r="F538" s="263"/>
      <c r="G538" s="263"/>
      <c r="H538" s="263"/>
      <c r="I538" s="263"/>
      <c r="J538" s="19"/>
      <c r="K538" s="19"/>
      <c r="L538" s="19"/>
      <c r="M538" s="19"/>
      <c r="N538" s="19"/>
    </row>
    <row r="539" spans="1:14" ht="16.5" x14ac:dyDescent="0.25">
      <c r="A539" s="262"/>
      <c r="B539" s="262"/>
      <c r="C539" s="262"/>
      <c r="D539" s="263"/>
      <c r="E539" s="263"/>
      <c r="F539" s="263"/>
      <c r="G539" s="263"/>
      <c r="H539" s="263"/>
      <c r="I539" s="263"/>
      <c r="J539" s="19"/>
      <c r="K539" s="19"/>
      <c r="L539" s="19"/>
      <c r="M539" s="19"/>
      <c r="N539" s="19"/>
    </row>
    <row r="540" spans="1:14" ht="16.5" x14ac:dyDescent="0.25">
      <c r="A540" s="262"/>
      <c r="B540" s="262"/>
      <c r="C540" s="262"/>
      <c r="D540" s="263"/>
      <c r="E540" s="263"/>
      <c r="F540" s="263"/>
      <c r="G540" s="263"/>
      <c r="H540" s="263"/>
      <c r="I540" s="263"/>
      <c r="J540" s="19"/>
      <c r="K540" s="19"/>
      <c r="L540" s="19"/>
      <c r="M540" s="19"/>
      <c r="N540" s="19"/>
    </row>
    <row r="541" spans="1:14" ht="16.5" x14ac:dyDescent="0.25">
      <c r="A541" s="262"/>
      <c r="B541" s="262"/>
      <c r="C541" s="262"/>
      <c r="D541" s="263"/>
      <c r="E541" s="263"/>
      <c r="F541" s="263"/>
      <c r="G541" s="263"/>
      <c r="H541" s="263"/>
      <c r="I541" s="263"/>
      <c r="J541" s="19"/>
      <c r="K541" s="19"/>
      <c r="L541" s="19"/>
      <c r="M541" s="19"/>
      <c r="N541" s="19"/>
    </row>
    <row r="542" spans="1:14" ht="16.5" x14ac:dyDescent="0.25">
      <c r="A542" s="262"/>
      <c r="B542" s="262"/>
      <c r="C542" s="262"/>
      <c r="D542" s="263"/>
      <c r="E542" s="263"/>
      <c r="F542" s="263"/>
      <c r="G542" s="263"/>
      <c r="H542" s="263"/>
      <c r="I542" s="263"/>
      <c r="J542" s="19"/>
      <c r="K542" s="19"/>
      <c r="L542" s="19"/>
      <c r="M542" s="19"/>
      <c r="N542" s="19"/>
    </row>
    <row r="543" spans="1:14" ht="16.5" x14ac:dyDescent="0.25">
      <c r="A543" s="262"/>
      <c r="B543" s="262"/>
      <c r="C543" s="262"/>
      <c r="D543" s="263"/>
      <c r="E543" s="263"/>
      <c r="F543" s="263"/>
      <c r="G543" s="263"/>
      <c r="H543" s="263"/>
      <c r="I543" s="263"/>
      <c r="J543" s="19"/>
      <c r="K543" s="19"/>
      <c r="L543" s="19"/>
      <c r="M543" s="19"/>
      <c r="N543" s="19"/>
    </row>
    <row r="544" spans="1:14" ht="16.5" x14ac:dyDescent="0.25">
      <c r="A544" s="262"/>
      <c r="B544" s="262"/>
      <c r="C544" s="262"/>
      <c r="D544" s="263"/>
      <c r="E544" s="263"/>
      <c r="F544" s="263"/>
      <c r="G544" s="263"/>
      <c r="H544" s="263"/>
      <c r="I544" s="263"/>
      <c r="J544" s="19"/>
      <c r="K544" s="19"/>
      <c r="L544" s="19"/>
      <c r="M544" s="19"/>
      <c r="N544" s="19"/>
    </row>
    <row r="545" spans="1:14" ht="16.5" x14ac:dyDescent="0.25">
      <c r="A545" s="262"/>
      <c r="B545" s="262"/>
      <c r="C545" s="262"/>
      <c r="D545" s="263"/>
      <c r="E545" s="263"/>
      <c r="F545" s="263"/>
      <c r="G545" s="263"/>
      <c r="H545" s="263"/>
      <c r="I545" s="263"/>
      <c r="J545" s="19"/>
      <c r="K545" s="19"/>
      <c r="L545" s="19"/>
      <c r="M545" s="19"/>
      <c r="N545" s="19"/>
    </row>
    <row r="546" spans="1:14" ht="16.5" x14ac:dyDescent="0.25">
      <c r="A546" s="262"/>
      <c r="B546" s="262"/>
      <c r="C546" s="262"/>
      <c r="D546" s="263"/>
      <c r="E546" s="263"/>
      <c r="F546" s="263"/>
      <c r="G546" s="263"/>
      <c r="H546" s="263"/>
      <c r="I546" s="263"/>
      <c r="J546" s="19"/>
      <c r="K546" s="19"/>
      <c r="L546" s="19"/>
      <c r="M546" s="19"/>
      <c r="N546" s="19"/>
    </row>
    <row r="547" spans="1:14" ht="16.5" x14ac:dyDescent="0.25">
      <c r="A547" s="262"/>
      <c r="B547" s="262"/>
      <c r="C547" s="262"/>
      <c r="D547" s="263"/>
      <c r="E547" s="263"/>
      <c r="F547" s="263"/>
      <c r="G547" s="263"/>
      <c r="H547" s="263"/>
      <c r="I547" s="263"/>
      <c r="J547" s="19"/>
      <c r="K547" s="19"/>
      <c r="L547" s="19"/>
      <c r="M547" s="19"/>
      <c r="N547" s="19"/>
    </row>
    <row r="548" spans="1:14" ht="16.5" x14ac:dyDescent="0.25">
      <c r="A548" s="262"/>
      <c r="B548" s="262"/>
      <c r="C548" s="262"/>
      <c r="D548" s="263"/>
      <c r="E548" s="263"/>
      <c r="F548" s="263"/>
      <c r="G548" s="263"/>
      <c r="H548" s="263"/>
      <c r="I548" s="263"/>
      <c r="J548" s="19"/>
      <c r="K548" s="19"/>
      <c r="L548" s="19"/>
      <c r="M548" s="19"/>
      <c r="N548" s="19"/>
    </row>
    <row r="549" spans="1:14" ht="16.5" x14ac:dyDescent="0.25">
      <c r="A549" s="262"/>
      <c r="B549" s="262"/>
      <c r="C549" s="262"/>
      <c r="D549" s="263"/>
      <c r="E549" s="263"/>
      <c r="F549" s="263"/>
      <c r="G549" s="263"/>
      <c r="H549" s="263"/>
      <c r="I549" s="263"/>
      <c r="J549" s="19"/>
      <c r="K549" s="19"/>
      <c r="L549" s="19"/>
      <c r="M549" s="19"/>
      <c r="N549" s="19"/>
    </row>
    <row r="550" spans="1:14" ht="16.5" x14ac:dyDescent="0.25">
      <c r="A550" s="262"/>
      <c r="B550" s="262"/>
      <c r="C550" s="262"/>
      <c r="D550" s="263"/>
      <c r="E550" s="263"/>
      <c r="F550" s="263"/>
      <c r="G550" s="263"/>
      <c r="H550" s="263"/>
      <c r="I550" s="263"/>
      <c r="J550" s="19"/>
      <c r="K550" s="19"/>
      <c r="L550" s="19"/>
      <c r="M550" s="19"/>
      <c r="N550" s="19"/>
    </row>
    <row r="551" spans="1:14" ht="16.5" x14ac:dyDescent="0.25">
      <c r="A551" s="262"/>
      <c r="B551" s="262"/>
      <c r="C551" s="262"/>
      <c r="D551" s="263"/>
      <c r="E551" s="263"/>
      <c r="F551" s="263"/>
      <c r="G551" s="263"/>
      <c r="H551" s="263"/>
      <c r="I551" s="263"/>
      <c r="J551" s="19"/>
      <c r="K551" s="19"/>
      <c r="L551" s="19"/>
      <c r="M551" s="19"/>
      <c r="N551" s="19"/>
    </row>
    <row r="552" spans="1:14" ht="16.5" x14ac:dyDescent="0.25">
      <c r="A552" s="262"/>
      <c r="B552" s="262"/>
      <c r="C552" s="262"/>
      <c r="D552" s="263"/>
      <c r="E552" s="263"/>
      <c r="F552" s="263"/>
      <c r="G552" s="263"/>
      <c r="H552" s="263"/>
      <c r="I552" s="263"/>
      <c r="J552" s="19"/>
      <c r="K552" s="19"/>
      <c r="L552" s="19"/>
      <c r="M552" s="19"/>
      <c r="N552" s="19"/>
    </row>
    <row r="553" spans="1:14" ht="16.5" x14ac:dyDescent="0.25">
      <c r="A553" s="262"/>
      <c r="B553" s="262"/>
      <c r="C553" s="262"/>
      <c r="D553" s="263"/>
      <c r="E553" s="263"/>
      <c r="F553" s="263"/>
      <c r="G553" s="263"/>
      <c r="H553" s="263"/>
      <c r="I553" s="263"/>
      <c r="J553" s="19"/>
      <c r="K553" s="19"/>
      <c r="L553" s="19"/>
      <c r="M553" s="19"/>
      <c r="N553" s="19"/>
    </row>
    <row r="554" spans="1:14" ht="16.5" x14ac:dyDescent="0.25">
      <c r="A554" s="262"/>
      <c r="B554" s="262"/>
      <c r="C554" s="262"/>
      <c r="D554" s="263"/>
      <c r="E554" s="263"/>
      <c r="F554" s="263"/>
      <c r="G554" s="263"/>
      <c r="H554" s="263"/>
      <c r="I554" s="263"/>
      <c r="J554" s="19"/>
      <c r="K554" s="19"/>
      <c r="L554" s="19"/>
      <c r="M554" s="19"/>
      <c r="N554" s="19"/>
    </row>
    <row r="555" spans="1:14" ht="16.5" x14ac:dyDescent="0.25">
      <c r="A555" s="262"/>
      <c r="B555" s="262"/>
      <c r="C555" s="262"/>
      <c r="D555" s="263"/>
      <c r="E555" s="263"/>
      <c r="F555" s="263"/>
      <c r="G555" s="263"/>
      <c r="H555" s="263"/>
      <c r="I555" s="263"/>
      <c r="J555" s="19"/>
      <c r="K555" s="19"/>
      <c r="L555" s="19"/>
      <c r="M555" s="19"/>
      <c r="N555" s="19"/>
    </row>
    <row r="556" spans="1:14" ht="16.5" x14ac:dyDescent="0.25">
      <c r="A556" s="262"/>
      <c r="B556" s="262"/>
      <c r="C556" s="262"/>
      <c r="D556" s="263"/>
      <c r="E556" s="263"/>
      <c r="F556" s="263"/>
      <c r="G556" s="263"/>
      <c r="H556" s="263"/>
      <c r="I556" s="263"/>
      <c r="J556" s="19"/>
      <c r="K556" s="19"/>
      <c r="L556" s="19"/>
      <c r="M556" s="19"/>
      <c r="N556" s="19"/>
    </row>
    <row r="557" spans="1:14" ht="16.5" x14ac:dyDescent="0.25">
      <c r="A557" s="262"/>
      <c r="B557" s="262"/>
      <c r="C557" s="262"/>
      <c r="D557" s="263"/>
      <c r="E557" s="263"/>
      <c r="F557" s="263"/>
      <c r="G557" s="263"/>
      <c r="H557" s="263"/>
      <c r="I557" s="263"/>
      <c r="J557" s="19"/>
      <c r="K557" s="19"/>
      <c r="L557" s="19"/>
      <c r="M557" s="19"/>
      <c r="N557" s="19"/>
    </row>
    <row r="558" spans="1:14" ht="16.5" x14ac:dyDescent="0.25">
      <c r="A558" s="262"/>
      <c r="B558" s="262"/>
      <c r="C558" s="262"/>
      <c r="D558" s="263"/>
      <c r="E558" s="263"/>
      <c r="F558" s="263"/>
      <c r="G558" s="263"/>
      <c r="H558" s="263"/>
      <c r="I558" s="263"/>
      <c r="J558" s="19"/>
      <c r="K558" s="19"/>
      <c r="L558" s="19"/>
      <c r="M558" s="19"/>
      <c r="N558" s="19"/>
    </row>
    <row r="559" spans="1:14" ht="16.5" x14ac:dyDescent="0.25">
      <c r="A559" s="262"/>
      <c r="B559" s="262"/>
      <c r="C559" s="262"/>
      <c r="D559" s="263"/>
      <c r="E559" s="263"/>
      <c r="F559" s="263"/>
      <c r="G559" s="263"/>
      <c r="H559" s="263"/>
      <c r="I559" s="263"/>
      <c r="J559" s="19"/>
      <c r="K559" s="19"/>
      <c r="L559" s="19"/>
      <c r="M559" s="19"/>
      <c r="N559" s="19"/>
    </row>
    <row r="560" spans="1:14" ht="16.5" x14ac:dyDescent="0.25">
      <c r="A560" s="262"/>
      <c r="B560" s="262"/>
      <c r="C560" s="262"/>
      <c r="D560" s="263"/>
      <c r="E560" s="263"/>
      <c r="F560" s="263"/>
      <c r="G560" s="263"/>
      <c r="H560" s="263"/>
      <c r="I560" s="263"/>
      <c r="J560" s="19"/>
      <c r="K560" s="19"/>
      <c r="L560" s="19"/>
      <c r="M560" s="19"/>
      <c r="N560" s="19"/>
    </row>
    <row r="561" spans="1:14" ht="16.5" x14ac:dyDescent="0.25">
      <c r="A561" s="262"/>
      <c r="B561" s="262"/>
      <c r="C561" s="262"/>
      <c r="D561" s="263"/>
      <c r="E561" s="263"/>
      <c r="F561" s="263"/>
      <c r="G561" s="263"/>
      <c r="H561" s="263"/>
      <c r="I561" s="263"/>
      <c r="J561" s="19"/>
      <c r="K561" s="19"/>
      <c r="L561" s="19"/>
      <c r="M561" s="19"/>
      <c r="N561" s="19"/>
    </row>
    <row r="562" spans="1:14" ht="16.5" x14ac:dyDescent="0.25">
      <c r="A562" s="262"/>
      <c r="B562" s="262"/>
      <c r="C562" s="262"/>
      <c r="D562" s="263"/>
      <c r="E562" s="263"/>
      <c r="F562" s="263"/>
      <c r="G562" s="263"/>
      <c r="H562" s="263"/>
      <c r="I562" s="263"/>
      <c r="J562" s="19"/>
      <c r="K562" s="19"/>
      <c r="L562" s="19"/>
      <c r="M562" s="19"/>
      <c r="N562" s="19"/>
    </row>
    <row r="563" spans="1:14" ht="16.5" x14ac:dyDescent="0.25">
      <c r="A563" s="262"/>
      <c r="B563" s="262"/>
      <c r="C563" s="262"/>
      <c r="D563" s="263"/>
      <c r="E563" s="263"/>
      <c r="F563" s="263"/>
      <c r="G563" s="263"/>
      <c r="H563" s="263"/>
      <c r="I563" s="263"/>
      <c r="J563" s="19"/>
      <c r="K563" s="19"/>
      <c r="L563" s="19"/>
      <c r="M563" s="19"/>
      <c r="N563" s="19"/>
    </row>
    <row r="564" spans="1:14" ht="16.5" x14ac:dyDescent="0.25">
      <c r="A564" s="262"/>
      <c r="B564" s="262"/>
      <c r="C564" s="262"/>
      <c r="D564" s="263"/>
      <c r="E564" s="263"/>
      <c r="F564" s="263"/>
      <c r="G564" s="263"/>
      <c r="H564" s="263"/>
      <c r="I564" s="263"/>
      <c r="J564" s="19"/>
      <c r="K564" s="19"/>
      <c r="L564" s="19"/>
      <c r="M564" s="19"/>
      <c r="N564" s="19"/>
    </row>
    <row r="565" spans="1:14" ht="16.5" x14ac:dyDescent="0.25">
      <c r="A565" s="262"/>
      <c r="B565" s="262"/>
      <c r="C565" s="262"/>
      <c r="D565" s="263"/>
      <c r="E565" s="263"/>
      <c r="F565" s="263"/>
      <c r="G565" s="263"/>
      <c r="H565" s="263"/>
      <c r="I565" s="263"/>
      <c r="J565" s="19"/>
      <c r="K565" s="19"/>
      <c r="L565" s="19"/>
      <c r="M565" s="19"/>
      <c r="N565" s="19"/>
    </row>
    <row r="566" spans="1:14" ht="16.5" x14ac:dyDescent="0.25">
      <c r="A566" s="262"/>
      <c r="B566" s="262"/>
      <c r="C566" s="262"/>
      <c r="D566" s="263"/>
      <c r="E566" s="263"/>
      <c r="F566" s="263"/>
      <c r="G566" s="263"/>
      <c r="H566" s="263"/>
      <c r="I566" s="263"/>
      <c r="J566" s="19"/>
      <c r="K566" s="19"/>
      <c r="L566" s="19"/>
      <c r="M566" s="19"/>
      <c r="N566" s="19"/>
    </row>
    <row r="567" spans="1:14" ht="16.5" x14ac:dyDescent="0.25">
      <c r="A567" s="262"/>
      <c r="B567" s="262"/>
      <c r="C567" s="262"/>
      <c r="D567" s="263"/>
      <c r="E567" s="263"/>
      <c r="F567" s="263"/>
      <c r="G567" s="263"/>
      <c r="H567" s="263"/>
      <c r="I567" s="263"/>
      <c r="J567" s="19"/>
      <c r="K567" s="19"/>
      <c r="L567" s="19"/>
      <c r="M567" s="19"/>
      <c r="N567" s="19"/>
    </row>
    <row r="568" spans="1:14" ht="16.5" x14ac:dyDescent="0.25">
      <c r="A568" s="262"/>
      <c r="B568" s="262"/>
      <c r="C568" s="262"/>
      <c r="D568" s="263"/>
      <c r="E568" s="263"/>
      <c r="F568" s="263"/>
      <c r="G568" s="263"/>
      <c r="H568" s="263"/>
      <c r="I568" s="263"/>
      <c r="J568" s="19"/>
      <c r="K568" s="19"/>
      <c r="L568" s="19"/>
      <c r="M568" s="19"/>
      <c r="N568" s="19"/>
    </row>
    <row r="569" spans="1:14" ht="16.5" x14ac:dyDescent="0.25">
      <c r="A569" s="262"/>
      <c r="B569" s="262"/>
      <c r="C569" s="262"/>
      <c r="D569" s="263"/>
      <c r="E569" s="263"/>
      <c r="F569" s="263"/>
      <c r="G569" s="263"/>
      <c r="H569" s="263"/>
      <c r="I569" s="263"/>
      <c r="J569" s="19"/>
      <c r="K569" s="19"/>
      <c r="L569" s="19"/>
      <c r="M569" s="19"/>
      <c r="N569" s="19"/>
    </row>
    <row r="570" spans="1:14" ht="16.5" x14ac:dyDescent="0.25">
      <c r="A570" s="262"/>
      <c r="B570" s="262"/>
      <c r="C570" s="262"/>
      <c r="D570" s="263"/>
      <c r="E570" s="263"/>
      <c r="F570" s="263"/>
      <c r="G570" s="263"/>
      <c r="H570" s="263"/>
      <c r="I570" s="263"/>
      <c r="J570" s="19"/>
      <c r="K570" s="19"/>
      <c r="L570" s="19"/>
      <c r="M570" s="19"/>
      <c r="N570" s="19"/>
    </row>
    <row r="571" spans="1:14" ht="16.5" x14ac:dyDescent="0.25">
      <c r="A571" s="262"/>
      <c r="B571" s="262"/>
      <c r="C571" s="262"/>
      <c r="D571" s="263"/>
      <c r="E571" s="263"/>
      <c r="F571" s="263"/>
      <c r="G571" s="263"/>
      <c r="H571" s="263"/>
      <c r="I571" s="263"/>
      <c r="J571" s="19"/>
      <c r="K571" s="19"/>
      <c r="L571" s="19"/>
      <c r="M571" s="19"/>
      <c r="N571" s="19"/>
    </row>
    <row r="572" spans="1:14" ht="16.5" x14ac:dyDescent="0.25">
      <c r="A572" s="262"/>
      <c r="B572" s="262"/>
      <c r="C572" s="262"/>
      <c r="D572" s="263"/>
      <c r="E572" s="263"/>
      <c r="F572" s="263"/>
      <c r="G572" s="263"/>
      <c r="H572" s="263"/>
      <c r="I572" s="263"/>
      <c r="J572" s="19"/>
      <c r="K572" s="19"/>
      <c r="L572" s="19"/>
      <c r="M572" s="19"/>
      <c r="N572" s="19"/>
    </row>
    <row r="573" spans="1:14" ht="16.5" x14ac:dyDescent="0.25">
      <c r="A573" s="262"/>
      <c r="B573" s="262"/>
      <c r="C573" s="262"/>
      <c r="D573" s="263"/>
      <c r="E573" s="263"/>
      <c r="F573" s="263"/>
      <c r="G573" s="263"/>
      <c r="H573" s="263"/>
      <c r="I573" s="263"/>
      <c r="J573" s="19"/>
      <c r="K573" s="19"/>
      <c r="L573" s="19"/>
      <c r="M573" s="19"/>
      <c r="N573" s="19"/>
    </row>
    <row r="574" spans="1:14" ht="16.5" x14ac:dyDescent="0.25">
      <c r="A574" s="262"/>
      <c r="B574" s="262"/>
      <c r="C574" s="262"/>
      <c r="D574" s="263"/>
      <c r="E574" s="263"/>
      <c r="F574" s="263"/>
      <c r="G574" s="263"/>
      <c r="H574" s="263"/>
      <c r="I574" s="263"/>
      <c r="J574" s="19"/>
      <c r="K574" s="19"/>
      <c r="L574" s="19"/>
      <c r="M574" s="19"/>
      <c r="N574" s="19"/>
    </row>
    <row r="575" spans="1:14" ht="16.5" x14ac:dyDescent="0.25">
      <c r="A575" s="262"/>
      <c r="B575" s="262"/>
      <c r="C575" s="262"/>
      <c r="D575" s="263"/>
      <c r="E575" s="263"/>
      <c r="F575" s="263"/>
      <c r="G575" s="263"/>
      <c r="H575" s="263"/>
      <c r="I575" s="263"/>
      <c r="J575" s="19"/>
      <c r="K575" s="19"/>
      <c r="L575" s="19"/>
      <c r="M575" s="19"/>
      <c r="N575" s="19"/>
    </row>
    <row r="576" spans="1:14" ht="16.5" x14ac:dyDescent="0.25">
      <c r="A576" s="262"/>
      <c r="B576" s="262"/>
      <c r="C576" s="262"/>
      <c r="D576" s="263"/>
      <c r="E576" s="263"/>
      <c r="F576" s="263"/>
      <c r="G576" s="263"/>
      <c r="H576" s="263"/>
      <c r="I576" s="263"/>
      <c r="J576" s="19"/>
      <c r="K576" s="19"/>
      <c r="L576" s="19"/>
      <c r="M576" s="19"/>
      <c r="N576" s="19"/>
    </row>
    <row r="577" spans="1:14" ht="16.5" x14ac:dyDescent="0.25">
      <c r="A577" s="262"/>
      <c r="B577" s="262"/>
      <c r="C577" s="262"/>
      <c r="D577" s="263"/>
      <c r="E577" s="263"/>
      <c r="F577" s="263"/>
      <c r="G577" s="263"/>
      <c r="H577" s="263"/>
      <c r="I577" s="263"/>
      <c r="J577" s="19"/>
      <c r="K577" s="19"/>
      <c r="L577" s="19"/>
      <c r="M577" s="19"/>
      <c r="N577" s="19"/>
    </row>
    <row r="578" spans="1:14" ht="16.5" x14ac:dyDescent="0.25">
      <c r="A578" s="262"/>
      <c r="B578" s="262"/>
      <c r="C578" s="262"/>
      <c r="D578" s="263"/>
      <c r="E578" s="263"/>
      <c r="F578" s="263"/>
      <c r="G578" s="263"/>
      <c r="H578" s="263"/>
      <c r="I578" s="263"/>
      <c r="J578" s="19"/>
      <c r="K578" s="19"/>
      <c r="L578" s="19"/>
      <c r="M578" s="19"/>
      <c r="N578" s="19"/>
    </row>
    <row r="579" spans="1:14" ht="16.5" x14ac:dyDescent="0.25">
      <c r="A579" s="262"/>
      <c r="B579" s="262"/>
      <c r="C579" s="262"/>
      <c r="D579" s="263"/>
      <c r="E579" s="263"/>
      <c r="F579" s="263"/>
      <c r="G579" s="263"/>
      <c r="H579" s="263"/>
      <c r="I579" s="263"/>
      <c r="J579" s="19"/>
      <c r="K579" s="19"/>
      <c r="L579" s="19"/>
      <c r="M579" s="19"/>
      <c r="N579" s="19"/>
    </row>
    <row r="580" spans="1:14" ht="16.5" x14ac:dyDescent="0.25">
      <c r="A580" s="262"/>
      <c r="B580" s="262"/>
      <c r="C580" s="262"/>
      <c r="D580" s="263"/>
      <c r="E580" s="263"/>
      <c r="F580" s="263"/>
      <c r="G580" s="263"/>
      <c r="H580" s="263"/>
      <c r="I580" s="263"/>
      <c r="J580" s="19"/>
      <c r="K580" s="19"/>
      <c r="L580" s="19"/>
      <c r="M580" s="19"/>
      <c r="N580" s="19"/>
    </row>
    <row r="581" spans="1:14" ht="16.5" x14ac:dyDescent="0.25">
      <c r="A581" s="262"/>
      <c r="B581" s="262"/>
      <c r="C581" s="262"/>
      <c r="D581" s="263"/>
      <c r="E581" s="263"/>
      <c r="F581" s="263"/>
      <c r="G581" s="263"/>
      <c r="H581" s="263"/>
      <c r="I581" s="263"/>
      <c r="J581" s="19"/>
      <c r="K581" s="19"/>
      <c r="L581" s="19"/>
      <c r="M581" s="19"/>
      <c r="N581" s="19"/>
    </row>
    <row r="582" spans="1:14" ht="16.5" x14ac:dyDescent="0.25">
      <c r="A582" s="262"/>
      <c r="B582" s="262"/>
      <c r="C582" s="262"/>
      <c r="D582" s="263"/>
      <c r="E582" s="263"/>
      <c r="F582" s="263"/>
      <c r="G582" s="263"/>
      <c r="H582" s="263"/>
      <c r="I582" s="263"/>
      <c r="J582" s="19"/>
      <c r="K582" s="19"/>
      <c r="L582" s="19"/>
      <c r="M582" s="19"/>
      <c r="N582" s="19"/>
    </row>
    <row r="583" spans="1:14" ht="16.5" x14ac:dyDescent="0.25">
      <c r="A583" s="262"/>
      <c r="B583" s="262"/>
      <c r="C583" s="262"/>
      <c r="D583" s="263"/>
      <c r="E583" s="263"/>
      <c r="F583" s="263"/>
      <c r="G583" s="263"/>
      <c r="H583" s="263"/>
      <c r="I583" s="263"/>
      <c r="J583" s="19"/>
      <c r="K583" s="19"/>
      <c r="L583" s="19"/>
      <c r="M583" s="19"/>
      <c r="N583" s="19"/>
    </row>
    <row r="584" spans="1:14" ht="16.5" x14ac:dyDescent="0.25">
      <c r="A584" s="262"/>
      <c r="B584" s="262"/>
      <c r="C584" s="262"/>
      <c r="D584" s="263"/>
      <c r="E584" s="263"/>
      <c r="F584" s="263"/>
      <c r="G584" s="263"/>
      <c r="H584" s="263"/>
      <c r="I584" s="263"/>
      <c r="J584" s="19"/>
      <c r="K584" s="19"/>
      <c r="L584" s="19"/>
      <c r="M584" s="19"/>
      <c r="N584" s="19"/>
    </row>
    <row r="585" spans="1:14" ht="16.5" x14ac:dyDescent="0.25">
      <c r="A585" s="262"/>
      <c r="B585" s="262"/>
      <c r="C585" s="262"/>
      <c r="D585" s="263"/>
      <c r="E585" s="263"/>
      <c r="F585" s="263"/>
      <c r="G585" s="263"/>
      <c r="H585" s="263"/>
      <c r="I585" s="263"/>
      <c r="J585" s="19"/>
      <c r="K585" s="19"/>
      <c r="L585" s="19"/>
      <c r="M585" s="19"/>
      <c r="N585" s="19"/>
    </row>
    <row r="586" spans="1:14" ht="16.5" x14ac:dyDescent="0.25">
      <c r="A586" s="262"/>
      <c r="B586" s="262"/>
      <c r="C586" s="262"/>
      <c r="D586" s="263"/>
      <c r="E586" s="263"/>
      <c r="F586" s="263"/>
      <c r="G586" s="263"/>
      <c r="H586" s="263"/>
      <c r="I586" s="263"/>
      <c r="J586" s="19"/>
      <c r="K586" s="19"/>
      <c r="L586" s="19"/>
      <c r="M586" s="19"/>
      <c r="N586" s="19"/>
    </row>
    <row r="587" spans="1:14" ht="16.5" x14ac:dyDescent="0.25">
      <c r="A587" s="262"/>
      <c r="B587" s="262"/>
      <c r="C587" s="262"/>
      <c r="D587" s="263"/>
      <c r="E587" s="263"/>
      <c r="F587" s="263"/>
      <c r="G587" s="263"/>
      <c r="H587" s="263"/>
      <c r="I587" s="263"/>
      <c r="J587" s="19"/>
      <c r="K587" s="19"/>
      <c r="L587" s="19"/>
      <c r="M587" s="19"/>
      <c r="N587" s="19"/>
    </row>
    <row r="588" spans="1:14" ht="16.5" x14ac:dyDescent="0.25">
      <c r="A588" s="262"/>
      <c r="B588" s="262"/>
      <c r="C588" s="262"/>
      <c r="D588" s="263"/>
      <c r="E588" s="263"/>
      <c r="F588" s="263"/>
      <c r="G588" s="263"/>
      <c r="H588" s="263"/>
      <c r="I588" s="263"/>
      <c r="J588" s="19"/>
      <c r="K588" s="19"/>
      <c r="L588" s="19"/>
      <c r="M588" s="19"/>
      <c r="N588" s="19"/>
    </row>
    <row r="589" spans="1:14" ht="16.5" x14ac:dyDescent="0.25">
      <c r="A589" s="262"/>
      <c r="B589" s="262"/>
      <c r="C589" s="262"/>
      <c r="D589" s="263"/>
      <c r="E589" s="263"/>
      <c r="F589" s="263"/>
      <c r="G589" s="263"/>
      <c r="H589" s="263"/>
      <c r="I589" s="263"/>
      <c r="J589" s="19"/>
      <c r="K589" s="19"/>
      <c r="L589" s="19"/>
      <c r="M589" s="19"/>
      <c r="N589" s="19"/>
    </row>
    <row r="590" spans="1:14" ht="16.5" x14ac:dyDescent="0.25">
      <c r="A590" s="262"/>
      <c r="B590" s="262"/>
      <c r="C590" s="262"/>
      <c r="D590" s="263"/>
      <c r="E590" s="263"/>
      <c r="F590" s="263"/>
      <c r="G590" s="263"/>
      <c r="H590" s="263"/>
      <c r="I590" s="263"/>
      <c r="J590" s="19"/>
      <c r="K590" s="19"/>
      <c r="L590" s="19"/>
      <c r="M590" s="19"/>
      <c r="N590" s="19"/>
    </row>
    <row r="591" spans="1:14" ht="16.5" x14ac:dyDescent="0.25">
      <c r="A591" s="262"/>
      <c r="B591" s="262"/>
      <c r="C591" s="262"/>
      <c r="D591" s="263"/>
      <c r="E591" s="263"/>
      <c r="F591" s="263"/>
      <c r="G591" s="263"/>
      <c r="H591" s="263"/>
      <c r="I591" s="263"/>
      <c r="J591" s="19"/>
      <c r="K591" s="19"/>
      <c r="L591" s="19"/>
      <c r="M591" s="19"/>
      <c r="N591" s="19"/>
    </row>
    <row r="592" spans="1:14" ht="16.5" x14ac:dyDescent="0.25">
      <c r="A592" s="262"/>
      <c r="B592" s="262"/>
      <c r="C592" s="262"/>
      <c r="D592" s="263"/>
      <c r="E592" s="263"/>
      <c r="F592" s="263"/>
      <c r="G592" s="263"/>
      <c r="H592" s="263"/>
      <c r="I592" s="263"/>
      <c r="J592" s="19"/>
      <c r="K592" s="19"/>
      <c r="L592" s="19"/>
      <c r="M592" s="19"/>
      <c r="N592" s="19"/>
    </row>
    <row r="593" spans="1:14" ht="16.5" x14ac:dyDescent="0.25">
      <c r="A593" s="262"/>
      <c r="B593" s="262"/>
      <c r="C593" s="262"/>
      <c r="D593" s="263"/>
      <c r="E593" s="263"/>
      <c r="F593" s="263"/>
      <c r="G593" s="263"/>
      <c r="H593" s="263"/>
      <c r="I593" s="263"/>
      <c r="J593" s="19"/>
      <c r="K593" s="19"/>
      <c r="L593" s="19"/>
      <c r="M593" s="19"/>
      <c r="N593" s="19"/>
    </row>
    <row r="594" spans="1:14" ht="16.5" x14ac:dyDescent="0.25">
      <c r="A594" s="262"/>
      <c r="B594" s="262"/>
      <c r="C594" s="262"/>
      <c r="D594" s="263"/>
      <c r="E594" s="263"/>
      <c r="F594" s="263"/>
      <c r="G594" s="263"/>
      <c r="H594" s="263"/>
      <c r="I594" s="263"/>
      <c r="J594" s="19"/>
      <c r="K594" s="19"/>
      <c r="L594" s="19"/>
      <c r="M594" s="19"/>
      <c r="N594" s="19"/>
    </row>
    <row r="595" spans="1:14" ht="16.5" x14ac:dyDescent="0.25">
      <c r="A595" s="262"/>
      <c r="B595" s="262"/>
      <c r="C595" s="262"/>
      <c r="D595" s="263"/>
      <c r="E595" s="263"/>
      <c r="F595" s="263"/>
      <c r="G595" s="263"/>
      <c r="H595" s="263"/>
      <c r="I595" s="263"/>
      <c r="J595" s="19"/>
      <c r="K595" s="19"/>
      <c r="L595" s="19"/>
      <c r="M595" s="19"/>
      <c r="N595" s="19"/>
    </row>
    <row r="596" spans="1:14" ht="16.5" x14ac:dyDescent="0.25">
      <c r="A596" s="262"/>
      <c r="B596" s="262"/>
      <c r="C596" s="262"/>
      <c r="D596" s="263"/>
      <c r="E596" s="263"/>
      <c r="F596" s="263"/>
      <c r="G596" s="263"/>
      <c r="H596" s="263"/>
      <c r="I596" s="263"/>
      <c r="J596" s="19"/>
      <c r="K596" s="19"/>
      <c r="L596" s="19"/>
      <c r="M596" s="19"/>
      <c r="N596" s="19"/>
    </row>
    <row r="597" spans="1:14" ht="16.5" x14ac:dyDescent="0.25">
      <c r="A597" s="262"/>
      <c r="B597" s="262"/>
      <c r="C597" s="262"/>
      <c r="D597" s="263"/>
      <c r="E597" s="263"/>
      <c r="F597" s="263"/>
      <c r="G597" s="263"/>
      <c r="H597" s="263"/>
      <c r="I597" s="263"/>
      <c r="J597" s="19"/>
      <c r="K597" s="19"/>
      <c r="L597" s="19"/>
      <c r="M597" s="19"/>
      <c r="N597" s="19"/>
    </row>
    <row r="598" spans="1:14" ht="16.5" x14ac:dyDescent="0.25">
      <c r="A598" s="262"/>
      <c r="B598" s="262"/>
      <c r="C598" s="262"/>
      <c r="D598" s="263"/>
      <c r="E598" s="263"/>
      <c r="F598" s="263"/>
      <c r="G598" s="263"/>
      <c r="H598" s="263"/>
      <c r="I598" s="263"/>
      <c r="J598" s="19"/>
      <c r="K598" s="19"/>
      <c r="L598" s="19"/>
      <c r="M598" s="19"/>
      <c r="N598" s="19"/>
    </row>
    <row r="599" spans="1:14" ht="16.5" x14ac:dyDescent="0.25">
      <c r="A599" s="262"/>
      <c r="B599" s="262"/>
      <c r="C599" s="262"/>
      <c r="D599" s="263"/>
      <c r="E599" s="263"/>
      <c r="F599" s="263"/>
      <c r="G599" s="263"/>
      <c r="H599" s="263"/>
      <c r="I599" s="263"/>
      <c r="J599" s="19"/>
      <c r="K599" s="19"/>
      <c r="L599" s="19"/>
      <c r="M599" s="19"/>
      <c r="N599" s="19"/>
    </row>
    <row r="600" spans="1:14" ht="16.5" x14ac:dyDescent="0.25">
      <c r="A600" s="262"/>
      <c r="B600" s="262"/>
      <c r="C600" s="262"/>
      <c r="D600" s="263"/>
      <c r="E600" s="263"/>
      <c r="F600" s="263"/>
      <c r="G600" s="263"/>
      <c r="H600" s="263"/>
      <c r="I600" s="263"/>
      <c r="J600" s="19"/>
      <c r="K600" s="19"/>
      <c r="L600" s="19"/>
      <c r="M600" s="19"/>
      <c r="N600" s="19"/>
    </row>
    <row r="601" spans="1:14" ht="16.5" x14ac:dyDescent="0.25">
      <c r="A601" s="262"/>
      <c r="B601" s="262"/>
      <c r="C601" s="262"/>
      <c r="D601" s="263"/>
      <c r="E601" s="263"/>
      <c r="F601" s="263"/>
      <c r="G601" s="263"/>
      <c r="H601" s="263"/>
      <c r="I601" s="263"/>
      <c r="J601" s="19"/>
      <c r="K601" s="19"/>
      <c r="L601" s="19"/>
      <c r="M601" s="19"/>
      <c r="N601" s="19"/>
    </row>
    <row r="602" spans="1:14" ht="16.5" x14ac:dyDescent="0.25">
      <c r="A602" s="262"/>
      <c r="B602" s="262"/>
      <c r="C602" s="262"/>
      <c r="D602" s="263"/>
      <c r="E602" s="263"/>
      <c r="F602" s="263"/>
      <c r="G602" s="263"/>
      <c r="H602" s="263"/>
      <c r="I602" s="263"/>
      <c r="J602" s="19"/>
      <c r="K602" s="19"/>
      <c r="L602" s="19"/>
      <c r="M602" s="19"/>
      <c r="N602" s="19"/>
    </row>
    <row r="603" spans="1:14" ht="16.5" x14ac:dyDescent="0.25">
      <c r="A603" s="262"/>
      <c r="B603" s="262"/>
      <c r="C603" s="262"/>
      <c r="D603" s="263"/>
      <c r="E603" s="263"/>
      <c r="F603" s="263"/>
      <c r="G603" s="263"/>
      <c r="H603" s="263"/>
      <c r="I603" s="263"/>
      <c r="J603" s="19"/>
      <c r="K603" s="19"/>
      <c r="L603" s="19"/>
      <c r="M603" s="19"/>
      <c r="N603" s="19"/>
    </row>
    <row r="604" spans="1:14" ht="16.5" x14ac:dyDescent="0.25">
      <c r="A604" s="262"/>
      <c r="B604" s="262"/>
      <c r="C604" s="262"/>
      <c r="D604" s="263"/>
      <c r="E604" s="263"/>
      <c r="F604" s="263"/>
      <c r="G604" s="263"/>
      <c r="H604" s="263"/>
      <c r="I604" s="263"/>
      <c r="J604" s="19"/>
      <c r="K604" s="19"/>
      <c r="L604" s="19"/>
      <c r="M604" s="19"/>
      <c r="N604" s="19"/>
    </row>
    <row r="605" spans="1:14" ht="16.5" x14ac:dyDescent="0.25">
      <c r="A605" s="262"/>
      <c r="B605" s="262"/>
      <c r="C605" s="262"/>
      <c r="D605" s="263"/>
      <c r="E605" s="263"/>
      <c r="F605" s="263"/>
      <c r="G605" s="263"/>
      <c r="H605" s="263"/>
      <c r="I605" s="263"/>
      <c r="J605" s="19"/>
      <c r="K605" s="19"/>
      <c r="L605" s="19"/>
      <c r="M605" s="19"/>
      <c r="N605" s="19"/>
    </row>
    <row r="606" spans="1:14" ht="16.5" x14ac:dyDescent="0.25">
      <c r="A606" s="262"/>
      <c r="B606" s="262"/>
      <c r="C606" s="262"/>
      <c r="D606" s="263"/>
      <c r="E606" s="263"/>
      <c r="F606" s="263"/>
      <c r="G606" s="263"/>
      <c r="H606" s="263"/>
      <c r="I606" s="263"/>
      <c r="J606" s="19"/>
      <c r="K606" s="19"/>
      <c r="L606" s="19"/>
      <c r="M606" s="19"/>
      <c r="N606" s="19"/>
    </row>
    <row r="607" spans="1:14" ht="16.5" x14ac:dyDescent="0.25">
      <c r="A607" s="262"/>
      <c r="B607" s="262"/>
      <c r="C607" s="262"/>
      <c r="D607" s="263"/>
      <c r="E607" s="263"/>
      <c r="F607" s="263"/>
      <c r="G607" s="263"/>
      <c r="H607" s="263"/>
      <c r="I607" s="263"/>
      <c r="J607" s="19"/>
      <c r="K607" s="19"/>
      <c r="L607" s="19"/>
      <c r="M607" s="19"/>
      <c r="N607" s="19"/>
    </row>
    <row r="608" spans="1:14" ht="16.5" x14ac:dyDescent="0.25">
      <c r="A608" s="262"/>
      <c r="B608" s="262"/>
      <c r="C608" s="262"/>
      <c r="D608" s="263"/>
      <c r="E608" s="263"/>
      <c r="F608" s="263"/>
      <c r="G608" s="263"/>
      <c r="H608" s="263"/>
      <c r="I608" s="263"/>
      <c r="J608" s="19"/>
      <c r="K608" s="19"/>
      <c r="L608" s="19"/>
      <c r="M608" s="19"/>
      <c r="N608" s="19"/>
    </row>
    <row r="609" spans="1:14" ht="16.5" x14ac:dyDescent="0.25">
      <c r="A609" s="262"/>
      <c r="B609" s="262"/>
      <c r="C609" s="262"/>
      <c r="D609" s="263"/>
      <c r="E609" s="263"/>
      <c r="F609" s="263"/>
      <c r="G609" s="263"/>
      <c r="H609" s="263"/>
      <c r="I609" s="263"/>
      <c r="J609" s="19"/>
      <c r="K609" s="19"/>
      <c r="L609" s="19"/>
      <c r="M609" s="19"/>
      <c r="N609" s="19"/>
    </row>
    <row r="610" spans="1:14" ht="16.5" x14ac:dyDescent="0.25">
      <c r="A610" s="262"/>
      <c r="B610" s="262"/>
      <c r="C610" s="262"/>
      <c r="D610" s="263"/>
      <c r="E610" s="263"/>
      <c r="F610" s="263"/>
      <c r="G610" s="263"/>
      <c r="H610" s="263"/>
      <c r="I610" s="263"/>
      <c r="J610" s="19"/>
      <c r="K610" s="19"/>
      <c r="L610" s="19"/>
      <c r="M610" s="19"/>
      <c r="N610" s="19"/>
    </row>
    <row r="611" spans="1:14" ht="16.5" x14ac:dyDescent="0.25">
      <c r="A611" s="262"/>
      <c r="B611" s="262"/>
      <c r="C611" s="262"/>
      <c r="D611" s="263"/>
      <c r="E611" s="263"/>
      <c r="F611" s="263"/>
      <c r="G611" s="263"/>
      <c r="H611" s="263"/>
      <c r="I611" s="263"/>
      <c r="J611" s="19"/>
      <c r="K611" s="19"/>
      <c r="L611" s="19"/>
      <c r="M611" s="19"/>
      <c r="N611" s="19"/>
    </row>
    <row r="612" spans="1:14" ht="16.5" x14ac:dyDescent="0.25">
      <c r="A612" s="262"/>
      <c r="B612" s="262"/>
      <c r="C612" s="262"/>
      <c r="D612" s="263"/>
      <c r="E612" s="263"/>
      <c r="F612" s="263"/>
      <c r="G612" s="263"/>
      <c r="H612" s="263"/>
      <c r="I612" s="263"/>
      <c r="J612" s="19"/>
      <c r="K612" s="19"/>
      <c r="L612" s="19"/>
      <c r="M612" s="19"/>
      <c r="N612" s="19"/>
    </row>
    <row r="613" spans="1:14" ht="16.5" x14ac:dyDescent="0.25">
      <c r="A613" s="262"/>
      <c r="B613" s="262"/>
      <c r="C613" s="262"/>
      <c r="D613" s="263"/>
      <c r="E613" s="263"/>
      <c r="F613" s="263"/>
      <c r="G613" s="263"/>
      <c r="H613" s="263"/>
      <c r="I613" s="263"/>
      <c r="J613" s="19"/>
      <c r="K613" s="19"/>
      <c r="L613" s="19"/>
      <c r="M613" s="19"/>
      <c r="N613" s="19"/>
    </row>
    <row r="614" spans="1:14" ht="16.5" x14ac:dyDescent="0.25">
      <c r="A614" s="262"/>
      <c r="B614" s="262"/>
      <c r="C614" s="262"/>
      <c r="D614" s="263"/>
      <c r="E614" s="263"/>
      <c r="F614" s="263"/>
      <c r="G614" s="263"/>
      <c r="H614" s="263"/>
      <c r="I614" s="263"/>
      <c r="J614" s="19"/>
      <c r="K614" s="19"/>
      <c r="L614" s="19"/>
      <c r="M614" s="19"/>
      <c r="N614" s="19"/>
    </row>
    <row r="615" spans="1:14" ht="16.5" x14ac:dyDescent="0.25">
      <c r="A615" s="262"/>
      <c r="B615" s="262"/>
      <c r="C615" s="262"/>
      <c r="D615" s="263"/>
      <c r="E615" s="263"/>
      <c r="F615" s="263"/>
      <c r="G615" s="263"/>
      <c r="H615" s="263"/>
      <c r="I615" s="263"/>
      <c r="J615" s="19"/>
      <c r="K615" s="19"/>
      <c r="L615" s="19"/>
      <c r="M615" s="19"/>
      <c r="N615" s="19"/>
    </row>
    <row r="616" spans="1:14" ht="16.5" x14ac:dyDescent="0.25">
      <c r="A616" s="262"/>
      <c r="B616" s="262"/>
      <c r="C616" s="262"/>
      <c r="D616" s="263"/>
      <c r="E616" s="263"/>
      <c r="F616" s="263"/>
      <c r="G616" s="263"/>
      <c r="H616" s="263"/>
      <c r="I616" s="263"/>
      <c r="J616" s="19"/>
      <c r="K616" s="19"/>
      <c r="L616" s="19"/>
      <c r="M616" s="19"/>
      <c r="N616" s="19"/>
    </row>
    <row r="617" spans="1:14" ht="16.5" x14ac:dyDescent="0.25">
      <c r="A617" s="262"/>
      <c r="B617" s="262"/>
      <c r="C617" s="262"/>
      <c r="D617" s="263"/>
      <c r="E617" s="263"/>
      <c r="F617" s="263"/>
      <c r="G617" s="263"/>
      <c r="H617" s="263"/>
      <c r="I617" s="263"/>
      <c r="J617" s="19"/>
      <c r="K617" s="19"/>
      <c r="L617" s="19"/>
      <c r="M617" s="19"/>
      <c r="N617" s="19"/>
    </row>
    <row r="618" spans="1:14" ht="16.5" x14ac:dyDescent="0.25">
      <c r="A618" s="262"/>
      <c r="B618" s="262"/>
      <c r="C618" s="262"/>
      <c r="D618" s="263"/>
      <c r="E618" s="263"/>
      <c r="F618" s="263"/>
      <c r="G618" s="263"/>
      <c r="H618" s="263"/>
      <c r="I618" s="263"/>
      <c r="J618" s="19"/>
      <c r="K618" s="19"/>
      <c r="L618" s="19"/>
      <c r="M618" s="19"/>
      <c r="N618" s="19"/>
    </row>
    <row r="619" spans="1:14" ht="16.5" x14ac:dyDescent="0.25">
      <c r="A619" s="262"/>
      <c r="B619" s="262"/>
      <c r="C619" s="262"/>
      <c r="D619" s="263"/>
      <c r="E619" s="263"/>
      <c r="F619" s="263"/>
      <c r="G619" s="263"/>
      <c r="H619" s="263"/>
      <c r="I619" s="263"/>
      <c r="J619" s="19"/>
      <c r="K619" s="19"/>
      <c r="L619" s="19"/>
      <c r="M619" s="19"/>
      <c r="N619" s="19"/>
    </row>
    <row r="620" spans="1:14" ht="16.5" x14ac:dyDescent="0.25">
      <c r="A620" s="262"/>
      <c r="B620" s="262"/>
      <c r="C620" s="262"/>
      <c r="D620" s="263"/>
      <c r="E620" s="263"/>
      <c r="F620" s="263"/>
      <c r="G620" s="263"/>
      <c r="H620" s="263"/>
      <c r="I620" s="263"/>
      <c r="J620" s="19"/>
      <c r="K620" s="19"/>
      <c r="L620" s="19"/>
      <c r="M620" s="19"/>
      <c r="N620" s="19"/>
    </row>
    <row r="621" spans="1:14" ht="16.5" x14ac:dyDescent="0.25">
      <c r="A621" s="262"/>
      <c r="B621" s="262"/>
      <c r="C621" s="262"/>
      <c r="D621" s="263"/>
      <c r="E621" s="263"/>
      <c r="F621" s="263"/>
      <c r="G621" s="263"/>
      <c r="H621" s="263"/>
      <c r="I621" s="263"/>
      <c r="J621" s="19"/>
      <c r="K621" s="19"/>
      <c r="L621" s="19"/>
      <c r="M621" s="19"/>
      <c r="N621" s="19"/>
    </row>
    <row r="622" spans="1:14" ht="16.5" x14ac:dyDescent="0.25">
      <c r="A622" s="262"/>
      <c r="B622" s="262"/>
      <c r="C622" s="262"/>
      <c r="D622" s="263"/>
      <c r="E622" s="263"/>
      <c r="F622" s="263"/>
      <c r="G622" s="263"/>
      <c r="H622" s="263"/>
      <c r="I622" s="263"/>
      <c r="J622" s="19"/>
      <c r="K622" s="19"/>
      <c r="L622" s="19"/>
      <c r="M622" s="19"/>
      <c r="N622" s="19"/>
    </row>
    <row r="623" spans="1:14" ht="16.5" x14ac:dyDescent="0.25">
      <c r="A623" s="262"/>
      <c r="B623" s="262"/>
      <c r="C623" s="262"/>
      <c r="D623" s="263"/>
      <c r="E623" s="263"/>
      <c r="F623" s="263"/>
      <c r="G623" s="263"/>
      <c r="H623" s="263"/>
      <c r="I623" s="263"/>
      <c r="J623" s="19"/>
      <c r="K623" s="19"/>
      <c r="L623" s="19"/>
      <c r="M623" s="19"/>
      <c r="N623" s="19"/>
    </row>
    <row r="624" spans="1:14" ht="16.5" x14ac:dyDescent="0.25">
      <c r="A624" s="262"/>
      <c r="B624" s="262"/>
      <c r="C624" s="262"/>
      <c r="D624" s="263"/>
      <c r="E624" s="263"/>
      <c r="F624" s="263"/>
      <c r="G624" s="263"/>
      <c r="H624" s="263"/>
      <c r="I624" s="263"/>
      <c r="J624" s="19"/>
      <c r="K624" s="19"/>
      <c r="L624" s="19"/>
      <c r="M624" s="19"/>
      <c r="N624" s="19"/>
    </row>
    <row r="625" spans="1:14" ht="16.5" x14ac:dyDescent="0.25">
      <c r="A625" s="262"/>
      <c r="B625" s="262"/>
      <c r="C625" s="262"/>
      <c r="D625" s="263"/>
      <c r="E625" s="263"/>
      <c r="F625" s="263"/>
      <c r="G625" s="263"/>
      <c r="H625" s="263"/>
      <c r="I625" s="263"/>
      <c r="J625" s="19"/>
      <c r="K625" s="19"/>
      <c r="L625" s="19"/>
      <c r="M625" s="19"/>
      <c r="N625" s="19"/>
    </row>
    <row r="626" spans="1:14" ht="16.5" x14ac:dyDescent="0.25">
      <c r="A626" s="262"/>
      <c r="B626" s="262"/>
      <c r="C626" s="262"/>
      <c r="D626" s="263"/>
      <c r="E626" s="263"/>
      <c r="F626" s="263"/>
      <c r="G626" s="263"/>
      <c r="H626" s="263"/>
      <c r="I626" s="263"/>
      <c r="J626" s="19"/>
      <c r="K626" s="19"/>
      <c r="L626" s="19"/>
      <c r="M626" s="19"/>
      <c r="N626" s="19"/>
    </row>
    <row r="627" spans="1:14" ht="16.5" x14ac:dyDescent="0.25">
      <c r="A627" s="262"/>
      <c r="B627" s="262"/>
      <c r="C627" s="262"/>
      <c r="D627" s="263"/>
      <c r="E627" s="263"/>
      <c r="F627" s="263"/>
      <c r="G627" s="263"/>
      <c r="H627" s="263"/>
      <c r="I627" s="263"/>
      <c r="J627" s="19"/>
      <c r="K627" s="19"/>
      <c r="L627" s="19"/>
      <c r="M627" s="19"/>
      <c r="N627" s="19"/>
    </row>
    <row r="628" spans="1:14" ht="16.5" x14ac:dyDescent="0.25">
      <c r="A628" s="262"/>
      <c r="B628" s="262"/>
      <c r="C628" s="262"/>
      <c r="D628" s="263"/>
      <c r="E628" s="263"/>
      <c r="F628" s="263"/>
      <c r="G628" s="263"/>
      <c r="H628" s="263"/>
      <c r="I628" s="263"/>
      <c r="J628" s="19"/>
      <c r="K628" s="19"/>
      <c r="L628" s="19"/>
      <c r="M628" s="19"/>
      <c r="N628" s="19"/>
    </row>
    <row r="629" spans="1:14" ht="16.5" x14ac:dyDescent="0.25">
      <c r="A629" s="262"/>
      <c r="B629" s="262"/>
      <c r="C629" s="262"/>
      <c r="D629" s="263"/>
      <c r="E629" s="263"/>
      <c r="F629" s="263"/>
      <c r="G629" s="263"/>
      <c r="H629" s="263"/>
      <c r="I629" s="263"/>
      <c r="J629" s="19"/>
      <c r="K629" s="19"/>
      <c r="L629" s="19"/>
      <c r="M629" s="19"/>
      <c r="N629" s="19"/>
    </row>
    <row r="630" spans="1:14" ht="16.5" x14ac:dyDescent="0.25">
      <c r="A630" s="262"/>
      <c r="B630" s="262"/>
      <c r="C630" s="262"/>
      <c r="D630" s="263"/>
      <c r="E630" s="263"/>
      <c r="F630" s="263"/>
      <c r="G630" s="263"/>
      <c r="H630" s="263"/>
      <c r="I630" s="263"/>
      <c r="J630" s="19"/>
      <c r="K630" s="19"/>
      <c r="L630" s="19"/>
      <c r="M630" s="19"/>
      <c r="N630" s="19"/>
    </row>
    <row r="631" spans="1:14" ht="16.5" x14ac:dyDescent="0.25">
      <c r="A631" s="262"/>
      <c r="B631" s="262"/>
      <c r="C631" s="262"/>
      <c r="D631" s="263"/>
      <c r="E631" s="263"/>
      <c r="F631" s="263"/>
      <c r="G631" s="263"/>
      <c r="H631" s="263"/>
      <c r="I631" s="263"/>
      <c r="J631" s="19"/>
      <c r="K631" s="19"/>
      <c r="L631" s="19"/>
      <c r="M631" s="19"/>
      <c r="N631" s="19"/>
    </row>
    <row r="632" spans="1:14" ht="16.5" x14ac:dyDescent="0.25">
      <c r="A632" s="262"/>
      <c r="B632" s="262"/>
      <c r="C632" s="262"/>
      <c r="D632" s="263"/>
      <c r="E632" s="263"/>
      <c r="F632" s="263"/>
      <c r="G632" s="263"/>
      <c r="H632" s="263"/>
      <c r="I632" s="263"/>
      <c r="J632" s="19"/>
      <c r="K632" s="19"/>
      <c r="L632" s="19"/>
      <c r="M632" s="19"/>
      <c r="N632" s="19"/>
    </row>
    <row r="633" spans="1:14" ht="16.5" x14ac:dyDescent="0.25">
      <c r="A633" s="262"/>
      <c r="B633" s="262"/>
      <c r="C633" s="262"/>
      <c r="D633" s="263"/>
      <c r="E633" s="263"/>
      <c r="F633" s="263"/>
      <c r="G633" s="263"/>
      <c r="H633" s="263"/>
      <c r="I633" s="263"/>
      <c r="J633" s="19"/>
      <c r="K633" s="19"/>
      <c r="L633" s="19"/>
      <c r="M633" s="19"/>
      <c r="N633" s="19"/>
    </row>
    <row r="634" spans="1:14" ht="16.5" x14ac:dyDescent="0.25">
      <c r="A634" s="262"/>
      <c r="B634" s="262"/>
      <c r="C634" s="262"/>
      <c r="D634" s="263"/>
      <c r="E634" s="263"/>
      <c r="F634" s="263"/>
      <c r="G634" s="263"/>
      <c r="H634" s="263"/>
      <c r="I634" s="263"/>
      <c r="J634" s="19"/>
      <c r="K634" s="19"/>
      <c r="L634" s="19"/>
      <c r="M634" s="19"/>
      <c r="N634" s="19"/>
    </row>
    <row r="635" spans="1:14" ht="16.5" x14ac:dyDescent="0.25">
      <c r="A635" s="262"/>
      <c r="B635" s="262"/>
      <c r="C635" s="262"/>
      <c r="D635" s="263"/>
      <c r="E635" s="263"/>
      <c r="F635" s="263"/>
      <c r="G635" s="263"/>
      <c r="H635" s="263"/>
      <c r="I635" s="263"/>
      <c r="J635" s="19"/>
      <c r="K635" s="19"/>
      <c r="L635" s="19"/>
      <c r="M635" s="19"/>
      <c r="N635" s="19"/>
    </row>
    <row r="636" spans="1:14" ht="16.5" x14ac:dyDescent="0.25">
      <c r="A636" s="262"/>
      <c r="B636" s="262"/>
      <c r="C636" s="262"/>
      <c r="D636" s="263"/>
      <c r="E636" s="263"/>
      <c r="F636" s="263"/>
      <c r="G636" s="263"/>
      <c r="H636" s="263"/>
      <c r="I636" s="263"/>
      <c r="J636" s="19"/>
      <c r="K636" s="19"/>
      <c r="L636" s="19"/>
      <c r="M636" s="19"/>
      <c r="N636" s="19"/>
    </row>
    <row r="637" spans="1:14" ht="16.5" x14ac:dyDescent="0.25">
      <c r="A637" s="262"/>
      <c r="B637" s="262"/>
      <c r="C637" s="262"/>
      <c r="D637" s="263"/>
      <c r="E637" s="263"/>
      <c r="F637" s="263"/>
      <c r="G637" s="263"/>
      <c r="H637" s="263"/>
      <c r="I637" s="263"/>
      <c r="J637" s="19"/>
      <c r="K637" s="19"/>
      <c r="L637" s="19"/>
      <c r="M637" s="19"/>
      <c r="N637" s="19"/>
    </row>
    <row r="638" spans="1:14" ht="16.5" x14ac:dyDescent="0.25">
      <c r="A638" s="262"/>
      <c r="B638" s="262"/>
      <c r="C638" s="262"/>
      <c r="D638" s="263"/>
      <c r="E638" s="263"/>
      <c r="F638" s="263"/>
      <c r="G638" s="263"/>
      <c r="H638" s="263"/>
      <c r="I638" s="263"/>
      <c r="J638" s="19"/>
      <c r="K638" s="19"/>
      <c r="L638" s="19"/>
      <c r="M638" s="19"/>
      <c r="N638" s="19"/>
    </row>
    <row r="639" spans="1:14" ht="16.5" x14ac:dyDescent="0.25">
      <c r="A639" s="262"/>
      <c r="B639" s="262"/>
      <c r="C639" s="262"/>
      <c r="D639" s="263"/>
      <c r="E639" s="263"/>
      <c r="F639" s="263"/>
      <c r="G639" s="263"/>
      <c r="H639" s="263"/>
      <c r="I639" s="263"/>
      <c r="J639" s="19"/>
      <c r="K639" s="19"/>
      <c r="L639" s="19"/>
      <c r="M639" s="19"/>
      <c r="N639" s="19"/>
    </row>
    <row r="640" spans="1:14" ht="16.5" x14ac:dyDescent="0.25">
      <c r="A640" s="262"/>
      <c r="B640" s="262"/>
      <c r="C640" s="262"/>
      <c r="D640" s="263"/>
      <c r="E640" s="263"/>
      <c r="F640" s="263"/>
      <c r="G640" s="263"/>
      <c r="H640" s="263"/>
      <c r="I640" s="263"/>
      <c r="J640" s="19"/>
      <c r="K640" s="19"/>
      <c r="L640" s="19"/>
      <c r="M640" s="19"/>
      <c r="N640" s="19"/>
    </row>
    <row r="641" spans="1:14" ht="16.5" x14ac:dyDescent="0.25">
      <c r="A641" s="262"/>
      <c r="B641" s="262"/>
      <c r="C641" s="262"/>
      <c r="D641" s="263"/>
      <c r="E641" s="263"/>
      <c r="F641" s="263"/>
      <c r="G641" s="263"/>
      <c r="H641" s="263"/>
      <c r="I641" s="263"/>
      <c r="J641" s="19"/>
      <c r="K641" s="19"/>
      <c r="L641" s="19"/>
      <c r="M641" s="19"/>
      <c r="N641" s="19"/>
    </row>
    <row r="642" spans="1:14" ht="16.5" x14ac:dyDescent="0.25">
      <c r="A642" s="262"/>
      <c r="B642" s="262"/>
      <c r="C642" s="262"/>
      <c r="D642" s="263"/>
      <c r="E642" s="263"/>
      <c r="F642" s="263"/>
      <c r="G642" s="263"/>
      <c r="H642" s="263"/>
      <c r="I642" s="263"/>
      <c r="J642" s="19"/>
      <c r="K642" s="19"/>
      <c r="L642" s="19"/>
      <c r="M642" s="19"/>
      <c r="N642" s="19"/>
    </row>
    <row r="643" spans="1:14" ht="16.5" x14ac:dyDescent="0.25">
      <c r="A643" s="262"/>
      <c r="B643" s="262"/>
      <c r="C643" s="262"/>
      <c r="D643" s="263"/>
      <c r="E643" s="263"/>
      <c r="F643" s="263"/>
      <c r="G643" s="263"/>
      <c r="H643" s="263"/>
      <c r="I643" s="263"/>
      <c r="J643" s="19"/>
      <c r="K643" s="19"/>
      <c r="L643" s="19"/>
      <c r="M643" s="19"/>
      <c r="N643" s="19"/>
    </row>
    <row r="644" spans="1:14" ht="16.5" x14ac:dyDescent="0.25">
      <c r="A644" s="262"/>
      <c r="B644" s="262"/>
      <c r="C644" s="262"/>
      <c r="D644" s="263"/>
      <c r="E644" s="263"/>
      <c r="F644" s="263"/>
      <c r="G644" s="263"/>
      <c r="H644" s="263"/>
      <c r="I644" s="263"/>
      <c r="J644" s="19"/>
      <c r="K644" s="19"/>
      <c r="L644" s="19"/>
      <c r="M644" s="19"/>
      <c r="N644" s="19"/>
    </row>
    <row r="645" spans="1:14" ht="16.5" x14ac:dyDescent="0.25">
      <c r="A645" s="262"/>
      <c r="B645" s="262"/>
      <c r="C645" s="262"/>
      <c r="D645" s="263"/>
      <c r="E645" s="263"/>
      <c r="F645" s="263"/>
      <c r="G645" s="263"/>
      <c r="H645" s="263"/>
      <c r="I645" s="263"/>
      <c r="J645" s="19"/>
      <c r="K645" s="19"/>
      <c r="L645" s="19"/>
      <c r="M645" s="19"/>
      <c r="N645" s="19"/>
    </row>
    <row r="646" spans="1:14" ht="16.5" x14ac:dyDescent="0.25">
      <c r="A646" s="262"/>
      <c r="B646" s="262"/>
      <c r="C646" s="262"/>
      <c r="D646" s="263"/>
      <c r="E646" s="263"/>
      <c r="F646" s="263"/>
      <c r="G646" s="263"/>
      <c r="H646" s="263"/>
      <c r="I646" s="263"/>
      <c r="J646" s="19"/>
      <c r="K646" s="19"/>
      <c r="L646" s="19"/>
      <c r="M646" s="19"/>
      <c r="N646" s="19"/>
    </row>
    <row r="647" spans="1:14" ht="16.5" x14ac:dyDescent="0.25">
      <c r="A647" s="262"/>
      <c r="B647" s="262"/>
      <c r="C647" s="262"/>
      <c r="D647" s="263"/>
      <c r="E647" s="263"/>
      <c r="F647" s="263"/>
      <c r="G647" s="263"/>
      <c r="H647" s="263"/>
      <c r="I647" s="263"/>
      <c r="J647" s="19"/>
      <c r="K647" s="19"/>
      <c r="L647" s="19"/>
      <c r="M647" s="19"/>
      <c r="N647" s="19"/>
    </row>
    <row r="648" spans="1:14" ht="16.5" x14ac:dyDescent="0.25">
      <c r="A648" s="262"/>
      <c r="B648" s="262"/>
      <c r="C648" s="262"/>
      <c r="D648" s="263"/>
      <c r="E648" s="263"/>
      <c r="F648" s="263"/>
      <c r="G648" s="263"/>
      <c r="H648" s="263"/>
      <c r="I648" s="263"/>
      <c r="J648" s="19"/>
      <c r="K648" s="19"/>
      <c r="L648" s="19"/>
      <c r="M648" s="19"/>
      <c r="N648" s="19"/>
    </row>
    <row r="649" spans="1:14" ht="16.5" x14ac:dyDescent="0.25">
      <c r="A649" s="262"/>
      <c r="B649" s="262"/>
      <c r="C649" s="262"/>
      <c r="D649" s="263"/>
      <c r="E649" s="263"/>
      <c r="F649" s="263"/>
      <c r="G649" s="263"/>
      <c r="H649" s="263"/>
      <c r="I649" s="263"/>
      <c r="J649" s="19"/>
      <c r="K649" s="19"/>
      <c r="L649" s="19"/>
      <c r="M649" s="19"/>
      <c r="N649" s="19"/>
    </row>
    <row r="650" spans="1:14" ht="16.5" x14ac:dyDescent="0.25">
      <c r="A650" s="262"/>
      <c r="B650" s="262"/>
      <c r="C650" s="262"/>
      <c r="D650" s="263"/>
      <c r="E650" s="263"/>
      <c r="F650" s="263"/>
      <c r="G650" s="263"/>
      <c r="H650" s="263"/>
      <c r="I650" s="263"/>
      <c r="J650" s="19"/>
      <c r="K650" s="19"/>
      <c r="L650" s="19"/>
      <c r="M650" s="19"/>
      <c r="N650" s="19"/>
    </row>
    <row r="651" spans="1:14" ht="16.5" x14ac:dyDescent="0.25">
      <c r="A651" s="262"/>
      <c r="B651" s="262"/>
      <c r="C651" s="262"/>
      <c r="D651" s="263"/>
      <c r="E651" s="263"/>
      <c r="F651" s="263"/>
      <c r="G651" s="263"/>
      <c r="H651" s="263"/>
      <c r="I651" s="263"/>
      <c r="J651" s="19"/>
      <c r="K651" s="19"/>
      <c r="L651" s="19"/>
      <c r="M651" s="19"/>
      <c r="N651" s="19"/>
    </row>
    <row r="652" spans="1:14" ht="16.5" x14ac:dyDescent="0.25">
      <c r="A652" s="262"/>
      <c r="B652" s="262"/>
      <c r="C652" s="262"/>
      <c r="D652" s="263"/>
      <c r="E652" s="263"/>
      <c r="F652" s="263"/>
      <c r="G652" s="263"/>
      <c r="H652" s="263"/>
      <c r="I652" s="263"/>
      <c r="J652" s="19"/>
      <c r="K652" s="19"/>
      <c r="L652" s="19"/>
      <c r="M652" s="19"/>
      <c r="N652" s="19"/>
    </row>
    <row r="653" spans="1:14" ht="16.5" x14ac:dyDescent="0.25">
      <c r="A653" s="262"/>
      <c r="B653" s="262"/>
      <c r="C653" s="262"/>
      <c r="D653" s="263"/>
      <c r="E653" s="263"/>
      <c r="F653" s="263"/>
      <c r="G653" s="263"/>
      <c r="H653" s="263"/>
      <c r="I653" s="263"/>
      <c r="J653" s="19"/>
      <c r="K653" s="19"/>
      <c r="L653" s="19"/>
      <c r="M653" s="19"/>
      <c r="N653" s="19"/>
    </row>
    <row r="654" spans="1:14" ht="16.5" x14ac:dyDescent="0.25">
      <c r="A654" s="262"/>
      <c r="B654" s="262"/>
      <c r="C654" s="262"/>
      <c r="D654" s="263"/>
      <c r="E654" s="263"/>
      <c r="F654" s="263"/>
      <c r="G654" s="263"/>
      <c r="H654" s="263"/>
      <c r="I654" s="263"/>
      <c r="J654" s="19"/>
      <c r="K654" s="19"/>
      <c r="L654" s="19"/>
      <c r="M654" s="19"/>
      <c r="N654" s="19"/>
    </row>
    <row r="655" spans="1:14" ht="16.5" x14ac:dyDescent="0.25">
      <c r="A655" s="262"/>
      <c r="B655" s="262"/>
      <c r="C655" s="262"/>
      <c r="D655" s="263"/>
      <c r="E655" s="263"/>
      <c r="F655" s="263"/>
      <c r="G655" s="263"/>
      <c r="H655" s="263"/>
      <c r="I655" s="263"/>
      <c r="J655" s="19"/>
      <c r="K655" s="19"/>
      <c r="L655" s="19"/>
      <c r="M655" s="19"/>
      <c r="N655" s="19"/>
    </row>
    <row r="656" spans="1:14" ht="16.5" x14ac:dyDescent="0.25">
      <c r="A656" s="262"/>
      <c r="B656" s="262"/>
      <c r="C656" s="262"/>
      <c r="D656" s="263"/>
      <c r="E656" s="263"/>
      <c r="F656" s="263"/>
      <c r="G656" s="263"/>
      <c r="H656" s="263"/>
      <c r="I656" s="263"/>
      <c r="J656" s="19"/>
      <c r="K656" s="19"/>
      <c r="L656" s="19"/>
      <c r="M656" s="19"/>
      <c r="N656" s="19"/>
    </row>
    <row r="657" spans="1:14" ht="16.5" x14ac:dyDescent="0.25">
      <c r="A657" s="262"/>
      <c r="B657" s="262"/>
      <c r="C657" s="262"/>
      <c r="D657" s="263"/>
      <c r="E657" s="263"/>
      <c r="F657" s="263"/>
      <c r="G657" s="263"/>
      <c r="H657" s="263"/>
      <c r="I657" s="263"/>
      <c r="J657" s="19"/>
      <c r="K657" s="19"/>
      <c r="L657" s="19"/>
      <c r="M657" s="19"/>
      <c r="N657" s="19"/>
    </row>
    <row r="658" spans="1:14" ht="16.5" x14ac:dyDescent="0.25">
      <c r="A658" s="262"/>
      <c r="B658" s="262"/>
      <c r="C658" s="262"/>
      <c r="D658" s="263"/>
      <c r="E658" s="263"/>
      <c r="F658" s="263"/>
      <c r="G658" s="263"/>
      <c r="H658" s="263"/>
      <c r="I658" s="263"/>
      <c r="J658" s="19"/>
      <c r="K658" s="19"/>
      <c r="L658" s="19"/>
      <c r="M658" s="19"/>
      <c r="N658" s="19"/>
    </row>
    <row r="659" spans="1:14" ht="16.5" x14ac:dyDescent="0.25">
      <c r="A659" s="262"/>
      <c r="B659" s="262"/>
      <c r="C659" s="262"/>
      <c r="D659" s="263"/>
      <c r="E659" s="263"/>
      <c r="F659" s="263"/>
      <c r="G659" s="263"/>
      <c r="H659" s="263"/>
      <c r="I659" s="263"/>
      <c r="J659" s="19"/>
      <c r="K659" s="19"/>
      <c r="L659" s="19"/>
      <c r="M659" s="19"/>
      <c r="N659" s="19"/>
    </row>
    <row r="660" spans="1:14" ht="16.5" x14ac:dyDescent="0.25">
      <c r="A660" s="262"/>
      <c r="B660" s="262"/>
      <c r="C660" s="262"/>
      <c r="D660" s="263"/>
      <c r="E660" s="263"/>
      <c r="F660" s="263"/>
      <c r="G660" s="263"/>
      <c r="H660" s="263"/>
      <c r="I660" s="263"/>
      <c r="J660" s="19"/>
      <c r="K660" s="19"/>
      <c r="L660" s="19"/>
      <c r="M660" s="19"/>
      <c r="N660" s="19"/>
    </row>
    <row r="661" spans="1:14" ht="16.5" x14ac:dyDescent="0.25">
      <c r="A661" s="262"/>
      <c r="B661" s="262"/>
      <c r="C661" s="262"/>
      <c r="D661" s="263"/>
      <c r="E661" s="263"/>
      <c r="F661" s="263"/>
      <c r="G661" s="263"/>
      <c r="H661" s="263"/>
      <c r="I661" s="263"/>
      <c r="J661" s="19"/>
      <c r="K661" s="19"/>
      <c r="L661" s="19"/>
      <c r="M661" s="19"/>
      <c r="N661" s="19"/>
    </row>
    <row r="662" spans="1:14" ht="16.5" x14ac:dyDescent="0.25">
      <c r="A662" s="262"/>
      <c r="B662" s="262"/>
      <c r="C662" s="262"/>
      <c r="D662" s="263"/>
      <c r="E662" s="263"/>
      <c r="F662" s="263"/>
      <c r="G662" s="263"/>
      <c r="H662" s="263"/>
      <c r="I662" s="263"/>
      <c r="J662" s="19"/>
      <c r="K662" s="19"/>
      <c r="L662" s="19"/>
      <c r="M662" s="19"/>
      <c r="N662" s="19"/>
    </row>
    <row r="663" spans="1:14" ht="16.5" x14ac:dyDescent="0.25">
      <c r="A663" s="262"/>
      <c r="B663" s="262"/>
      <c r="C663" s="262"/>
      <c r="D663" s="263"/>
      <c r="E663" s="263"/>
      <c r="F663" s="263"/>
      <c r="G663" s="263"/>
      <c r="H663" s="263"/>
      <c r="I663" s="263"/>
      <c r="J663" s="19"/>
      <c r="K663" s="19"/>
      <c r="L663" s="19"/>
      <c r="M663" s="19"/>
      <c r="N663" s="19"/>
    </row>
    <row r="664" spans="1:14" ht="16.5" x14ac:dyDescent="0.25">
      <c r="A664" s="262"/>
      <c r="B664" s="262"/>
      <c r="C664" s="262"/>
      <c r="D664" s="263"/>
      <c r="E664" s="263"/>
      <c r="F664" s="263"/>
      <c r="G664" s="263"/>
      <c r="H664" s="263"/>
      <c r="I664" s="263"/>
      <c r="J664" s="19"/>
      <c r="K664" s="19"/>
      <c r="L664" s="19"/>
      <c r="M664" s="19"/>
      <c r="N664" s="19"/>
    </row>
    <row r="665" spans="1:14" ht="16.5" x14ac:dyDescent="0.25">
      <c r="A665" s="262"/>
      <c r="B665" s="262"/>
      <c r="C665" s="262"/>
      <c r="D665" s="263"/>
      <c r="E665" s="263"/>
      <c r="F665" s="263"/>
      <c r="G665" s="263"/>
      <c r="H665" s="263"/>
      <c r="I665" s="263"/>
      <c r="J665" s="19"/>
      <c r="K665" s="19"/>
      <c r="L665" s="19"/>
      <c r="M665" s="19"/>
      <c r="N665" s="19"/>
    </row>
    <row r="666" spans="1:14" ht="16.5" x14ac:dyDescent="0.25">
      <c r="A666" s="262"/>
      <c r="B666" s="262"/>
      <c r="C666" s="262"/>
      <c r="D666" s="263"/>
      <c r="E666" s="263"/>
      <c r="F666" s="263"/>
      <c r="G666" s="263"/>
      <c r="H666" s="263"/>
      <c r="I666" s="263"/>
      <c r="J666" s="19"/>
      <c r="K666" s="19"/>
      <c r="L666" s="19"/>
      <c r="M666" s="19"/>
      <c r="N666" s="19"/>
    </row>
    <row r="667" spans="1:14" ht="16.5" x14ac:dyDescent="0.25">
      <c r="A667" s="262"/>
      <c r="B667" s="262"/>
      <c r="C667" s="262"/>
      <c r="D667" s="263"/>
      <c r="E667" s="263"/>
      <c r="F667" s="263"/>
      <c r="G667" s="263"/>
      <c r="H667" s="263"/>
      <c r="I667" s="263"/>
      <c r="J667" s="19"/>
      <c r="K667" s="19"/>
      <c r="L667" s="19"/>
      <c r="M667" s="19"/>
      <c r="N667" s="19"/>
    </row>
    <row r="668" spans="1:14" ht="16.5" x14ac:dyDescent="0.25">
      <c r="A668" s="262"/>
      <c r="B668" s="262"/>
      <c r="C668" s="262"/>
      <c r="D668" s="263"/>
      <c r="E668" s="263"/>
      <c r="F668" s="263"/>
      <c r="G668" s="263"/>
      <c r="H668" s="263"/>
      <c r="I668" s="263"/>
      <c r="J668" s="19"/>
      <c r="K668" s="19"/>
      <c r="L668" s="19"/>
      <c r="M668" s="19"/>
      <c r="N668" s="19"/>
    </row>
    <row r="669" spans="1:14" ht="16.5" x14ac:dyDescent="0.25">
      <c r="A669" s="262"/>
      <c r="B669" s="262"/>
      <c r="C669" s="262"/>
      <c r="D669" s="263"/>
      <c r="E669" s="263"/>
      <c r="F669" s="263"/>
      <c r="G669" s="263"/>
      <c r="H669" s="263"/>
      <c r="I669" s="263"/>
      <c r="J669" s="19"/>
      <c r="K669" s="19"/>
      <c r="L669" s="19"/>
      <c r="M669" s="19"/>
      <c r="N669" s="19"/>
    </row>
    <row r="670" spans="1:14" ht="16.5" x14ac:dyDescent="0.25">
      <c r="A670" s="262"/>
      <c r="B670" s="262"/>
      <c r="C670" s="262"/>
      <c r="D670" s="263"/>
      <c r="E670" s="263"/>
      <c r="F670" s="263"/>
      <c r="G670" s="263"/>
      <c r="H670" s="263"/>
      <c r="I670" s="263"/>
      <c r="J670" s="19"/>
      <c r="K670" s="19"/>
      <c r="L670" s="19"/>
      <c r="M670" s="19"/>
      <c r="N670" s="19"/>
    </row>
    <row r="671" spans="1:14" ht="16.5" x14ac:dyDescent="0.25">
      <c r="A671" s="262"/>
      <c r="B671" s="262"/>
      <c r="C671" s="262"/>
      <c r="D671" s="263"/>
      <c r="E671" s="263"/>
      <c r="F671" s="263"/>
      <c r="G671" s="263"/>
      <c r="H671" s="263"/>
      <c r="I671" s="263"/>
      <c r="J671" s="19"/>
      <c r="K671" s="19"/>
      <c r="L671" s="19"/>
      <c r="M671" s="19"/>
      <c r="N671" s="19"/>
    </row>
    <row r="672" spans="1:14" ht="16.5" x14ac:dyDescent="0.25">
      <c r="A672" s="262"/>
      <c r="B672" s="262"/>
      <c r="C672" s="262"/>
      <c r="D672" s="263"/>
      <c r="E672" s="263"/>
      <c r="F672" s="263"/>
      <c r="G672" s="263"/>
      <c r="H672" s="263"/>
      <c r="I672" s="263"/>
      <c r="J672" s="19"/>
      <c r="K672" s="19"/>
      <c r="L672" s="19"/>
      <c r="M672" s="19"/>
      <c r="N672" s="19"/>
    </row>
    <row r="673" spans="1:14" ht="16.5" x14ac:dyDescent="0.25">
      <c r="A673" s="262"/>
      <c r="B673" s="262"/>
      <c r="C673" s="262"/>
      <c r="D673" s="263"/>
      <c r="E673" s="263"/>
      <c r="F673" s="263"/>
      <c r="G673" s="263"/>
      <c r="H673" s="263"/>
      <c r="I673" s="263"/>
      <c r="J673" s="19"/>
      <c r="K673" s="19"/>
      <c r="L673" s="19"/>
      <c r="M673" s="19"/>
      <c r="N673" s="19"/>
    </row>
    <row r="674" spans="1:14" ht="16.5" x14ac:dyDescent="0.25">
      <c r="A674" s="262"/>
      <c r="B674" s="262"/>
      <c r="C674" s="262"/>
      <c r="D674" s="263"/>
      <c r="E674" s="263"/>
      <c r="F674" s="263"/>
      <c r="G674" s="263"/>
      <c r="H674" s="263"/>
      <c r="I674" s="263"/>
      <c r="J674" s="19"/>
      <c r="K674" s="19"/>
      <c r="L674" s="19"/>
      <c r="M674" s="19"/>
      <c r="N674" s="19"/>
    </row>
    <row r="675" spans="1:14" ht="16.5" x14ac:dyDescent="0.25">
      <c r="A675" s="262"/>
      <c r="B675" s="262"/>
      <c r="C675" s="262"/>
      <c r="D675" s="263"/>
      <c r="E675" s="263"/>
      <c r="F675" s="263"/>
      <c r="G675" s="263"/>
      <c r="H675" s="263"/>
      <c r="I675" s="263"/>
      <c r="J675" s="19"/>
      <c r="K675" s="19"/>
      <c r="L675" s="19"/>
      <c r="M675" s="19"/>
      <c r="N675" s="19"/>
    </row>
    <row r="676" spans="1:14" ht="16.5" x14ac:dyDescent="0.25">
      <c r="A676" s="262"/>
      <c r="B676" s="262"/>
      <c r="C676" s="262"/>
      <c r="D676" s="263"/>
      <c r="E676" s="263"/>
      <c r="F676" s="263"/>
      <c r="G676" s="263"/>
      <c r="H676" s="263"/>
      <c r="I676" s="263"/>
      <c r="J676" s="19"/>
      <c r="K676" s="19"/>
      <c r="L676" s="19"/>
      <c r="M676" s="19"/>
      <c r="N676" s="19"/>
    </row>
    <row r="677" spans="1:14" ht="16.5" x14ac:dyDescent="0.25">
      <c r="A677" s="262"/>
      <c r="B677" s="262"/>
      <c r="C677" s="262"/>
      <c r="D677" s="263"/>
      <c r="E677" s="263"/>
      <c r="F677" s="263"/>
      <c r="G677" s="263"/>
      <c r="H677" s="263"/>
      <c r="I677" s="263"/>
      <c r="J677" s="19"/>
      <c r="K677" s="19"/>
      <c r="L677" s="19"/>
      <c r="M677" s="19"/>
      <c r="N677" s="19"/>
    </row>
    <row r="678" spans="1:14" ht="16.5" x14ac:dyDescent="0.25">
      <c r="A678" s="262"/>
      <c r="B678" s="262"/>
      <c r="C678" s="262"/>
      <c r="D678" s="263"/>
      <c r="E678" s="263"/>
      <c r="F678" s="263"/>
      <c r="G678" s="263"/>
      <c r="H678" s="263"/>
      <c r="I678" s="263"/>
      <c r="J678" s="19"/>
      <c r="K678" s="19"/>
      <c r="L678" s="19"/>
      <c r="M678" s="19"/>
      <c r="N678" s="19"/>
    </row>
    <row r="679" spans="1:14" ht="16.5" x14ac:dyDescent="0.25">
      <c r="A679" s="262"/>
      <c r="B679" s="262"/>
      <c r="C679" s="262"/>
      <c r="D679" s="263"/>
      <c r="E679" s="263"/>
      <c r="F679" s="263"/>
      <c r="G679" s="263"/>
      <c r="H679" s="263"/>
      <c r="I679" s="263"/>
      <c r="J679" s="19"/>
      <c r="K679" s="19"/>
      <c r="L679" s="19"/>
      <c r="M679" s="19"/>
      <c r="N679" s="19"/>
    </row>
    <row r="680" spans="1:14" ht="16.5" x14ac:dyDescent="0.25">
      <c r="A680" s="262"/>
      <c r="B680" s="262"/>
      <c r="C680" s="262"/>
      <c r="D680" s="263"/>
      <c r="E680" s="263"/>
      <c r="F680" s="263"/>
      <c r="G680" s="263"/>
      <c r="H680" s="263"/>
      <c r="I680" s="263"/>
      <c r="J680" s="19"/>
      <c r="K680" s="19"/>
      <c r="L680" s="19"/>
      <c r="M680" s="19"/>
      <c r="N680" s="19"/>
    </row>
    <row r="681" spans="1:14" ht="16.5" x14ac:dyDescent="0.25">
      <c r="A681" s="262"/>
      <c r="B681" s="262"/>
      <c r="C681" s="262"/>
      <c r="D681" s="263"/>
      <c r="E681" s="263"/>
      <c r="F681" s="263"/>
      <c r="G681" s="263"/>
      <c r="H681" s="263"/>
      <c r="I681" s="263"/>
      <c r="J681" s="19"/>
      <c r="K681" s="19"/>
      <c r="L681" s="19"/>
      <c r="M681" s="19"/>
      <c r="N681" s="19"/>
    </row>
    <row r="682" spans="1:14" ht="16.5" x14ac:dyDescent="0.25">
      <c r="A682" s="262"/>
      <c r="B682" s="262"/>
      <c r="C682" s="262"/>
      <c r="D682" s="263"/>
      <c r="E682" s="263"/>
      <c r="F682" s="263"/>
      <c r="G682" s="263"/>
      <c r="H682" s="263"/>
      <c r="I682" s="263"/>
      <c r="J682" s="19"/>
      <c r="K682" s="19"/>
      <c r="L682" s="19"/>
      <c r="M682" s="19"/>
      <c r="N682" s="19"/>
    </row>
    <row r="683" spans="1:14" ht="16.5" x14ac:dyDescent="0.25">
      <c r="A683" s="262"/>
      <c r="B683" s="262"/>
      <c r="C683" s="262"/>
      <c r="D683" s="263"/>
      <c r="E683" s="263"/>
      <c r="F683" s="263"/>
      <c r="G683" s="263"/>
      <c r="H683" s="263"/>
      <c r="I683" s="263"/>
      <c r="J683" s="19"/>
      <c r="K683" s="19"/>
      <c r="L683" s="19"/>
      <c r="M683" s="19"/>
      <c r="N683" s="19"/>
    </row>
    <row r="684" spans="1:14" ht="16.5" x14ac:dyDescent="0.25">
      <c r="A684" s="262"/>
      <c r="B684" s="262"/>
      <c r="C684" s="262"/>
      <c r="D684" s="263"/>
      <c r="E684" s="263"/>
      <c r="F684" s="263"/>
      <c r="G684" s="263"/>
      <c r="H684" s="263"/>
      <c r="I684" s="263"/>
      <c r="J684" s="19"/>
      <c r="K684" s="19"/>
      <c r="L684" s="19"/>
      <c r="M684" s="19"/>
      <c r="N684" s="19"/>
    </row>
    <row r="685" spans="1:14" ht="16.5" x14ac:dyDescent="0.25">
      <c r="A685" s="262"/>
      <c r="B685" s="262"/>
      <c r="C685" s="262"/>
      <c r="D685" s="263"/>
      <c r="E685" s="263"/>
      <c r="F685" s="263"/>
      <c r="G685" s="263"/>
      <c r="H685" s="263"/>
      <c r="I685" s="263"/>
      <c r="J685" s="19"/>
      <c r="K685" s="19"/>
      <c r="L685" s="19"/>
      <c r="M685" s="19"/>
      <c r="N685" s="19"/>
    </row>
    <row r="686" spans="1:14" ht="16.5" x14ac:dyDescent="0.25">
      <c r="A686" s="262"/>
      <c r="B686" s="262"/>
      <c r="C686" s="262"/>
      <c r="D686" s="263"/>
      <c r="E686" s="263"/>
      <c r="F686" s="263"/>
      <c r="G686" s="263"/>
      <c r="H686" s="263"/>
      <c r="I686" s="263"/>
      <c r="J686" s="19"/>
      <c r="K686" s="19"/>
      <c r="L686" s="19"/>
      <c r="M686" s="19"/>
      <c r="N686" s="19"/>
    </row>
    <row r="687" spans="1:14" ht="16.5" x14ac:dyDescent="0.25">
      <c r="A687" s="262"/>
      <c r="B687" s="262"/>
      <c r="C687" s="262"/>
      <c r="D687" s="263"/>
      <c r="E687" s="263"/>
      <c r="F687" s="263"/>
      <c r="G687" s="263"/>
      <c r="H687" s="263"/>
      <c r="I687" s="263"/>
      <c r="J687" s="19"/>
      <c r="K687" s="19"/>
      <c r="L687" s="19"/>
      <c r="M687" s="19"/>
      <c r="N687" s="19"/>
    </row>
    <row r="688" spans="1:14" ht="16.5" x14ac:dyDescent="0.25">
      <c r="A688" s="262"/>
      <c r="B688" s="262"/>
      <c r="C688" s="262"/>
      <c r="D688" s="263"/>
      <c r="E688" s="263"/>
      <c r="F688" s="263"/>
      <c r="G688" s="263"/>
      <c r="H688" s="263"/>
      <c r="I688" s="263"/>
      <c r="J688" s="19"/>
      <c r="K688" s="19"/>
      <c r="L688" s="19"/>
      <c r="M688" s="19"/>
      <c r="N688" s="19"/>
    </row>
    <row r="689" spans="1:14" ht="16.5" x14ac:dyDescent="0.25">
      <c r="A689" s="262"/>
      <c r="B689" s="262"/>
      <c r="C689" s="262"/>
      <c r="D689" s="263"/>
      <c r="E689" s="263"/>
      <c r="F689" s="263"/>
      <c r="G689" s="263"/>
      <c r="H689" s="263"/>
      <c r="I689" s="263"/>
      <c r="J689" s="19"/>
      <c r="K689" s="19"/>
      <c r="L689" s="19"/>
      <c r="M689" s="19"/>
      <c r="N689" s="19"/>
    </row>
    <row r="690" spans="1:14" ht="16.5" x14ac:dyDescent="0.25">
      <c r="A690" s="262"/>
      <c r="B690" s="262"/>
      <c r="C690" s="262"/>
      <c r="D690" s="263"/>
      <c r="E690" s="263"/>
      <c r="F690" s="263"/>
      <c r="G690" s="263"/>
      <c r="H690" s="263"/>
      <c r="I690" s="263"/>
      <c r="J690" s="19"/>
      <c r="K690" s="19"/>
      <c r="L690" s="19"/>
      <c r="M690" s="19"/>
      <c r="N690" s="19"/>
    </row>
    <row r="691" spans="1:14" ht="16.5" x14ac:dyDescent="0.25">
      <c r="A691" s="262"/>
      <c r="B691" s="262"/>
      <c r="C691" s="262"/>
      <c r="D691" s="263"/>
      <c r="E691" s="263"/>
      <c r="F691" s="263"/>
      <c r="G691" s="263"/>
      <c r="H691" s="263"/>
      <c r="I691" s="263"/>
      <c r="J691" s="19"/>
      <c r="K691" s="19"/>
      <c r="L691" s="19"/>
      <c r="M691" s="19"/>
      <c r="N691" s="19"/>
    </row>
    <row r="692" spans="1:14" ht="16.5" x14ac:dyDescent="0.25">
      <c r="A692" s="262"/>
      <c r="B692" s="262"/>
      <c r="C692" s="262"/>
      <c r="D692" s="263"/>
      <c r="E692" s="263"/>
      <c r="F692" s="263"/>
      <c r="G692" s="263"/>
      <c r="H692" s="263"/>
      <c r="I692" s="263"/>
      <c r="J692" s="19"/>
      <c r="K692" s="19"/>
      <c r="L692" s="19"/>
      <c r="M692" s="19"/>
      <c r="N692" s="19"/>
    </row>
    <row r="693" spans="1:14" ht="16.5" x14ac:dyDescent="0.25">
      <c r="A693" s="262"/>
      <c r="B693" s="262"/>
      <c r="C693" s="262"/>
      <c r="D693" s="263"/>
      <c r="E693" s="263"/>
      <c r="F693" s="263"/>
      <c r="G693" s="263"/>
      <c r="H693" s="263"/>
      <c r="I693" s="263"/>
      <c r="J693" s="19"/>
      <c r="K693" s="19"/>
      <c r="L693" s="19"/>
      <c r="M693" s="19"/>
      <c r="N693" s="19"/>
    </row>
    <row r="694" spans="1:14" ht="16.5" x14ac:dyDescent="0.25">
      <c r="A694" s="262"/>
      <c r="B694" s="262"/>
      <c r="C694" s="262"/>
      <c r="D694" s="263"/>
      <c r="E694" s="263"/>
      <c r="F694" s="263"/>
      <c r="G694" s="263"/>
      <c r="H694" s="263"/>
      <c r="I694" s="263"/>
      <c r="J694" s="19"/>
      <c r="K694" s="19"/>
      <c r="L694" s="19"/>
      <c r="M694" s="19"/>
      <c r="N694" s="19"/>
    </row>
    <row r="695" spans="1:14" ht="16.5" x14ac:dyDescent="0.25">
      <c r="A695" s="262"/>
      <c r="B695" s="262"/>
      <c r="C695" s="262"/>
      <c r="D695" s="263"/>
      <c r="E695" s="263"/>
      <c r="F695" s="263"/>
      <c r="G695" s="263"/>
      <c r="H695" s="263"/>
      <c r="I695" s="263"/>
      <c r="J695" s="19"/>
      <c r="K695" s="19"/>
      <c r="L695" s="19"/>
      <c r="M695" s="19"/>
      <c r="N695" s="19"/>
    </row>
    <row r="696" spans="1:14" ht="16.5" x14ac:dyDescent="0.25">
      <c r="A696" s="262"/>
      <c r="B696" s="262"/>
      <c r="C696" s="262"/>
      <c r="D696" s="263"/>
      <c r="E696" s="263"/>
      <c r="F696" s="263"/>
      <c r="G696" s="263"/>
      <c r="H696" s="263"/>
      <c r="I696" s="263"/>
      <c r="J696" s="19"/>
      <c r="K696" s="19"/>
      <c r="L696" s="19"/>
      <c r="M696" s="19"/>
      <c r="N696" s="19"/>
    </row>
    <row r="697" spans="1:14" ht="16.5" x14ac:dyDescent="0.25">
      <c r="A697" s="262"/>
      <c r="B697" s="262"/>
      <c r="C697" s="262"/>
      <c r="D697" s="263"/>
      <c r="E697" s="263"/>
      <c r="F697" s="263"/>
      <c r="G697" s="263"/>
      <c r="H697" s="263"/>
      <c r="I697" s="263"/>
      <c r="J697" s="19"/>
      <c r="K697" s="19"/>
      <c r="L697" s="19"/>
      <c r="M697" s="19"/>
      <c r="N697" s="19"/>
    </row>
    <row r="698" spans="1:14" ht="16.5" x14ac:dyDescent="0.25">
      <c r="A698" s="262"/>
      <c r="B698" s="262"/>
      <c r="C698" s="262"/>
      <c r="D698" s="263"/>
      <c r="E698" s="263"/>
      <c r="F698" s="263"/>
      <c r="G698" s="263"/>
      <c r="H698" s="263"/>
      <c r="I698" s="263"/>
      <c r="J698" s="19"/>
      <c r="K698" s="19"/>
      <c r="L698" s="19"/>
      <c r="M698" s="19"/>
      <c r="N698" s="19"/>
    </row>
    <row r="699" spans="1:14" ht="16.5" x14ac:dyDescent="0.25">
      <c r="A699" s="262"/>
      <c r="B699" s="262"/>
      <c r="C699" s="262"/>
      <c r="D699" s="263"/>
      <c r="E699" s="263"/>
      <c r="F699" s="263"/>
      <c r="G699" s="263"/>
      <c r="H699" s="263"/>
      <c r="I699" s="263"/>
      <c r="J699" s="19"/>
      <c r="K699" s="19"/>
      <c r="L699" s="19"/>
      <c r="M699" s="19"/>
      <c r="N699" s="19"/>
    </row>
    <row r="700" spans="1:14" ht="16.5" x14ac:dyDescent="0.25">
      <c r="A700" s="262"/>
      <c r="B700" s="262"/>
      <c r="C700" s="262"/>
      <c r="D700" s="263"/>
      <c r="E700" s="263"/>
      <c r="F700" s="263"/>
      <c r="G700" s="263"/>
      <c r="H700" s="263"/>
      <c r="I700" s="263"/>
      <c r="J700" s="19"/>
      <c r="K700" s="19"/>
      <c r="L700" s="19"/>
      <c r="M700" s="19"/>
      <c r="N700" s="19"/>
    </row>
    <row r="701" spans="1:14" ht="16.5" x14ac:dyDescent="0.25">
      <c r="A701" s="262"/>
      <c r="B701" s="262"/>
      <c r="C701" s="262"/>
      <c r="D701" s="263"/>
      <c r="E701" s="263"/>
      <c r="F701" s="263"/>
      <c r="G701" s="263"/>
      <c r="H701" s="263"/>
      <c r="I701" s="263"/>
      <c r="J701" s="19"/>
      <c r="K701" s="19"/>
      <c r="L701" s="19"/>
      <c r="M701" s="19"/>
      <c r="N701" s="19"/>
    </row>
    <row r="702" spans="1:14" ht="16.5" x14ac:dyDescent="0.25">
      <c r="A702" s="262"/>
      <c r="B702" s="262"/>
      <c r="C702" s="262"/>
      <c r="D702" s="263"/>
      <c r="E702" s="263"/>
      <c r="F702" s="263"/>
      <c r="G702" s="263"/>
      <c r="H702" s="263"/>
      <c r="I702" s="263"/>
      <c r="J702" s="19"/>
      <c r="K702" s="19"/>
      <c r="L702" s="19"/>
      <c r="M702" s="19"/>
      <c r="N702" s="19"/>
    </row>
    <row r="703" spans="1:14" ht="16.5" x14ac:dyDescent="0.25">
      <c r="A703" s="262"/>
      <c r="B703" s="262"/>
      <c r="C703" s="262"/>
      <c r="D703" s="263"/>
      <c r="E703" s="263"/>
      <c r="F703" s="263"/>
      <c r="G703" s="263"/>
      <c r="H703" s="263"/>
      <c r="I703" s="263"/>
      <c r="J703" s="19"/>
      <c r="K703" s="19"/>
      <c r="L703" s="19"/>
      <c r="M703" s="19"/>
      <c r="N703" s="19"/>
    </row>
    <row r="704" spans="1:14" ht="16.5" x14ac:dyDescent="0.25">
      <c r="A704" s="262"/>
      <c r="B704" s="262"/>
      <c r="C704" s="262"/>
      <c r="D704" s="263"/>
      <c r="E704" s="263"/>
      <c r="F704" s="263"/>
      <c r="G704" s="263"/>
      <c r="H704" s="263"/>
      <c r="I704" s="263"/>
      <c r="J704" s="19"/>
      <c r="K704" s="19"/>
      <c r="L704" s="19"/>
      <c r="M704" s="19"/>
      <c r="N704" s="19"/>
    </row>
    <row r="705" spans="1:14" ht="16.5" x14ac:dyDescent="0.25">
      <c r="A705" s="262"/>
      <c r="B705" s="262"/>
      <c r="C705" s="262"/>
      <c r="D705" s="263"/>
      <c r="E705" s="263"/>
      <c r="F705" s="263"/>
      <c r="G705" s="263"/>
      <c r="H705" s="263"/>
      <c r="I705" s="263"/>
      <c r="J705" s="19"/>
      <c r="K705" s="19"/>
      <c r="L705" s="19"/>
      <c r="M705" s="19"/>
      <c r="N705" s="19"/>
    </row>
    <row r="706" spans="1:14" ht="16.5" x14ac:dyDescent="0.25">
      <c r="A706" s="262"/>
      <c r="B706" s="262"/>
      <c r="C706" s="262"/>
      <c r="D706" s="263"/>
      <c r="E706" s="263"/>
      <c r="F706" s="263"/>
      <c r="G706" s="263"/>
      <c r="H706" s="263"/>
      <c r="I706" s="263"/>
      <c r="J706" s="19"/>
      <c r="K706" s="19"/>
      <c r="L706" s="19"/>
      <c r="M706" s="19"/>
      <c r="N706" s="19"/>
    </row>
    <row r="707" spans="1:14" ht="16.5" x14ac:dyDescent="0.25">
      <c r="A707" s="262"/>
      <c r="B707" s="262"/>
      <c r="C707" s="262"/>
      <c r="D707" s="263"/>
      <c r="E707" s="263"/>
      <c r="F707" s="263"/>
      <c r="G707" s="263"/>
      <c r="H707" s="263"/>
      <c r="I707" s="263"/>
      <c r="J707" s="19"/>
      <c r="K707" s="19"/>
      <c r="L707" s="19"/>
      <c r="M707" s="19"/>
      <c r="N707" s="19"/>
    </row>
    <row r="708" spans="1:14" ht="16.5" x14ac:dyDescent="0.25">
      <c r="A708" s="262"/>
      <c r="B708" s="262"/>
      <c r="C708" s="262"/>
      <c r="D708" s="263"/>
      <c r="E708" s="263"/>
      <c r="F708" s="263"/>
      <c r="G708" s="263"/>
      <c r="H708" s="263"/>
      <c r="I708" s="263"/>
      <c r="J708" s="19"/>
      <c r="K708" s="19"/>
      <c r="L708" s="19"/>
      <c r="M708" s="19"/>
      <c r="N708" s="19"/>
    </row>
    <row r="709" spans="1:14" ht="16.5" x14ac:dyDescent="0.25">
      <c r="A709" s="262"/>
      <c r="B709" s="262"/>
      <c r="C709" s="262"/>
      <c r="D709" s="263"/>
      <c r="E709" s="263"/>
      <c r="F709" s="263"/>
      <c r="G709" s="263"/>
      <c r="H709" s="263"/>
      <c r="I709" s="263"/>
      <c r="J709" s="19"/>
      <c r="K709" s="19"/>
      <c r="L709" s="19"/>
      <c r="M709" s="19"/>
      <c r="N709" s="19"/>
    </row>
    <row r="710" spans="1:14" ht="16.5" x14ac:dyDescent="0.25">
      <c r="A710" s="262"/>
      <c r="B710" s="262"/>
      <c r="C710" s="262"/>
      <c r="D710" s="263"/>
      <c r="E710" s="263"/>
      <c r="F710" s="263"/>
      <c r="G710" s="263"/>
      <c r="H710" s="263"/>
      <c r="I710" s="263"/>
      <c r="J710" s="19"/>
      <c r="K710" s="19"/>
      <c r="L710" s="19"/>
      <c r="M710" s="19"/>
      <c r="N710" s="19"/>
    </row>
    <row r="711" spans="1:14" ht="16.5" x14ac:dyDescent="0.25">
      <c r="A711" s="262"/>
      <c r="B711" s="262"/>
      <c r="C711" s="262"/>
      <c r="D711" s="263"/>
      <c r="E711" s="263"/>
      <c r="F711" s="263"/>
      <c r="G711" s="263"/>
      <c r="H711" s="263"/>
      <c r="I711" s="263"/>
      <c r="J711" s="19"/>
      <c r="K711" s="19"/>
      <c r="L711" s="19"/>
      <c r="M711" s="19"/>
      <c r="N711" s="19"/>
    </row>
    <row r="712" spans="1:14" ht="16.5" x14ac:dyDescent="0.25">
      <c r="A712" s="262"/>
      <c r="B712" s="262"/>
      <c r="C712" s="262"/>
      <c r="D712" s="263"/>
      <c r="E712" s="263"/>
      <c r="F712" s="263"/>
      <c r="G712" s="263"/>
      <c r="H712" s="263"/>
      <c r="I712" s="263"/>
      <c r="J712" s="19"/>
      <c r="K712" s="19"/>
      <c r="L712" s="19"/>
      <c r="M712" s="19"/>
      <c r="N712" s="19"/>
    </row>
    <row r="713" spans="1:14" ht="16.5" x14ac:dyDescent="0.25">
      <c r="A713" s="262"/>
      <c r="B713" s="262"/>
      <c r="C713" s="262"/>
      <c r="D713" s="263"/>
      <c r="E713" s="263"/>
      <c r="F713" s="263"/>
      <c r="G713" s="263"/>
      <c r="H713" s="263"/>
      <c r="I713" s="263"/>
      <c r="J713" s="19"/>
      <c r="K713" s="19"/>
      <c r="L713" s="19"/>
      <c r="M713" s="19"/>
      <c r="N713" s="19"/>
    </row>
    <row r="714" spans="1:14" ht="16.5" x14ac:dyDescent="0.25">
      <c r="A714" s="262"/>
      <c r="B714" s="262"/>
      <c r="C714" s="262"/>
      <c r="D714" s="263"/>
      <c r="E714" s="263"/>
      <c r="F714" s="263"/>
      <c r="G714" s="263"/>
      <c r="H714" s="263"/>
      <c r="I714" s="263"/>
      <c r="J714" s="19"/>
      <c r="K714" s="19"/>
      <c r="L714" s="19"/>
      <c r="M714" s="19"/>
      <c r="N714" s="19"/>
    </row>
    <row r="715" spans="1:14" ht="16.5" x14ac:dyDescent="0.25">
      <c r="A715" s="262"/>
      <c r="B715" s="262"/>
      <c r="C715" s="262"/>
      <c r="D715" s="263"/>
      <c r="E715" s="263"/>
      <c r="F715" s="263"/>
      <c r="G715" s="263"/>
      <c r="H715" s="263"/>
      <c r="I715" s="263"/>
      <c r="J715" s="19"/>
      <c r="K715" s="19"/>
      <c r="L715" s="19"/>
      <c r="M715" s="19"/>
      <c r="N715" s="19"/>
    </row>
    <row r="716" spans="1:14" ht="16.5" x14ac:dyDescent="0.25">
      <c r="A716" s="262"/>
      <c r="B716" s="262"/>
      <c r="C716" s="262"/>
      <c r="D716" s="263"/>
      <c r="E716" s="263"/>
      <c r="F716" s="263"/>
      <c r="G716" s="263"/>
      <c r="H716" s="263"/>
      <c r="I716" s="263"/>
      <c r="J716" s="19"/>
      <c r="K716" s="19"/>
      <c r="L716" s="19"/>
      <c r="M716" s="19"/>
      <c r="N716" s="19"/>
    </row>
    <row r="717" spans="1:14" ht="16.5" x14ac:dyDescent="0.25">
      <c r="A717" s="262"/>
      <c r="B717" s="262"/>
      <c r="C717" s="262"/>
      <c r="D717" s="263"/>
      <c r="E717" s="263"/>
      <c r="F717" s="263"/>
      <c r="G717" s="263"/>
      <c r="H717" s="263"/>
      <c r="I717" s="263"/>
      <c r="J717" s="19"/>
      <c r="K717" s="19"/>
      <c r="L717" s="19"/>
      <c r="M717" s="19"/>
      <c r="N717" s="19"/>
    </row>
    <row r="718" spans="1:14" ht="16.5" x14ac:dyDescent="0.25">
      <c r="A718" s="262"/>
      <c r="B718" s="262"/>
      <c r="C718" s="262"/>
      <c r="D718" s="263"/>
      <c r="E718" s="263"/>
      <c r="F718" s="263"/>
      <c r="G718" s="263"/>
      <c r="H718" s="263"/>
      <c r="I718" s="263"/>
      <c r="J718" s="19"/>
      <c r="K718" s="19"/>
      <c r="L718" s="19"/>
      <c r="M718" s="19"/>
      <c r="N718" s="19"/>
    </row>
    <row r="719" spans="1:14" ht="16.5" x14ac:dyDescent="0.25">
      <c r="A719" s="262"/>
      <c r="B719" s="262"/>
      <c r="C719" s="262"/>
      <c r="D719" s="263"/>
      <c r="E719" s="263"/>
      <c r="F719" s="263"/>
      <c r="G719" s="263"/>
      <c r="H719" s="263"/>
      <c r="I719" s="263"/>
      <c r="J719" s="19"/>
      <c r="K719" s="19"/>
      <c r="L719" s="19"/>
      <c r="M719" s="19"/>
      <c r="N719" s="19"/>
    </row>
    <row r="720" spans="1:14" ht="16.5" x14ac:dyDescent="0.25">
      <c r="A720" s="262"/>
      <c r="B720" s="262"/>
      <c r="C720" s="262"/>
      <c r="D720" s="263"/>
      <c r="E720" s="263"/>
      <c r="F720" s="263"/>
      <c r="G720" s="263"/>
      <c r="H720" s="263"/>
      <c r="I720" s="263"/>
      <c r="J720" s="19"/>
      <c r="K720" s="19"/>
      <c r="L720" s="19"/>
      <c r="M720" s="19"/>
      <c r="N720" s="19"/>
    </row>
    <row r="721" spans="1:14" ht="16.5" x14ac:dyDescent="0.25">
      <c r="A721" s="262"/>
      <c r="B721" s="262"/>
      <c r="C721" s="262"/>
      <c r="D721" s="263"/>
      <c r="E721" s="263"/>
      <c r="F721" s="263"/>
      <c r="G721" s="263"/>
      <c r="H721" s="263"/>
      <c r="I721" s="263"/>
      <c r="J721" s="19"/>
      <c r="K721" s="19"/>
      <c r="L721" s="19"/>
      <c r="M721" s="19"/>
      <c r="N721" s="19"/>
    </row>
    <row r="722" spans="1:14" ht="16.5" x14ac:dyDescent="0.25">
      <c r="A722" s="262"/>
      <c r="B722" s="262"/>
      <c r="C722" s="262"/>
      <c r="D722" s="263"/>
      <c r="E722" s="263"/>
      <c r="F722" s="263"/>
      <c r="G722" s="263"/>
      <c r="H722" s="263"/>
      <c r="I722" s="263"/>
      <c r="J722" s="19"/>
      <c r="K722" s="19"/>
      <c r="L722" s="19"/>
      <c r="M722" s="19"/>
      <c r="N722" s="19"/>
    </row>
    <row r="723" spans="1:14" ht="16.5" x14ac:dyDescent="0.25">
      <c r="A723" s="262"/>
      <c r="B723" s="262"/>
      <c r="C723" s="262"/>
      <c r="D723" s="263"/>
      <c r="E723" s="263"/>
      <c r="F723" s="263"/>
      <c r="G723" s="263"/>
      <c r="H723" s="263"/>
      <c r="I723" s="263"/>
      <c r="J723" s="19"/>
      <c r="K723" s="19"/>
      <c r="L723" s="19"/>
      <c r="M723" s="19"/>
      <c r="N723" s="19"/>
    </row>
    <row r="724" spans="1:14" ht="16.5" x14ac:dyDescent="0.25">
      <c r="A724" s="262"/>
      <c r="B724" s="262"/>
      <c r="C724" s="262"/>
      <c r="D724" s="263"/>
      <c r="E724" s="263"/>
      <c r="F724" s="263"/>
      <c r="G724" s="263"/>
      <c r="H724" s="263"/>
      <c r="I724" s="263"/>
      <c r="J724" s="19"/>
      <c r="K724" s="19"/>
      <c r="L724" s="19"/>
      <c r="M724" s="19"/>
      <c r="N724" s="19"/>
    </row>
    <row r="725" spans="1:14" ht="16.5" x14ac:dyDescent="0.25">
      <c r="A725" s="262"/>
      <c r="B725" s="262"/>
      <c r="C725" s="262"/>
      <c r="D725" s="263"/>
      <c r="E725" s="263"/>
      <c r="F725" s="263"/>
      <c r="G725" s="263"/>
      <c r="H725" s="263"/>
      <c r="I725" s="263"/>
      <c r="J725" s="19"/>
      <c r="K725" s="19"/>
      <c r="L725" s="19"/>
      <c r="M725" s="19"/>
      <c r="N725" s="19"/>
    </row>
    <row r="726" spans="1:14" ht="16.5" x14ac:dyDescent="0.25">
      <c r="A726" s="262"/>
      <c r="B726" s="262"/>
      <c r="C726" s="262"/>
      <c r="D726" s="263"/>
      <c r="E726" s="263"/>
      <c r="F726" s="263"/>
      <c r="G726" s="263"/>
      <c r="H726" s="263"/>
      <c r="I726" s="263"/>
      <c r="J726" s="19"/>
      <c r="K726" s="19"/>
      <c r="L726" s="19"/>
      <c r="M726" s="19"/>
      <c r="N726" s="19"/>
    </row>
    <row r="727" spans="1:14" ht="16.5" x14ac:dyDescent="0.25">
      <c r="A727" s="262"/>
      <c r="B727" s="262"/>
      <c r="C727" s="262"/>
      <c r="D727" s="263"/>
      <c r="E727" s="263"/>
      <c r="F727" s="263"/>
      <c r="G727" s="263"/>
      <c r="H727" s="263"/>
      <c r="I727" s="263"/>
      <c r="J727" s="19"/>
      <c r="K727" s="19"/>
      <c r="L727" s="19"/>
      <c r="M727" s="19"/>
      <c r="N727" s="19"/>
    </row>
    <row r="728" spans="1:14" ht="16.5" x14ac:dyDescent="0.25">
      <c r="A728" s="262"/>
      <c r="B728" s="262"/>
      <c r="C728" s="262"/>
      <c r="D728" s="263"/>
      <c r="E728" s="263"/>
      <c r="F728" s="263"/>
      <c r="G728" s="263"/>
      <c r="H728" s="263"/>
      <c r="I728" s="263"/>
      <c r="J728" s="19"/>
      <c r="K728" s="19"/>
      <c r="L728" s="19"/>
      <c r="M728" s="19"/>
      <c r="N728" s="19"/>
    </row>
    <row r="729" spans="1:14" ht="16.5" x14ac:dyDescent="0.25">
      <c r="A729" s="262"/>
      <c r="B729" s="262"/>
      <c r="C729" s="262"/>
      <c r="D729" s="263"/>
      <c r="E729" s="263"/>
      <c r="F729" s="263"/>
      <c r="G729" s="263"/>
      <c r="H729" s="263"/>
      <c r="I729" s="263"/>
      <c r="J729" s="19"/>
      <c r="K729" s="19"/>
      <c r="L729" s="19"/>
      <c r="M729" s="19"/>
      <c r="N729" s="19"/>
    </row>
    <row r="730" spans="1:14" ht="16.5" x14ac:dyDescent="0.25">
      <c r="A730" s="262"/>
      <c r="B730" s="262"/>
      <c r="C730" s="262"/>
      <c r="D730" s="263"/>
      <c r="E730" s="263"/>
      <c r="F730" s="263"/>
      <c r="G730" s="263"/>
      <c r="H730" s="263"/>
      <c r="I730" s="263"/>
      <c r="J730" s="19"/>
      <c r="K730" s="19"/>
      <c r="L730" s="19"/>
      <c r="M730" s="19"/>
      <c r="N730" s="19"/>
    </row>
    <row r="731" spans="1:14" ht="16.5" x14ac:dyDescent="0.25">
      <c r="A731" s="262"/>
      <c r="B731" s="262"/>
      <c r="C731" s="262"/>
      <c r="D731" s="263"/>
      <c r="E731" s="263"/>
      <c r="F731" s="263"/>
      <c r="G731" s="263"/>
      <c r="H731" s="263"/>
      <c r="I731" s="263"/>
      <c r="J731" s="19"/>
      <c r="K731" s="19"/>
      <c r="L731" s="19"/>
      <c r="M731" s="19"/>
      <c r="N731" s="19"/>
    </row>
    <row r="732" spans="1:14" ht="16.5" x14ac:dyDescent="0.25">
      <c r="A732" s="262"/>
      <c r="B732" s="262"/>
      <c r="C732" s="262"/>
      <c r="D732" s="263"/>
      <c r="E732" s="263"/>
      <c r="F732" s="263"/>
      <c r="G732" s="263"/>
      <c r="H732" s="263"/>
      <c r="I732" s="263"/>
      <c r="J732" s="19"/>
      <c r="K732" s="19"/>
      <c r="L732" s="19"/>
      <c r="M732" s="19"/>
      <c r="N732" s="19"/>
    </row>
    <row r="733" spans="1:14" ht="16.5" x14ac:dyDescent="0.25">
      <c r="A733" s="262"/>
      <c r="B733" s="262"/>
      <c r="C733" s="262"/>
      <c r="D733" s="263"/>
      <c r="E733" s="263"/>
      <c r="F733" s="263"/>
      <c r="G733" s="263"/>
      <c r="H733" s="263"/>
      <c r="I733" s="263"/>
      <c r="J733" s="19"/>
      <c r="K733" s="19"/>
      <c r="L733" s="19"/>
      <c r="M733" s="19"/>
      <c r="N733" s="19"/>
    </row>
    <row r="734" spans="1:14" ht="16.5" x14ac:dyDescent="0.25">
      <c r="A734" s="262"/>
      <c r="B734" s="262"/>
      <c r="C734" s="262"/>
      <c r="D734" s="263"/>
      <c r="E734" s="263"/>
      <c r="F734" s="263"/>
      <c r="G734" s="263"/>
      <c r="H734" s="263"/>
      <c r="I734" s="263"/>
      <c r="J734" s="19"/>
      <c r="K734" s="19"/>
      <c r="L734" s="19"/>
      <c r="M734" s="19"/>
      <c r="N734" s="19"/>
    </row>
    <row r="735" spans="1:14" ht="16.5" x14ac:dyDescent="0.25">
      <c r="A735" s="262"/>
      <c r="B735" s="262"/>
      <c r="C735" s="262"/>
      <c r="D735" s="263"/>
      <c r="E735" s="263"/>
      <c r="F735" s="263"/>
      <c r="G735" s="263"/>
      <c r="H735" s="263"/>
      <c r="I735" s="263"/>
      <c r="J735" s="19"/>
      <c r="K735" s="19"/>
      <c r="L735" s="19"/>
      <c r="M735" s="19"/>
      <c r="N735" s="19"/>
    </row>
    <row r="736" spans="1:14" ht="16.5" x14ac:dyDescent="0.25">
      <c r="A736" s="262"/>
      <c r="B736" s="262"/>
      <c r="C736" s="262"/>
      <c r="D736" s="263"/>
      <c r="E736" s="263"/>
      <c r="F736" s="263"/>
      <c r="G736" s="263"/>
      <c r="H736" s="263"/>
      <c r="I736" s="263"/>
      <c r="J736" s="19"/>
      <c r="K736" s="19"/>
      <c r="L736" s="19"/>
      <c r="M736" s="19"/>
      <c r="N736" s="19"/>
    </row>
    <row r="737" spans="1:14" ht="16.5" x14ac:dyDescent="0.25">
      <c r="A737" s="262"/>
      <c r="B737" s="262"/>
      <c r="C737" s="262"/>
      <c r="D737" s="263"/>
      <c r="E737" s="263"/>
      <c r="F737" s="263"/>
      <c r="G737" s="263"/>
      <c r="H737" s="263"/>
      <c r="I737" s="263"/>
      <c r="J737" s="19"/>
      <c r="K737" s="19"/>
      <c r="L737" s="19"/>
      <c r="M737" s="19"/>
      <c r="N737" s="19"/>
    </row>
    <row r="738" spans="1:14" ht="16.5" x14ac:dyDescent="0.25">
      <c r="A738" s="262"/>
      <c r="B738" s="262"/>
      <c r="C738" s="262"/>
      <c r="D738" s="263"/>
      <c r="E738" s="263"/>
      <c r="F738" s="263"/>
      <c r="G738" s="263"/>
      <c r="H738" s="263"/>
      <c r="I738" s="263"/>
      <c r="J738" s="19"/>
      <c r="K738" s="19"/>
      <c r="L738" s="19"/>
      <c r="M738" s="19"/>
      <c r="N738" s="19"/>
    </row>
    <row r="739" spans="1:14" ht="16.5" x14ac:dyDescent="0.25">
      <c r="A739" s="262"/>
      <c r="B739" s="262"/>
      <c r="C739" s="262"/>
      <c r="D739" s="263"/>
      <c r="E739" s="263"/>
      <c r="F739" s="263"/>
      <c r="G739" s="263"/>
      <c r="H739" s="263"/>
      <c r="I739" s="263"/>
      <c r="J739" s="19"/>
      <c r="K739" s="19"/>
      <c r="L739" s="19"/>
      <c r="M739" s="19"/>
      <c r="N739" s="19"/>
    </row>
    <row r="740" spans="1:14" ht="16.5" x14ac:dyDescent="0.25">
      <c r="A740" s="262"/>
      <c r="B740" s="262"/>
      <c r="C740" s="262"/>
      <c r="D740" s="263"/>
      <c r="E740" s="263"/>
      <c r="F740" s="263"/>
      <c r="G740" s="263"/>
      <c r="H740" s="263"/>
      <c r="I740" s="263"/>
      <c r="J740" s="19"/>
      <c r="K740" s="19"/>
      <c r="L740" s="19"/>
      <c r="M740" s="19"/>
      <c r="N740" s="19"/>
    </row>
    <row r="741" spans="1:14" ht="16.5" x14ac:dyDescent="0.25">
      <c r="A741" s="262"/>
      <c r="B741" s="262"/>
      <c r="C741" s="262"/>
      <c r="D741" s="263"/>
      <c r="E741" s="263"/>
      <c r="F741" s="263"/>
      <c r="G741" s="263"/>
      <c r="H741" s="263"/>
      <c r="I741" s="263"/>
      <c r="J741" s="19"/>
      <c r="K741" s="19"/>
      <c r="L741" s="19"/>
      <c r="M741" s="19"/>
      <c r="N741" s="19"/>
    </row>
    <row r="742" spans="1:14" ht="16.5" x14ac:dyDescent="0.25">
      <c r="A742" s="262"/>
      <c r="B742" s="262"/>
      <c r="C742" s="262"/>
      <c r="D742" s="263"/>
      <c r="E742" s="263"/>
      <c r="F742" s="263"/>
      <c r="G742" s="263"/>
      <c r="H742" s="263"/>
      <c r="I742" s="263"/>
      <c r="J742" s="19"/>
      <c r="K742" s="19"/>
      <c r="L742" s="19"/>
      <c r="M742" s="19"/>
      <c r="N742" s="19"/>
    </row>
    <row r="743" spans="1:14" ht="16.5" x14ac:dyDescent="0.25">
      <c r="A743" s="262"/>
      <c r="B743" s="262"/>
      <c r="C743" s="262"/>
      <c r="D743" s="263"/>
      <c r="E743" s="263"/>
      <c r="F743" s="263"/>
      <c r="G743" s="263"/>
      <c r="H743" s="263"/>
      <c r="I743" s="263"/>
      <c r="J743" s="19"/>
      <c r="K743" s="19"/>
      <c r="L743" s="19"/>
      <c r="M743" s="19"/>
      <c r="N743" s="19"/>
    </row>
    <row r="744" spans="1:14" ht="16.5" x14ac:dyDescent="0.25">
      <c r="A744" s="262"/>
      <c r="B744" s="262"/>
      <c r="C744" s="262"/>
      <c r="D744" s="263"/>
      <c r="E744" s="263"/>
      <c r="F744" s="263"/>
      <c r="G744" s="263"/>
      <c r="H744" s="263"/>
      <c r="I744" s="263"/>
      <c r="J744" s="19"/>
      <c r="K744" s="19"/>
      <c r="L744" s="19"/>
      <c r="M744" s="19"/>
      <c r="N744" s="19"/>
    </row>
    <row r="745" spans="1:14" ht="16.5" x14ac:dyDescent="0.25">
      <c r="A745" s="262"/>
      <c r="B745" s="262"/>
      <c r="C745" s="262"/>
      <c r="D745" s="263"/>
      <c r="E745" s="263"/>
      <c r="F745" s="263"/>
      <c r="G745" s="263"/>
      <c r="H745" s="263"/>
      <c r="I745" s="263"/>
      <c r="J745" s="19"/>
      <c r="K745" s="19"/>
      <c r="L745" s="19"/>
      <c r="M745" s="19"/>
      <c r="N745" s="19"/>
    </row>
    <row r="746" spans="1:14" ht="16.5" x14ac:dyDescent="0.25">
      <c r="A746" s="262"/>
      <c r="B746" s="262"/>
      <c r="C746" s="262"/>
      <c r="D746" s="263"/>
      <c r="E746" s="263"/>
      <c r="F746" s="263"/>
      <c r="G746" s="263"/>
      <c r="H746" s="263"/>
      <c r="I746" s="263"/>
      <c r="J746" s="19"/>
      <c r="K746" s="19"/>
      <c r="L746" s="19"/>
      <c r="M746" s="19"/>
      <c r="N746" s="19"/>
    </row>
    <row r="747" spans="1:14" ht="16.5" x14ac:dyDescent="0.25">
      <c r="A747" s="262"/>
      <c r="B747" s="262"/>
      <c r="C747" s="262"/>
      <c r="D747" s="263"/>
      <c r="E747" s="263"/>
      <c r="F747" s="263"/>
      <c r="G747" s="263"/>
      <c r="H747" s="263"/>
      <c r="I747" s="263"/>
      <c r="J747" s="19"/>
      <c r="K747" s="19"/>
      <c r="L747" s="19"/>
      <c r="M747" s="19"/>
      <c r="N747" s="19"/>
    </row>
    <row r="748" spans="1:14" ht="16.5" x14ac:dyDescent="0.25">
      <c r="A748" s="262"/>
      <c r="B748" s="262"/>
      <c r="C748" s="262"/>
      <c r="D748" s="263"/>
      <c r="E748" s="263"/>
      <c r="F748" s="263"/>
      <c r="G748" s="263"/>
      <c r="H748" s="263"/>
      <c r="I748" s="263"/>
      <c r="J748" s="19"/>
      <c r="K748" s="19"/>
      <c r="L748" s="19"/>
      <c r="M748" s="19"/>
      <c r="N748" s="19"/>
    </row>
    <row r="749" spans="1:14" ht="16.5" x14ac:dyDescent="0.25">
      <c r="A749" s="262"/>
      <c r="B749" s="262"/>
      <c r="C749" s="262"/>
      <c r="D749" s="263"/>
      <c r="E749" s="263"/>
      <c r="F749" s="263"/>
      <c r="G749" s="263"/>
      <c r="H749" s="263"/>
      <c r="I749" s="263"/>
      <c r="J749" s="19"/>
      <c r="K749" s="19"/>
      <c r="L749" s="19"/>
      <c r="M749" s="19"/>
      <c r="N749" s="19"/>
    </row>
    <row r="750" spans="1:14" ht="16.5" x14ac:dyDescent="0.25">
      <c r="A750" s="262"/>
      <c r="B750" s="262"/>
      <c r="C750" s="262"/>
      <c r="D750" s="263"/>
      <c r="E750" s="263"/>
      <c r="F750" s="263"/>
      <c r="G750" s="263"/>
      <c r="H750" s="263"/>
      <c r="I750" s="263"/>
      <c r="J750" s="19"/>
      <c r="K750" s="19"/>
      <c r="L750" s="19"/>
      <c r="M750" s="19"/>
      <c r="N750" s="19"/>
    </row>
    <row r="751" spans="1:14" ht="16.5" x14ac:dyDescent="0.25">
      <c r="A751" s="262"/>
      <c r="B751" s="262"/>
      <c r="C751" s="262"/>
      <c r="D751" s="263"/>
      <c r="E751" s="263"/>
      <c r="F751" s="263"/>
      <c r="G751" s="263"/>
      <c r="H751" s="263"/>
      <c r="I751" s="263"/>
      <c r="J751" s="19"/>
      <c r="K751" s="19"/>
      <c r="L751" s="19"/>
      <c r="M751" s="19"/>
      <c r="N751" s="19"/>
    </row>
    <row r="752" spans="1:14" ht="16.5" x14ac:dyDescent="0.25">
      <c r="A752" s="262"/>
      <c r="B752" s="262"/>
      <c r="C752" s="262"/>
      <c r="D752" s="263"/>
      <c r="E752" s="263"/>
      <c r="F752" s="263"/>
      <c r="G752" s="263"/>
      <c r="H752" s="263"/>
      <c r="I752" s="263"/>
      <c r="J752" s="19"/>
      <c r="K752" s="19"/>
      <c r="L752" s="19"/>
      <c r="M752" s="19"/>
      <c r="N752" s="19"/>
    </row>
    <row r="753" spans="1:14" ht="16.5" x14ac:dyDescent="0.25">
      <c r="A753" s="262"/>
      <c r="B753" s="262"/>
      <c r="C753" s="262"/>
      <c r="D753" s="263"/>
      <c r="E753" s="263"/>
      <c r="F753" s="263"/>
      <c r="G753" s="263"/>
      <c r="H753" s="263"/>
      <c r="I753" s="263"/>
      <c r="J753" s="19"/>
      <c r="K753" s="19"/>
      <c r="L753" s="19"/>
      <c r="M753" s="19"/>
      <c r="N753" s="19"/>
    </row>
    <row r="754" spans="1:14" ht="16.5" x14ac:dyDescent="0.25">
      <c r="A754" s="262"/>
      <c r="B754" s="262"/>
      <c r="C754" s="262"/>
      <c r="D754" s="263"/>
      <c r="E754" s="263"/>
      <c r="F754" s="263"/>
      <c r="G754" s="263"/>
      <c r="H754" s="263"/>
      <c r="I754" s="263"/>
      <c r="J754" s="19"/>
      <c r="K754" s="19"/>
      <c r="L754" s="19"/>
      <c r="M754" s="19"/>
      <c r="N754" s="19"/>
    </row>
    <row r="755" spans="1:14" ht="16.5" x14ac:dyDescent="0.25">
      <c r="A755" s="262"/>
      <c r="B755" s="262"/>
      <c r="C755" s="262"/>
      <c r="D755" s="263"/>
      <c r="E755" s="263"/>
      <c r="F755" s="263"/>
      <c r="G755" s="263"/>
      <c r="H755" s="263"/>
      <c r="I755" s="263"/>
      <c r="J755" s="19"/>
      <c r="K755" s="19"/>
      <c r="L755" s="19"/>
      <c r="M755" s="19"/>
      <c r="N755" s="19"/>
    </row>
    <row r="756" spans="1:14" ht="16.5" x14ac:dyDescent="0.25">
      <c r="A756" s="262"/>
      <c r="B756" s="262"/>
      <c r="C756" s="262"/>
      <c r="D756" s="263"/>
      <c r="E756" s="263"/>
      <c r="F756" s="263"/>
      <c r="G756" s="263"/>
      <c r="H756" s="263"/>
      <c r="I756" s="263"/>
      <c r="J756" s="19"/>
      <c r="K756" s="19"/>
      <c r="L756" s="19"/>
      <c r="M756" s="19"/>
      <c r="N756" s="19"/>
    </row>
    <row r="757" spans="1:14" ht="16.5" x14ac:dyDescent="0.25">
      <c r="A757" s="262"/>
      <c r="B757" s="262"/>
      <c r="C757" s="262"/>
      <c r="D757" s="263"/>
      <c r="E757" s="263"/>
      <c r="F757" s="263"/>
      <c r="G757" s="263"/>
      <c r="H757" s="263"/>
      <c r="I757" s="263"/>
      <c r="J757" s="19"/>
      <c r="K757" s="19"/>
      <c r="L757" s="19"/>
      <c r="M757" s="19"/>
      <c r="N757" s="19"/>
    </row>
    <row r="758" spans="1:14" ht="16.5" x14ac:dyDescent="0.25">
      <c r="A758" s="262"/>
      <c r="B758" s="262"/>
      <c r="C758" s="262"/>
      <c r="D758" s="263"/>
      <c r="E758" s="263"/>
      <c r="F758" s="263"/>
      <c r="G758" s="263"/>
      <c r="H758" s="263"/>
      <c r="I758" s="263"/>
      <c r="J758" s="19"/>
      <c r="K758" s="19"/>
      <c r="L758" s="19"/>
      <c r="M758" s="19"/>
      <c r="N758" s="19"/>
    </row>
    <row r="759" spans="1:14" ht="16.5" x14ac:dyDescent="0.25">
      <c r="A759" s="262"/>
      <c r="B759" s="262"/>
      <c r="C759" s="262"/>
      <c r="D759" s="263"/>
      <c r="E759" s="263"/>
      <c r="F759" s="263"/>
      <c r="G759" s="263"/>
      <c r="H759" s="263"/>
      <c r="I759" s="263"/>
      <c r="J759" s="19"/>
      <c r="K759" s="19"/>
      <c r="L759" s="19"/>
      <c r="M759" s="19"/>
      <c r="N759" s="19"/>
    </row>
    <row r="760" spans="1:14" ht="16.5" x14ac:dyDescent="0.25">
      <c r="A760" s="262"/>
      <c r="B760" s="262"/>
      <c r="C760" s="262"/>
      <c r="D760" s="263"/>
      <c r="E760" s="263"/>
      <c r="F760" s="263"/>
      <c r="G760" s="263"/>
      <c r="H760" s="263"/>
      <c r="I760" s="263"/>
      <c r="J760" s="19"/>
      <c r="K760" s="19"/>
      <c r="L760" s="19"/>
      <c r="M760" s="19"/>
      <c r="N760" s="19"/>
    </row>
    <row r="761" spans="1:14" ht="16.5" x14ac:dyDescent="0.25">
      <c r="A761" s="262"/>
      <c r="B761" s="262"/>
      <c r="C761" s="262"/>
      <c r="D761" s="263"/>
      <c r="E761" s="263"/>
      <c r="F761" s="263"/>
      <c r="G761" s="263"/>
      <c r="H761" s="263"/>
      <c r="I761" s="263"/>
      <c r="J761" s="19"/>
      <c r="K761" s="19"/>
      <c r="L761" s="19"/>
      <c r="M761" s="19"/>
      <c r="N761" s="19"/>
    </row>
    <row r="762" spans="1:14" ht="16.5" x14ac:dyDescent="0.25">
      <c r="A762" s="262"/>
      <c r="B762" s="262"/>
      <c r="C762" s="262"/>
      <c r="D762" s="263"/>
      <c r="E762" s="263"/>
      <c r="F762" s="263"/>
      <c r="G762" s="263"/>
      <c r="H762" s="263"/>
      <c r="I762" s="263"/>
      <c r="J762" s="19"/>
      <c r="K762" s="19"/>
      <c r="L762" s="19"/>
      <c r="M762" s="19"/>
      <c r="N762" s="19"/>
    </row>
    <row r="763" spans="1:14" ht="16.5" x14ac:dyDescent="0.25">
      <c r="A763" s="262"/>
      <c r="B763" s="262"/>
      <c r="C763" s="262"/>
      <c r="D763" s="263"/>
      <c r="E763" s="263"/>
      <c r="F763" s="263"/>
      <c r="G763" s="263"/>
      <c r="H763" s="263"/>
      <c r="I763" s="263"/>
      <c r="J763" s="19"/>
      <c r="K763" s="19"/>
      <c r="L763" s="19"/>
      <c r="M763" s="19"/>
      <c r="N763" s="19"/>
    </row>
    <row r="764" spans="1:14" ht="16.5" x14ac:dyDescent="0.25">
      <c r="A764" s="262"/>
      <c r="B764" s="262"/>
      <c r="C764" s="262"/>
      <c r="D764" s="263"/>
      <c r="E764" s="263"/>
      <c r="F764" s="263"/>
      <c r="G764" s="263"/>
      <c r="H764" s="263"/>
      <c r="I764" s="263"/>
      <c r="J764" s="19"/>
      <c r="K764" s="19"/>
      <c r="L764" s="19"/>
      <c r="M764" s="19"/>
      <c r="N764" s="19"/>
    </row>
    <row r="765" spans="1:14" ht="16.5" x14ac:dyDescent="0.25">
      <c r="A765" s="262"/>
      <c r="B765" s="262"/>
      <c r="C765" s="262"/>
      <c r="D765" s="263"/>
      <c r="E765" s="263"/>
      <c r="F765" s="263"/>
      <c r="G765" s="263"/>
      <c r="H765" s="263"/>
      <c r="I765" s="263"/>
      <c r="J765" s="19"/>
      <c r="K765" s="19"/>
      <c r="L765" s="19"/>
      <c r="M765" s="19"/>
      <c r="N765" s="19"/>
    </row>
    <row r="766" spans="1:14" ht="16.5" x14ac:dyDescent="0.25">
      <c r="A766" s="262"/>
      <c r="B766" s="262"/>
      <c r="C766" s="262"/>
      <c r="D766" s="263"/>
      <c r="E766" s="263"/>
      <c r="F766" s="263"/>
      <c r="G766" s="263"/>
      <c r="H766" s="263"/>
      <c r="I766" s="263"/>
      <c r="J766" s="19"/>
      <c r="K766" s="19"/>
      <c r="L766" s="19"/>
      <c r="M766" s="19"/>
      <c r="N766" s="19"/>
    </row>
    <row r="767" spans="1:14" ht="16.5" x14ac:dyDescent="0.25">
      <c r="A767" s="262"/>
      <c r="B767" s="262"/>
      <c r="C767" s="262"/>
      <c r="D767" s="263"/>
      <c r="E767" s="263"/>
      <c r="F767" s="263"/>
      <c r="G767" s="263"/>
      <c r="H767" s="263"/>
      <c r="I767" s="263"/>
      <c r="J767" s="19"/>
      <c r="K767" s="19"/>
      <c r="L767" s="19"/>
      <c r="M767" s="19"/>
      <c r="N767" s="19"/>
    </row>
    <row r="768" spans="1:14" ht="16.5" x14ac:dyDescent="0.25">
      <c r="A768" s="262"/>
      <c r="B768" s="262"/>
      <c r="C768" s="262"/>
      <c r="D768" s="263"/>
      <c r="E768" s="263"/>
      <c r="F768" s="263"/>
      <c r="G768" s="263"/>
      <c r="H768" s="263"/>
      <c r="I768" s="263"/>
      <c r="J768" s="19"/>
      <c r="K768" s="19"/>
      <c r="L768" s="19"/>
      <c r="M768" s="19"/>
      <c r="N768" s="19"/>
    </row>
    <row r="769" spans="1:14" ht="16.5" x14ac:dyDescent="0.25">
      <c r="A769" s="262"/>
      <c r="B769" s="262"/>
      <c r="C769" s="262"/>
      <c r="D769" s="263"/>
      <c r="E769" s="263"/>
      <c r="F769" s="263"/>
      <c r="G769" s="263"/>
      <c r="H769" s="263"/>
      <c r="I769" s="263"/>
      <c r="J769" s="19"/>
      <c r="K769" s="19"/>
      <c r="L769" s="19"/>
      <c r="M769" s="19"/>
      <c r="N769" s="19"/>
    </row>
    <row r="770" spans="1:14" ht="16.5" x14ac:dyDescent="0.25">
      <c r="A770" s="262"/>
      <c r="B770" s="262"/>
      <c r="C770" s="262"/>
      <c r="D770" s="263"/>
      <c r="E770" s="263"/>
      <c r="F770" s="263"/>
      <c r="G770" s="263"/>
      <c r="H770" s="263"/>
      <c r="I770" s="263"/>
      <c r="J770" s="19"/>
      <c r="K770" s="19"/>
      <c r="L770" s="19"/>
      <c r="M770" s="19"/>
      <c r="N770" s="19"/>
    </row>
    <row r="771" spans="1:14" ht="16.5" x14ac:dyDescent="0.25">
      <c r="A771" s="262"/>
      <c r="B771" s="262"/>
      <c r="C771" s="262"/>
      <c r="D771" s="263"/>
      <c r="E771" s="263"/>
      <c r="F771" s="263"/>
      <c r="G771" s="263"/>
      <c r="H771" s="263"/>
      <c r="I771" s="263"/>
      <c r="J771" s="19"/>
      <c r="K771" s="19"/>
      <c r="L771" s="19"/>
      <c r="M771" s="19"/>
      <c r="N771" s="19"/>
    </row>
    <row r="772" spans="1:14" ht="16.5" x14ac:dyDescent="0.25">
      <c r="A772" s="262"/>
      <c r="B772" s="262"/>
      <c r="C772" s="262"/>
      <c r="D772" s="263"/>
      <c r="E772" s="263"/>
      <c r="F772" s="263"/>
      <c r="G772" s="263"/>
      <c r="H772" s="263"/>
      <c r="I772" s="263"/>
      <c r="J772" s="19"/>
      <c r="K772" s="19"/>
      <c r="L772" s="19"/>
      <c r="M772" s="19"/>
      <c r="N772" s="19"/>
    </row>
    <row r="773" spans="1:14" ht="16.5" x14ac:dyDescent="0.25">
      <c r="A773" s="262"/>
      <c r="B773" s="262"/>
      <c r="C773" s="262"/>
      <c r="D773" s="263"/>
      <c r="E773" s="263"/>
      <c r="F773" s="263"/>
      <c r="G773" s="263"/>
      <c r="H773" s="263"/>
      <c r="I773" s="263"/>
      <c r="J773" s="19"/>
      <c r="K773" s="19"/>
      <c r="L773" s="19"/>
      <c r="M773" s="19"/>
      <c r="N773" s="19"/>
    </row>
    <row r="774" spans="1:14" ht="16.5" x14ac:dyDescent="0.25">
      <c r="A774" s="262"/>
      <c r="B774" s="262"/>
      <c r="C774" s="262"/>
      <c r="D774" s="263"/>
      <c r="E774" s="263"/>
      <c r="F774" s="263"/>
      <c r="G774" s="263"/>
      <c r="H774" s="263"/>
      <c r="I774" s="263"/>
      <c r="J774" s="19"/>
      <c r="K774" s="19"/>
      <c r="L774" s="19"/>
      <c r="M774" s="19"/>
      <c r="N774" s="19"/>
    </row>
    <row r="775" spans="1:14" ht="16.5" x14ac:dyDescent="0.25">
      <c r="A775" s="262"/>
      <c r="B775" s="262"/>
      <c r="C775" s="262"/>
      <c r="D775" s="263"/>
      <c r="E775" s="263"/>
      <c r="F775" s="263"/>
      <c r="G775" s="263"/>
      <c r="H775" s="263"/>
      <c r="I775" s="263"/>
      <c r="J775" s="19"/>
      <c r="K775" s="19"/>
      <c r="L775" s="19"/>
      <c r="M775" s="19"/>
      <c r="N775" s="19"/>
    </row>
    <row r="776" spans="1:14" ht="16.5" x14ac:dyDescent="0.25">
      <c r="A776" s="262"/>
      <c r="B776" s="262"/>
      <c r="C776" s="262"/>
      <c r="D776" s="263"/>
      <c r="E776" s="263"/>
      <c r="F776" s="263"/>
      <c r="G776" s="263"/>
      <c r="H776" s="263"/>
      <c r="I776" s="263"/>
      <c r="J776" s="19"/>
      <c r="K776" s="19"/>
      <c r="L776" s="19"/>
      <c r="M776" s="19"/>
      <c r="N776" s="19"/>
    </row>
    <row r="777" spans="1:14" ht="16.5" x14ac:dyDescent="0.25">
      <c r="A777" s="262"/>
      <c r="B777" s="262"/>
      <c r="C777" s="262"/>
      <c r="D777" s="263"/>
      <c r="E777" s="263"/>
      <c r="F777" s="263"/>
      <c r="G777" s="263"/>
      <c r="H777" s="263"/>
      <c r="I777" s="263"/>
      <c r="J777" s="19"/>
      <c r="K777" s="19"/>
      <c r="L777" s="19"/>
      <c r="M777" s="19"/>
      <c r="N777" s="19"/>
    </row>
    <row r="778" spans="1:14" ht="16.5" x14ac:dyDescent="0.25">
      <c r="A778" s="262"/>
      <c r="B778" s="262"/>
      <c r="C778" s="262"/>
      <c r="D778" s="263"/>
      <c r="E778" s="263"/>
      <c r="F778" s="263"/>
      <c r="G778" s="263"/>
      <c r="H778" s="263"/>
      <c r="I778" s="263"/>
      <c r="J778" s="19"/>
      <c r="K778" s="19"/>
      <c r="L778" s="19"/>
      <c r="M778" s="19"/>
      <c r="N778" s="19"/>
    </row>
    <row r="779" spans="1:14" ht="16.5" x14ac:dyDescent="0.25">
      <c r="A779" s="262"/>
      <c r="B779" s="262"/>
      <c r="C779" s="262"/>
      <c r="D779" s="263"/>
      <c r="E779" s="263"/>
      <c r="F779" s="263"/>
      <c r="G779" s="263"/>
      <c r="H779" s="263"/>
      <c r="I779" s="263"/>
      <c r="J779" s="19"/>
      <c r="K779" s="19"/>
      <c r="L779" s="19"/>
      <c r="M779" s="19"/>
      <c r="N779" s="19"/>
    </row>
    <row r="780" spans="1:14" ht="16.5" x14ac:dyDescent="0.25">
      <c r="A780" s="262"/>
      <c r="B780" s="262"/>
      <c r="C780" s="262"/>
      <c r="D780" s="263"/>
      <c r="E780" s="263"/>
      <c r="F780" s="263"/>
      <c r="G780" s="263"/>
      <c r="H780" s="263"/>
      <c r="I780" s="263"/>
      <c r="J780" s="19"/>
      <c r="K780" s="19"/>
      <c r="L780" s="19"/>
      <c r="M780" s="19"/>
      <c r="N780" s="19"/>
    </row>
    <row r="781" spans="1:14" ht="16.5" x14ac:dyDescent="0.25">
      <c r="A781" s="262"/>
      <c r="B781" s="262"/>
      <c r="C781" s="262"/>
      <c r="D781" s="263"/>
      <c r="E781" s="263"/>
      <c r="F781" s="263"/>
      <c r="G781" s="263"/>
      <c r="H781" s="263"/>
      <c r="I781" s="263"/>
      <c r="J781" s="19"/>
      <c r="K781" s="19"/>
      <c r="L781" s="19"/>
      <c r="M781" s="19"/>
      <c r="N781" s="19"/>
    </row>
    <row r="782" spans="1:14" ht="16.5" x14ac:dyDescent="0.25">
      <c r="A782" s="262"/>
      <c r="B782" s="262"/>
      <c r="C782" s="262"/>
      <c r="D782" s="263"/>
      <c r="E782" s="263"/>
      <c r="F782" s="263"/>
      <c r="G782" s="263"/>
      <c r="H782" s="263"/>
      <c r="I782" s="263"/>
      <c r="J782" s="19"/>
      <c r="K782" s="19"/>
      <c r="L782" s="19"/>
      <c r="M782" s="19"/>
      <c r="N782" s="19"/>
    </row>
    <row r="783" spans="1:14" ht="16.5" x14ac:dyDescent="0.25">
      <c r="A783" s="262"/>
      <c r="B783" s="262"/>
      <c r="C783" s="262"/>
      <c r="D783" s="263"/>
      <c r="E783" s="263"/>
      <c r="F783" s="263"/>
      <c r="G783" s="263"/>
      <c r="H783" s="263"/>
      <c r="I783" s="263"/>
      <c r="J783" s="19"/>
      <c r="K783" s="19"/>
      <c r="L783" s="19"/>
      <c r="M783" s="19"/>
      <c r="N783" s="19"/>
    </row>
    <row r="784" spans="1:14" ht="16.5" x14ac:dyDescent="0.25">
      <c r="A784" s="262"/>
      <c r="B784" s="262"/>
      <c r="C784" s="262"/>
      <c r="D784" s="263"/>
      <c r="E784" s="263"/>
      <c r="F784" s="263"/>
      <c r="G784" s="263"/>
      <c r="H784" s="263"/>
      <c r="I784" s="263"/>
      <c r="J784" s="19"/>
      <c r="K784" s="19"/>
      <c r="L784" s="19"/>
      <c r="M784" s="19"/>
      <c r="N784" s="19"/>
    </row>
    <row r="785" spans="1:14" ht="16.5" x14ac:dyDescent="0.25">
      <c r="A785" s="262"/>
      <c r="B785" s="262"/>
      <c r="C785" s="262"/>
      <c r="D785" s="263"/>
      <c r="E785" s="263"/>
      <c r="F785" s="263"/>
      <c r="G785" s="263"/>
      <c r="H785" s="263"/>
      <c r="I785" s="263"/>
      <c r="J785" s="19"/>
      <c r="K785" s="19"/>
      <c r="L785" s="19"/>
      <c r="M785" s="19"/>
      <c r="N785" s="19"/>
    </row>
    <row r="786" spans="1:14" ht="16.5" x14ac:dyDescent="0.25">
      <c r="A786" s="262"/>
      <c r="B786" s="262"/>
      <c r="C786" s="262"/>
      <c r="D786" s="263"/>
      <c r="E786" s="263"/>
      <c r="F786" s="263"/>
      <c r="G786" s="263"/>
      <c r="H786" s="263"/>
      <c r="I786" s="263"/>
      <c r="J786" s="19"/>
      <c r="K786" s="19"/>
      <c r="L786" s="19"/>
      <c r="M786" s="19"/>
      <c r="N786" s="19"/>
    </row>
    <row r="787" spans="1:14" ht="16.5" x14ac:dyDescent="0.25">
      <c r="A787" s="262"/>
      <c r="B787" s="262"/>
      <c r="C787" s="262"/>
      <c r="D787" s="263"/>
      <c r="E787" s="263"/>
      <c r="F787" s="263"/>
      <c r="G787" s="263"/>
      <c r="H787" s="263"/>
      <c r="I787" s="263"/>
      <c r="J787" s="19"/>
      <c r="K787" s="19"/>
      <c r="L787" s="19"/>
      <c r="M787" s="19"/>
      <c r="N787" s="19"/>
    </row>
    <row r="788" spans="1:14" ht="16.5" x14ac:dyDescent="0.25">
      <c r="A788" s="262"/>
      <c r="B788" s="262"/>
      <c r="C788" s="262"/>
      <c r="D788" s="263"/>
      <c r="E788" s="263"/>
      <c r="F788" s="263"/>
      <c r="G788" s="263"/>
      <c r="H788" s="263"/>
      <c r="I788" s="263"/>
      <c r="J788" s="19"/>
      <c r="K788" s="19"/>
      <c r="L788" s="19"/>
      <c r="M788" s="19"/>
      <c r="N788" s="19"/>
    </row>
    <row r="789" spans="1:14" ht="16.5" x14ac:dyDescent="0.25">
      <c r="A789" s="262"/>
      <c r="B789" s="262"/>
      <c r="C789" s="262"/>
      <c r="D789" s="263"/>
      <c r="E789" s="263"/>
      <c r="F789" s="263"/>
      <c r="G789" s="263"/>
      <c r="H789" s="263"/>
      <c r="I789" s="263"/>
      <c r="J789" s="19"/>
      <c r="K789" s="19"/>
      <c r="L789" s="19"/>
      <c r="M789" s="19"/>
      <c r="N789" s="19"/>
    </row>
    <row r="790" spans="1:14" ht="16.5" x14ac:dyDescent="0.25">
      <c r="A790" s="262"/>
      <c r="B790" s="262"/>
      <c r="C790" s="262"/>
      <c r="D790" s="263"/>
      <c r="E790" s="263"/>
      <c r="F790" s="263"/>
      <c r="G790" s="263"/>
      <c r="H790" s="263"/>
      <c r="I790" s="263"/>
      <c r="J790" s="19"/>
      <c r="K790" s="19"/>
      <c r="L790" s="19"/>
      <c r="M790" s="19"/>
      <c r="N790" s="19"/>
    </row>
    <row r="791" spans="1:14" ht="16.5" x14ac:dyDescent="0.25">
      <c r="A791" s="262"/>
      <c r="B791" s="262"/>
      <c r="C791" s="262"/>
      <c r="D791" s="263"/>
      <c r="E791" s="263"/>
      <c r="F791" s="263"/>
      <c r="G791" s="263"/>
      <c r="H791" s="263"/>
      <c r="I791" s="263"/>
      <c r="J791" s="19"/>
      <c r="K791" s="19"/>
      <c r="L791" s="19"/>
      <c r="M791" s="19"/>
      <c r="N791" s="19"/>
    </row>
    <row r="792" spans="1:14" ht="16.5" x14ac:dyDescent="0.25">
      <c r="A792" s="262"/>
      <c r="B792" s="262"/>
      <c r="C792" s="262"/>
      <c r="D792" s="263"/>
      <c r="E792" s="263"/>
      <c r="F792" s="263"/>
      <c r="G792" s="263"/>
      <c r="H792" s="263"/>
      <c r="I792" s="263"/>
      <c r="J792" s="19"/>
      <c r="K792" s="19"/>
      <c r="L792" s="19"/>
      <c r="M792" s="19"/>
      <c r="N792" s="19"/>
    </row>
    <row r="793" spans="1:14" ht="16.5" x14ac:dyDescent="0.25">
      <c r="A793" s="262"/>
      <c r="B793" s="262"/>
      <c r="C793" s="262"/>
      <c r="D793" s="263"/>
      <c r="E793" s="263"/>
      <c r="F793" s="263"/>
      <c r="G793" s="263"/>
      <c r="H793" s="263"/>
      <c r="I793" s="263"/>
      <c r="J793" s="19"/>
      <c r="K793" s="19"/>
      <c r="L793" s="19"/>
      <c r="M793" s="19"/>
      <c r="N793" s="19"/>
    </row>
    <row r="794" spans="1:14" ht="16.5" x14ac:dyDescent="0.25">
      <c r="A794" s="262"/>
      <c r="B794" s="262"/>
      <c r="C794" s="262"/>
      <c r="D794" s="263"/>
      <c r="E794" s="263"/>
      <c r="F794" s="263"/>
      <c r="G794" s="263"/>
      <c r="H794" s="263"/>
      <c r="I794" s="263"/>
      <c r="J794" s="19"/>
      <c r="K794" s="19"/>
      <c r="L794" s="19"/>
      <c r="M794" s="19"/>
      <c r="N794" s="19"/>
    </row>
    <row r="795" spans="1:14" ht="16.5" x14ac:dyDescent="0.25">
      <c r="A795" s="262"/>
      <c r="B795" s="262"/>
      <c r="C795" s="262"/>
      <c r="D795" s="263"/>
      <c r="E795" s="263"/>
      <c r="F795" s="263"/>
      <c r="G795" s="263"/>
      <c r="H795" s="263"/>
      <c r="I795" s="263"/>
      <c r="J795" s="19"/>
      <c r="K795" s="19"/>
      <c r="L795" s="19"/>
      <c r="M795" s="19"/>
      <c r="N795" s="19"/>
    </row>
    <row r="796" spans="1:14" ht="16.5" x14ac:dyDescent="0.25">
      <c r="A796" s="262"/>
      <c r="B796" s="262"/>
      <c r="C796" s="262"/>
      <c r="D796" s="263"/>
      <c r="E796" s="263"/>
      <c r="F796" s="263"/>
      <c r="G796" s="263"/>
      <c r="H796" s="263"/>
      <c r="I796" s="263"/>
      <c r="J796" s="19"/>
      <c r="K796" s="19"/>
      <c r="L796" s="19"/>
      <c r="M796" s="19"/>
      <c r="N796" s="19"/>
    </row>
    <row r="797" spans="1:14" ht="16.5" x14ac:dyDescent="0.25">
      <c r="A797" s="262"/>
      <c r="B797" s="262"/>
      <c r="C797" s="262"/>
      <c r="D797" s="263"/>
      <c r="E797" s="263"/>
      <c r="F797" s="263"/>
      <c r="G797" s="263"/>
      <c r="H797" s="263"/>
      <c r="I797" s="263"/>
      <c r="J797" s="19"/>
      <c r="K797" s="19"/>
      <c r="L797" s="19"/>
      <c r="M797" s="19"/>
      <c r="N797" s="19"/>
    </row>
    <row r="798" spans="1:14" ht="16.5" x14ac:dyDescent="0.25">
      <c r="A798" s="262"/>
      <c r="B798" s="262"/>
      <c r="C798" s="262"/>
      <c r="D798" s="263"/>
      <c r="E798" s="263"/>
      <c r="F798" s="263"/>
      <c r="G798" s="263"/>
      <c r="H798" s="263"/>
      <c r="I798" s="263"/>
      <c r="J798" s="19"/>
      <c r="K798" s="19"/>
      <c r="L798" s="19"/>
      <c r="M798" s="19"/>
      <c r="N798" s="19"/>
    </row>
    <row r="799" spans="1:14" ht="16.5" x14ac:dyDescent="0.25">
      <c r="A799" s="262"/>
      <c r="B799" s="262"/>
      <c r="C799" s="262"/>
      <c r="D799" s="263"/>
      <c r="E799" s="263"/>
      <c r="F799" s="263"/>
      <c r="G799" s="263"/>
      <c r="H799" s="263"/>
      <c r="I799" s="263"/>
      <c r="J799" s="19"/>
      <c r="K799" s="19"/>
      <c r="L799" s="19"/>
      <c r="M799" s="19"/>
      <c r="N799" s="19"/>
    </row>
    <row r="800" spans="1:14" ht="16.5" x14ac:dyDescent="0.25">
      <c r="A800" s="262"/>
      <c r="B800" s="262"/>
      <c r="C800" s="262"/>
      <c r="D800" s="263"/>
      <c r="E800" s="263"/>
      <c r="F800" s="263"/>
      <c r="G800" s="263"/>
      <c r="H800" s="263"/>
      <c r="I800" s="263"/>
      <c r="J800" s="19"/>
      <c r="K800" s="19"/>
      <c r="L800" s="19"/>
      <c r="M800" s="19"/>
      <c r="N800" s="19"/>
    </row>
    <row r="801" spans="1:14" ht="16.5" x14ac:dyDescent="0.25">
      <c r="A801" s="262"/>
      <c r="B801" s="262"/>
      <c r="C801" s="262"/>
      <c r="D801" s="263"/>
      <c r="E801" s="263"/>
      <c r="F801" s="263"/>
      <c r="G801" s="263"/>
      <c r="H801" s="263"/>
      <c r="I801" s="263"/>
      <c r="J801" s="19"/>
      <c r="K801" s="19"/>
      <c r="L801" s="19"/>
      <c r="M801" s="19"/>
      <c r="N801" s="19"/>
    </row>
    <row r="802" spans="1:14" ht="16.5" x14ac:dyDescent="0.25">
      <c r="A802" s="262"/>
      <c r="B802" s="262"/>
      <c r="C802" s="262"/>
      <c r="D802" s="263"/>
      <c r="E802" s="263"/>
      <c r="F802" s="263"/>
      <c r="G802" s="263"/>
      <c r="H802" s="263"/>
      <c r="I802" s="263"/>
      <c r="J802" s="19"/>
      <c r="K802" s="19"/>
      <c r="L802" s="19"/>
      <c r="M802" s="19"/>
      <c r="N802" s="19"/>
    </row>
    <row r="803" spans="1:14" ht="16.5" x14ac:dyDescent="0.25">
      <c r="A803" s="262"/>
      <c r="B803" s="262"/>
      <c r="C803" s="262"/>
      <c r="D803" s="263"/>
      <c r="E803" s="263"/>
      <c r="F803" s="263"/>
      <c r="G803" s="263"/>
      <c r="H803" s="263"/>
      <c r="I803" s="263"/>
      <c r="J803" s="19"/>
      <c r="K803" s="19"/>
      <c r="L803" s="19"/>
      <c r="M803" s="19"/>
      <c r="N803" s="19"/>
    </row>
    <row r="804" spans="1:14" ht="16.5" x14ac:dyDescent="0.25">
      <c r="A804" s="262"/>
      <c r="B804" s="262"/>
      <c r="C804" s="262"/>
      <c r="D804" s="263"/>
      <c r="E804" s="263"/>
      <c r="F804" s="263"/>
      <c r="G804" s="263"/>
      <c r="H804" s="263"/>
      <c r="I804" s="263"/>
      <c r="J804" s="19"/>
      <c r="K804" s="19"/>
      <c r="L804" s="19"/>
      <c r="M804" s="19"/>
      <c r="N804" s="19"/>
    </row>
    <row r="805" spans="1:14" ht="16.5" x14ac:dyDescent="0.25">
      <c r="A805" s="262"/>
      <c r="B805" s="262"/>
      <c r="C805" s="262"/>
      <c r="D805" s="263"/>
      <c r="E805" s="263"/>
      <c r="F805" s="263"/>
      <c r="G805" s="263"/>
      <c r="H805" s="263"/>
      <c r="I805" s="263"/>
      <c r="J805" s="19"/>
      <c r="K805" s="19"/>
      <c r="L805" s="19"/>
      <c r="M805" s="19"/>
      <c r="N805" s="19"/>
    </row>
    <row r="806" spans="1:14" ht="16.5" x14ac:dyDescent="0.25">
      <c r="A806" s="262"/>
      <c r="B806" s="262"/>
      <c r="C806" s="262"/>
      <c r="D806" s="263"/>
      <c r="E806" s="263"/>
      <c r="F806" s="263"/>
      <c r="G806" s="263"/>
      <c r="H806" s="263"/>
      <c r="I806" s="263"/>
      <c r="J806" s="19"/>
      <c r="K806" s="19"/>
      <c r="L806" s="19"/>
      <c r="M806" s="19"/>
      <c r="N806" s="19"/>
    </row>
    <row r="807" spans="1:14" ht="16.5" x14ac:dyDescent="0.25">
      <c r="A807" s="262"/>
      <c r="B807" s="262"/>
      <c r="C807" s="262"/>
      <c r="D807" s="263"/>
      <c r="E807" s="263"/>
      <c r="F807" s="263"/>
      <c r="G807" s="263"/>
      <c r="H807" s="263"/>
      <c r="I807" s="263"/>
      <c r="J807" s="19"/>
      <c r="K807" s="19"/>
      <c r="L807" s="19"/>
      <c r="M807" s="19"/>
      <c r="N807" s="19"/>
    </row>
    <row r="808" spans="1:14" ht="16.5" x14ac:dyDescent="0.25">
      <c r="A808" s="262"/>
      <c r="B808" s="262"/>
      <c r="C808" s="262"/>
      <c r="D808" s="263"/>
      <c r="E808" s="263"/>
      <c r="F808" s="263"/>
      <c r="G808" s="263"/>
      <c r="H808" s="263"/>
      <c r="I808" s="263"/>
      <c r="J808" s="19"/>
      <c r="K808" s="19"/>
      <c r="L808" s="19"/>
      <c r="M808" s="19"/>
      <c r="N808" s="19"/>
    </row>
    <row r="809" spans="1:14" ht="16.5" x14ac:dyDescent="0.25">
      <c r="A809" s="262"/>
      <c r="B809" s="262"/>
      <c r="C809" s="262"/>
      <c r="D809" s="263"/>
      <c r="E809" s="263"/>
      <c r="F809" s="263"/>
      <c r="G809" s="263"/>
      <c r="H809" s="263"/>
      <c r="I809" s="263"/>
      <c r="J809" s="19"/>
      <c r="K809" s="19"/>
      <c r="L809" s="19"/>
      <c r="M809" s="19"/>
      <c r="N809" s="19"/>
    </row>
    <row r="810" spans="1:14" ht="16.5" x14ac:dyDescent="0.25">
      <c r="A810" s="262"/>
      <c r="B810" s="262"/>
      <c r="C810" s="262"/>
      <c r="D810" s="263"/>
      <c r="E810" s="263"/>
      <c r="F810" s="263"/>
      <c r="G810" s="263"/>
      <c r="H810" s="263"/>
      <c r="I810" s="263"/>
      <c r="J810" s="19"/>
      <c r="K810" s="19"/>
      <c r="L810" s="19"/>
      <c r="M810" s="19"/>
      <c r="N810" s="19"/>
    </row>
    <row r="811" spans="1:14" ht="16.5" x14ac:dyDescent="0.25">
      <c r="A811" s="262"/>
      <c r="B811" s="262"/>
      <c r="C811" s="262"/>
      <c r="D811" s="263"/>
      <c r="E811" s="263"/>
      <c r="F811" s="263"/>
      <c r="G811" s="263"/>
      <c r="H811" s="263"/>
      <c r="I811" s="263"/>
      <c r="J811" s="19"/>
      <c r="K811" s="19"/>
      <c r="L811" s="19"/>
      <c r="M811" s="19"/>
      <c r="N811" s="19"/>
    </row>
    <row r="812" spans="1:14" ht="16.5" x14ac:dyDescent="0.25">
      <c r="A812" s="262"/>
      <c r="B812" s="262"/>
      <c r="C812" s="262"/>
      <c r="D812" s="263"/>
      <c r="E812" s="263"/>
      <c r="F812" s="263"/>
      <c r="G812" s="263"/>
      <c r="H812" s="263"/>
      <c r="I812" s="263"/>
      <c r="J812" s="19"/>
      <c r="K812" s="19"/>
      <c r="L812" s="19"/>
      <c r="M812" s="19"/>
      <c r="N812" s="19"/>
    </row>
    <row r="813" spans="1:14" ht="16.5" x14ac:dyDescent="0.25">
      <c r="A813" s="262"/>
      <c r="B813" s="262"/>
      <c r="C813" s="262"/>
      <c r="D813" s="263"/>
      <c r="E813" s="263"/>
      <c r="F813" s="263"/>
      <c r="G813" s="263"/>
      <c r="H813" s="263"/>
      <c r="I813" s="263"/>
      <c r="J813" s="19"/>
      <c r="K813" s="19"/>
      <c r="L813" s="19"/>
      <c r="M813" s="19"/>
      <c r="N813" s="19"/>
    </row>
    <row r="814" spans="1:14" ht="16.5" x14ac:dyDescent="0.25">
      <c r="A814" s="262"/>
      <c r="B814" s="262"/>
      <c r="C814" s="262"/>
      <c r="D814" s="263"/>
      <c r="E814" s="263"/>
      <c r="F814" s="263"/>
      <c r="G814" s="263"/>
      <c r="H814" s="263"/>
      <c r="I814" s="263"/>
      <c r="J814" s="19"/>
      <c r="K814" s="19"/>
      <c r="L814" s="19"/>
      <c r="M814" s="19"/>
      <c r="N814" s="19"/>
    </row>
    <row r="815" spans="1:14" ht="16.5" x14ac:dyDescent="0.25">
      <c r="A815" s="262"/>
      <c r="B815" s="262"/>
      <c r="C815" s="262"/>
      <c r="D815" s="263"/>
      <c r="E815" s="263"/>
      <c r="F815" s="263"/>
      <c r="G815" s="263"/>
      <c r="H815" s="263"/>
      <c r="I815" s="263"/>
      <c r="J815" s="19"/>
      <c r="K815" s="19"/>
      <c r="L815" s="19"/>
      <c r="M815" s="19"/>
      <c r="N815" s="19"/>
    </row>
    <row r="816" spans="1:14" ht="16.5" x14ac:dyDescent="0.25">
      <c r="A816" s="262"/>
      <c r="B816" s="262"/>
      <c r="C816" s="262"/>
      <c r="D816" s="263"/>
      <c r="E816" s="263"/>
      <c r="F816" s="263"/>
      <c r="G816" s="263"/>
      <c r="H816" s="263"/>
      <c r="I816" s="263"/>
      <c r="J816" s="19"/>
      <c r="K816" s="19"/>
      <c r="L816" s="19"/>
      <c r="M816" s="19"/>
      <c r="N816" s="19"/>
    </row>
    <row r="817" spans="1:14" ht="16.5" x14ac:dyDescent="0.25">
      <c r="A817" s="262"/>
      <c r="B817" s="262"/>
      <c r="C817" s="262"/>
      <c r="D817" s="263"/>
      <c r="E817" s="263"/>
      <c r="F817" s="263"/>
      <c r="G817" s="263"/>
      <c r="H817" s="263"/>
      <c r="I817" s="263"/>
      <c r="J817" s="19"/>
      <c r="K817" s="19"/>
      <c r="L817" s="19"/>
      <c r="M817" s="19"/>
      <c r="N817" s="19"/>
    </row>
    <row r="818" spans="1:14" ht="16.5" x14ac:dyDescent="0.25">
      <c r="A818" s="262"/>
      <c r="B818" s="262"/>
      <c r="C818" s="262"/>
      <c r="D818" s="263"/>
      <c r="E818" s="263"/>
      <c r="F818" s="263"/>
      <c r="G818" s="263"/>
      <c r="H818" s="263"/>
      <c r="I818" s="263"/>
      <c r="J818" s="19"/>
      <c r="K818" s="19"/>
      <c r="L818" s="19"/>
      <c r="M818" s="19"/>
      <c r="N818" s="19"/>
    </row>
    <row r="819" spans="1:14" ht="16.5" x14ac:dyDescent="0.25">
      <c r="A819" s="262"/>
      <c r="B819" s="262"/>
      <c r="C819" s="262"/>
      <c r="D819" s="263"/>
      <c r="E819" s="263"/>
      <c r="F819" s="263"/>
      <c r="G819" s="263"/>
      <c r="H819" s="263"/>
      <c r="I819" s="263"/>
      <c r="J819" s="19"/>
      <c r="K819" s="19"/>
      <c r="L819" s="19"/>
      <c r="M819" s="19"/>
      <c r="N819" s="19"/>
    </row>
    <row r="820" spans="1:14" ht="16.5" x14ac:dyDescent="0.25">
      <c r="A820" s="262"/>
      <c r="B820" s="262"/>
      <c r="C820" s="262"/>
      <c r="D820" s="263"/>
      <c r="E820" s="263"/>
      <c r="F820" s="263"/>
      <c r="G820" s="263"/>
      <c r="H820" s="263"/>
      <c r="I820" s="263"/>
      <c r="J820" s="19"/>
      <c r="K820" s="19"/>
      <c r="L820" s="19"/>
      <c r="M820" s="19"/>
      <c r="N820" s="19"/>
    </row>
    <row r="821" spans="1:14" ht="16.5" x14ac:dyDescent="0.25">
      <c r="A821" s="262"/>
      <c r="B821" s="262"/>
      <c r="C821" s="262"/>
      <c r="D821" s="263"/>
      <c r="E821" s="263"/>
      <c r="F821" s="263"/>
      <c r="G821" s="263"/>
      <c r="H821" s="263"/>
      <c r="I821" s="263"/>
      <c r="J821" s="19"/>
      <c r="K821" s="19"/>
      <c r="L821" s="19"/>
      <c r="M821" s="19"/>
      <c r="N821" s="19"/>
    </row>
    <row r="822" spans="1:14" ht="16.5" x14ac:dyDescent="0.25">
      <c r="A822" s="262"/>
      <c r="B822" s="262"/>
      <c r="C822" s="262"/>
      <c r="D822" s="263"/>
      <c r="E822" s="263"/>
      <c r="F822" s="263"/>
      <c r="G822" s="263"/>
      <c r="H822" s="263"/>
      <c r="I822" s="263"/>
      <c r="J822" s="19"/>
      <c r="K822" s="19"/>
      <c r="L822" s="19"/>
      <c r="M822" s="19"/>
      <c r="N822" s="19"/>
    </row>
    <row r="823" spans="1:14" ht="16.5" x14ac:dyDescent="0.25">
      <c r="A823" s="262"/>
      <c r="B823" s="262"/>
      <c r="C823" s="262"/>
      <c r="D823" s="263"/>
      <c r="E823" s="263"/>
      <c r="F823" s="263"/>
      <c r="G823" s="263"/>
      <c r="H823" s="263"/>
      <c r="I823" s="263"/>
      <c r="J823" s="19"/>
      <c r="K823" s="19"/>
      <c r="L823" s="19"/>
      <c r="M823" s="19"/>
      <c r="N823" s="19"/>
    </row>
    <row r="824" spans="1:14" ht="16.5" x14ac:dyDescent="0.25">
      <c r="A824" s="262"/>
      <c r="B824" s="262"/>
      <c r="C824" s="262"/>
      <c r="D824" s="263"/>
      <c r="E824" s="263"/>
      <c r="F824" s="263"/>
      <c r="G824" s="263"/>
      <c r="H824" s="263"/>
      <c r="I824" s="263"/>
      <c r="J824" s="19"/>
      <c r="K824" s="19"/>
      <c r="L824" s="19"/>
      <c r="M824" s="19"/>
      <c r="N824" s="19"/>
    </row>
    <row r="825" spans="1:14" ht="16.5" x14ac:dyDescent="0.25">
      <c r="A825" s="262"/>
      <c r="B825" s="262"/>
      <c r="C825" s="262"/>
      <c r="D825" s="263"/>
      <c r="E825" s="263"/>
      <c r="F825" s="263"/>
      <c r="G825" s="263"/>
      <c r="H825" s="263"/>
      <c r="I825" s="263"/>
      <c r="J825" s="19"/>
      <c r="K825" s="19"/>
      <c r="L825" s="19"/>
      <c r="M825" s="19"/>
      <c r="N825" s="19"/>
    </row>
    <row r="826" spans="1:14" ht="16.5" x14ac:dyDescent="0.25">
      <c r="A826" s="262"/>
      <c r="B826" s="262"/>
      <c r="C826" s="262"/>
      <c r="D826" s="263"/>
      <c r="E826" s="263"/>
      <c r="F826" s="263"/>
      <c r="G826" s="263"/>
      <c r="H826" s="263"/>
      <c r="I826" s="263"/>
      <c r="J826" s="19"/>
      <c r="K826" s="19"/>
      <c r="L826" s="19"/>
      <c r="M826" s="19"/>
      <c r="N826" s="19"/>
    </row>
    <row r="827" spans="1:14" ht="16.5" x14ac:dyDescent="0.25">
      <c r="A827" s="262"/>
      <c r="B827" s="262"/>
      <c r="C827" s="262"/>
      <c r="D827" s="263"/>
      <c r="E827" s="263"/>
      <c r="F827" s="263"/>
      <c r="G827" s="263"/>
      <c r="H827" s="263"/>
      <c r="I827" s="263"/>
      <c r="J827" s="19"/>
      <c r="K827" s="19"/>
      <c r="L827" s="19"/>
      <c r="M827" s="19"/>
      <c r="N827" s="19"/>
    </row>
    <row r="828" spans="1:14" ht="16.5" x14ac:dyDescent="0.25">
      <c r="A828" s="262"/>
      <c r="B828" s="262"/>
      <c r="C828" s="262"/>
      <c r="D828" s="263"/>
      <c r="E828" s="263"/>
      <c r="F828" s="263"/>
      <c r="G828" s="263"/>
      <c r="H828" s="263"/>
      <c r="I828" s="263"/>
      <c r="J828" s="19"/>
      <c r="K828" s="19"/>
      <c r="L828" s="19"/>
      <c r="M828" s="19"/>
      <c r="N828" s="19"/>
    </row>
    <row r="829" spans="1:14" ht="16.5" x14ac:dyDescent="0.25">
      <c r="A829" s="262"/>
      <c r="B829" s="262"/>
      <c r="C829" s="262"/>
      <c r="D829" s="263"/>
      <c r="E829" s="263"/>
      <c r="F829" s="263"/>
      <c r="G829" s="263"/>
      <c r="H829" s="263"/>
      <c r="I829" s="263"/>
      <c r="J829" s="19"/>
      <c r="K829" s="19"/>
      <c r="L829" s="19"/>
      <c r="M829" s="19"/>
      <c r="N829" s="19"/>
    </row>
    <row r="830" spans="1:14" ht="16.5" x14ac:dyDescent="0.25">
      <c r="A830" s="262"/>
      <c r="B830" s="262"/>
      <c r="C830" s="262"/>
      <c r="D830" s="263"/>
      <c r="E830" s="263"/>
      <c r="F830" s="263"/>
      <c r="G830" s="263"/>
      <c r="H830" s="263"/>
      <c r="I830" s="263"/>
      <c r="J830" s="19"/>
      <c r="K830" s="19"/>
      <c r="L830" s="19"/>
      <c r="M830" s="19"/>
      <c r="N830" s="19"/>
    </row>
    <row r="831" spans="1:14" ht="16.5" x14ac:dyDescent="0.25">
      <c r="A831" s="262"/>
      <c r="B831" s="262"/>
      <c r="C831" s="262"/>
      <c r="D831" s="263"/>
      <c r="E831" s="263"/>
      <c r="F831" s="263"/>
      <c r="G831" s="263"/>
      <c r="H831" s="263"/>
      <c r="I831" s="263"/>
      <c r="J831" s="19"/>
      <c r="K831" s="19"/>
      <c r="L831" s="19"/>
      <c r="M831" s="19"/>
      <c r="N831" s="19"/>
    </row>
    <row r="832" spans="1:14" ht="16.5" x14ac:dyDescent="0.25">
      <c r="A832" s="262"/>
      <c r="B832" s="262"/>
      <c r="C832" s="262"/>
      <c r="D832" s="263"/>
      <c r="E832" s="263"/>
      <c r="F832" s="263"/>
      <c r="G832" s="263"/>
      <c r="H832" s="263"/>
      <c r="I832" s="263"/>
      <c r="J832" s="19"/>
      <c r="K832" s="19"/>
      <c r="L832" s="19"/>
      <c r="M832" s="19"/>
      <c r="N832" s="19"/>
    </row>
    <row r="833" spans="1:14" ht="16.5" x14ac:dyDescent="0.25">
      <c r="A833" s="262"/>
      <c r="B833" s="262"/>
      <c r="C833" s="262"/>
      <c r="D833" s="263"/>
      <c r="E833" s="263"/>
      <c r="F833" s="263"/>
      <c r="G833" s="263"/>
      <c r="H833" s="263"/>
      <c r="I833" s="263"/>
      <c r="J833" s="19"/>
      <c r="K833" s="19"/>
      <c r="L833" s="19"/>
      <c r="M833" s="19"/>
      <c r="N833" s="19"/>
    </row>
    <row r="834" spans="1:14" ht="16.5" x14ac:dyDescent="0.25">
      <c r="A834" s="262"/>
      <c r="B834" s="262"/>
      <c r="C834" s="262"/>
      <c r="D834" s="263"/>
      <c r="E834" s="263"/>
      <c r="F834" s="263"/>
      <c r="G834" s="263"/>
      <c r="H834" s="263"/>
      <c r="I834" s="263"/>
      <c r="J834" s="19"/>
      <c r="K834" s="19"/>
      <c r="L834" s="19"/>
      <c r="M834" s="19"/>
      <c r="N834" s="19"/>
    </row>
    <row r="835" spans="1:14" ht="16.5" x14ac:dyDescent="0.25">
      <c r="A835" s="262"/>
      <c r="B835" s="262"/>
      <c r="C835" s="262"/>
      <c r="D835" s="263"/>
      <c r="E835" s="263"/>
      <c r="F835" s="263"/>
      <c r="G835" s="263"/>
      <c r="H835" s="263"/>
      <c r="I835" s="263"/>
      <c r="J835" s="19"/>
      <c r="K835" s="19"/>
      <c r="L835" s="19"/>
      <c r="M835" s="19"/>
      <c r="N835" s="19"/>
    </row>
    <row r="836" spans="1:14" ht="16.5" x14ac:dyDescent="0.25">
      <c r="A836" s="262"/>
      <c r="B836" s="262"/>
      <c r="C836" s="262"/>
      <c r="D836" s="263"/>
      <c r="E836" s="263"/>
      <c r="F836" s="263"/>
      <c r="G836" s="263"/>
      <c r="H836" s="263"/>
      <c r="I836" s="263"/>
      <c r="J836" s="19"/>
      <c r="K836" s="19"/>
      <c r="L836" s="19"/>
      <c r="M836" s="19"/>
      <c r="N836" s="19"/>
    </row>
    <row r="837" spans="1:14" ht="16.5" x14ac:dyDescent="0.25">
      <c r="A837" s="262"/>
      <c r="B837" s="262"/>
      <c r="C837" s="262"/>
      <c r="D837" s="263"/>
      <c r="E837" s="263"/>
      <c r="F837" s="263"/>
      <c r="G837" s="263"/>
      <c r="H837" s="263"/>
      <c r="I837" s="263"/>
      <c r="J837" s="19"/>
      <c r="K837" s="19"/>
      <c r="L837" s="19"/>
      <c r="M837" s="19"/>
      <c r="N837" s="19"/>
    </row>
    <row r="838" spans="1:14" ht="16.5" x14ac:dyDescent="0.25">
      <c r="A838" s="262"/>
      <c r="B838" s="262"/>
      <c r="C838" s="262"/>
      <c r="D838" s="263"/>
      <c r="E838" s="263"/>
      <c r="F838" s="263"/>
      <c r="G838" s="263"/>
      <c r="H838" s="263"/>
      <c r="I838" s="263"/>
      <c r="J838" s="19"/>
      <c r="K838" s="19"/>
      <c r="L838" s="19"/>
      <c r="M838" s="19"/>
      <c r="N838" s="19"/>
    </row>
    <row r="839" spans="1:14" ht="16.5" x14ac:dyDescent="0.25">
      <c r="A839" s="262"/>
      <c r="B839" s="262"/>
      <c r="C839" s="262"/>
      <c r="D839" s="263"/>
      <c r="E839" s="263"/>
      <c r="F839" s="263"/>
      <c r="G839" s="263"/>
      <c r="H839" s="263"/>
      <c r="I839" s="263"/>
      <c r="J839" s="19"/>
      <c r="K839" s="19"/>
      <c r="L839" s="19"/>
      <c r="M839" s="19"/>
      <c r="N839" s="19"/>
    </row>
    <row r="840" spans="1:14" ht="16.5" x14ac:dyDescent="0.25">
      <c r="A840" s="262"/>
      <c r="B840" s="262"/>
      <c r="C840" s="262"/>
      <c r="D840" s="263"/>
      <c r="E840" s="263"/>
      <c r="F840" s="263"/>
      <c r="G840" s="263"/>
      <c r="H840" s="263"/>
      <c r="I840" s="263"/>
      <c r="J840" s="19"/>
      <c r="K840" s="19"/>
      <c r="L840" s="19"/>
      <c r="M840" s="19"/>
      <c r="N840" s="19"/>
    </row>
    <row r="841" spans="1:14" ht="16.5" x14ac:dyDescent="0.25">
      <c r="A841" s="262"/>
      <c r="B841" s="262"/>
      <c r="C841" s="262"/>
      <c r="D841" s="263"/>
      <c r="E841" s="263"/>
      <c r="F841" s="263"/>
      <c r="G841" s="263"/>
      <c r="H841" s="263"/>
      <c r="I841" s="263"/>
      <c r="J841" s="19"/>
      <c r="K841" s="19"/>
      <c r="L841" s="19"/>
      <c r="M841" s="19"/>
      <c r="N841" s="19"/>
    </row>
    <row r="842" spans="1:14" ht="16.5" x14ac:dyDescent="0.25">
      <c r="A842" s="262"/>
      <c r="B842" s="262"/>
      <c r="C842" s="262"/>
      <c r="D842" s="263"/>
      <c r="E842" s="263"/>
      <c r="F842" s="263"/>
      <c r="G842" s="263"/>
      <c r="H842" s="263"/>
      <c r="I842" s="263"/>
      <c r="J842" s="19"/>
      <c r="K842" s="19"/>
      <c r="L842" s="19"/>
      <c r="M842" s="19"/>
      <c r="N842" s="19"/>
    </row>
    <row r="843" spans="1:14" ht="16.5" x14ac:dyDescent="0.25">
      <c r="A843" s="262"/>
      <c r="B843" s="262"/>
      <c r="C843" s="262"/>
      <c r="D843" s="263"/>
      <c r="E843" s="263"/>
      <c r="F843" s="263"/>
      <c r="G843" s="263"/>
      <c r="H843" s="263"/>
      <c r="I843" s="263"/>
      <c r="J843" s="19"/>
      <c r="K843" s="19"/>
      <c r="L843" s="19"/>
      <c r="M843" s="19"/>
      <c r="N843" s="19"/>
    </row>
    <row r="844" spans="1:14" ht="16.5" x14ac:dyDescent="0.25">
      <c r="A844" s="262"/>
      <c r="B844" s="262"/>
      <c r="C844" s="262"/>
      <c r="D844" s="263"/>
      <c r="E844" s="263"/>
      <c r="F844" s="263"/>
      <c r="G844" s="263"/>
      <c r="H844" s="263"/>
      <c r="I844" s="263"/>
      <c r="J844" s="19"/>
      <c r="K844" s="19"/>
      <c r="L844" s="19"/>
      <c r="M844" s="19"/>
      <c r="N844" s="19"/>
    </row>
    <row r="845" spans="1:14" ht="16.5" x14ac:dyDescent="0.25">
      <c r="A845" s="262"/>
      <c r="B845" s="262"/>
      <c r="C845" s="262"/>
      <c r="D845" s="263"/>
      <c r="E845" s="263"/>
      <c r="F845" s="263"/>
      <c r="G845" s="263"/>
      <c r="H845" s="263"/>
      <c r="I845" s="263"/>
      <c r="J845" s="19"/>
      <c r="K845" s="19"/>
      <c r="L845" s="19"/>
      <c r="M845" s="19"/>
      <c r="N845" s="19"/>
    </row>
    <row r="846" spans="1:14" ht="16.5" x14ac:dyDescent="0.25">
      <c r="A846" s="262"/>
      <c r="B846" s="262"/>
      <c r="C846" s="262"/>
      <c r="D846" s="263"/>
      <c r="E846" s="263"/>
      <c r="F846" s="263"/>
      <c r="G846" s="263"/>
      <c r="H846" s="263"/>
      <c r="I846" s="263"/>
      <c r="J846" s="19"/>
      <c r="K846" s="19"/>
      <c r="L846" s="19"/>
      <c r="M846" s="19"/>
      <c r="N846" s="19"/>
    </row>
    <row r="847" spans="1:14" ht="16.5" x14ac:dyDescent="0.25">
      <c r="A847" s="262"/>
      <c r="B847" s="262"/>
      <c r="C847" s="262"/>
      <c r="D847" s="263"/>
      <c r="E847" s="263"/>
      <c r="F847" s="263"/>
      <c r="G847" s="263"/>
      <c r="H847" s="263"/>
      <c r="I847" s="263"/>
      <c r="J847" s="19"/>
      <c r="K847" s="19"/>
      <c r="L847" s="19"/>
      <c r="M847" s="19"/>
      <c r="N847" s="19"/>
    </row>
    <row r="848" spans="1:14" ht="16.5" x14ac:dyDescent="0.25">
      <c r="A848" s="262"/>
      <c r="B848" s="262"/>
      <c r="C848" s="262"/>
      <c r="D848" s="263"/>
      <c r="E848" s="263"/>
      <c r="F848" s="263"/>
      <c r="G848" s="263"/>
      <c r="H848" s="263"/>
      <c r="I848" s="263"/>
      <c r="J848" s="19"/>
      <c r="K848" s="19"/>
      <c r="L848" s="19"/>
      <c r="M848" s="19"/>
      <c r="N848" s="19"/>
    </row>
    <row r="849" spans="1:14" ht="16.5" x14ac:dyDescent="0.25">
      <c r="A849" s="262"/>
      <c r="B849" s="262"/>
      <c r="C849" s="262"/>
      <c r="D849" s="263"/>
      <c r="E849" s="263"/>
      <c r="F849" s="263"/>
      <c r="G849" s="263"/>
      <c r="H849" s="263"/>
      <c r="I849" s="263"/>
      <c r="J849" s="19"/>
      <c r="K849" s="19"/>
      <c r="L849" s="19"/>
      <c r="M849" s="19"/>
      <c r="N849" s="19"/>
    </row>
    <row r="850" spans="1:14" ht="16.5" x14ac:dyDescent="0.25">
      <c r="A850" s="262"/>
      <c r="B850" s="262"/>
      <c r="C850" s="262"/>
      <c r="D850" s="263"/>
      <c r="E850" s="263"/>
      <c r="F850" s="263"/>
      <c r="G850" s="263"/>
      <c r="H850" s="263"/>
      <c r="I850" s="263"/>
      <c r="J850" s="19"/>
      <c r="K850" s="19"/>
      <c r="L850" s="19"/>
      <c r="M850" s="19"/>
      <c r="N850" s="19"/>
    </row>
    <row r="851" spans="1:14" ht="16.5" x14ac:dyDescent="0.25">
      <c r="A851" s="262"/>
      <c r="B851" s="262"/>
      <c r="C851" s="262"/>
      <c r="D851" s="263"/>
      <c r="E851" s="263"/>
      <c r="F851" s="263"/>
      <c r="G851" s="263"/>
      <c r="H851" s="263"/>
      <c r="I851" s="263"/>
      <c r="J851" s="19"/>
      <c r="K851" s="19"/>
      <c r="L851" s="19"/>
      <c r="M851" s="19"/>
      <c r="N851" s="19"/>
    </row>
    <row r="852" spans="1:14" ht="16.5" x14ac:dyDescent="0.25">
      <c r="A852" s="262"/>
      <c r="B852" s="262"/>
      <c r="C852" s="262"/>
      <c r="D852" s="263"/>
      <c r="E852" s="263"/>
      <c r="F852" s="263"/>
      <c r="G852" s="263"/>
      <c r="H852" s="263"/>
      <c r="I852" s="263"/>
      <c r="J852" s="19"/>
      <c r="K852" s="19"/>
      <c r="L852" s="19"/>
      <c r="M852" s="19"/>
      <c r="N852" s="19"/>
    </row>
    <row r="853" spans="1:14" ht="16.5" x14ac:dyDescent="0.25">
      <c r="A853" s="262"/>
      <c r="B853" s="262"/>
      <c r="C853" s="262"/>
      <c r="D853" s="263"/>
      <c r="E853" s="263"/>
      <c r="F853" s="263"/>
      <c r="G853" s="263"/>
      <c r="H853" s="263"/>
      <c r="I853" s="263"/>
      <c r="J853" s="19"/>
      <c r="K853" s="19"/>
      <c r="L853" s="19"/>
      <c r="M853" s="19"/>
      <c r="N853" s="19"/>
    </row>
    <row r="854" spans="1:14" ht="16.5" x14ac:dyDescent="0.25">
      <c r="A854" s="262"/>
      <c r="B854" s="262"/>
      <c r="C854" s="262"/>
      <c r="D854" s="263"/>
      <c r="E854" s="263"/>
      <c r="F854" s="263"/>
      <c r="G854" s="263"/>
      <c r="H854" s="263"/>
      <c r="I854" s="263"/>
      <c r="J854" s="19"/>
      <c r="K854" s="19"/>
      <c r="L854" s="19"/>
      <c r="M854" s="19"/>
      <c r="N854" s="19"/>
    </row>
    <row r="855" spans="1:14" ht="16.5" x14ac:dyDescent="0.25">
      <c r="A855" s="262"/>
      <c r="B855" s="262"/>
      <c r="C855" s="262"/>
      <c r="D855" s="263"/>
      <c r="E855" s="263"/>
      <c r="F855" s="263"/>
      <c r="G855" s="263"/>
      <c r="H855" s="263"/>
      <c r="I855" s="263"/>
      <c r="J855" s="19"/>
      <c r="K855" s="19"/>
      <c r="L855" s="19"/>
      <c r="M855" s="19"/>
      <c r="N855" s="19"/>
    </row>
    <row r="856" spans="1:14" ht="16.5" x14ac:dyDescent="0.25">
      <c r="A856" s="262"/>
      <c r="B856" s="262"/>
      <c r="C856" s="262"/>
      <c r="D856" s="263"/>
      <c r="E856" s="263"/>
      <c r="F856" s="263"/>
      <c r="G856" s="263"/>
      <c r="H856" s="263"/>
      <c r="I856" s="263"/>
      <c r="J856" s="19"/>
      <c r="K856" s="19"/>
      <c r="L856" s="19"/>
      <c r="M856" s="19"/>
      <c r="N856" s="19"/>
    </row>
    <row r="857" spans="1:14" ht="16.5" x14ac:dyDescent="0.25">
      <c r="A857" s="262"/>
      <c r="B857" s="262"/>
      <c r="C857" s="262"/>
      <c r="D857" s="263"/>
      <c r="E857" s="263"/>
      <c r="F857" s="263"/>
      <c r="G857" s="263"/>
      <c r="H857" s="263"/>
      <c r="I857" s="263"/>
      <c r="J857" s="19"/>
      <c r="K857" s="19"/>
      <c r="L857" s="19"/>
      <c r="M857" s="19"/>
      <c r="N857" s="19"/>
    </row>
    <row r="858" spans="1:14" ht="16.5" x14ac:dyDescent="0.25">
      <c r="A858" s="262"/>
      <c r="B858" s="262"/>
      <c r="C858" s="262"/>
      <c r="D858" s="263"/>
      <c r="E858" s="263"/>
      <c r="F858" s="263"/>
      <c r="G858" s="263"/>
      <c r="H858" s="263"/>
      <c r="I858" s="263"/>
      <c r="J858" s="19"/>
      <c r="K858" s="19"/>
      <c r="L858" s="19"/>
      <c r="M858" s="19"/>
      <c r="N858" s="19"/>
    </row>
    <row r="859" spans="1:14" ht="16.5" x14ac:dyDescent="0.25">
      <c r="A859" s="262"/>
      <c r="B859" s="262"/>
      <c r="C859" s="262"/>
      <c r="D859" s="263"/>
      <c r="E859" s="263"/>
      <c r="F859" s="263"/>
      <c r="G859" s="263"/>
      <c r="H859" s="263"/>
      <c r="I859" s="263"/>
      <c r="J859" s="19"/>
      <c r="K859" s="19"/>
      <c r="L859" s="19"/>
      <c r="M859" s="19"/>
      <c r="N859" s="19"/>
    </row>
    <row r="860" spans="1:14" ht="16.5" x14ac:dyDescent="0.25">
      <c r="A860" s="262"/>
      <c r="B860" s="262"/>
      <c r="C860" s="262"/>
      <c r="D860" s="263"/>
      <c r="E860" s="263"/>
      <c r="F860" s="263"/>
      <c r="G860" s="263"/>
      <c r="H860" s="263"/>
      <c r="I860" s="263"/>
      <c r="J860" s="19"/>
      <c r="K860" s="19"/>
      <c r="L860" s="19"/>
      <c r="M860" s="19"/>
      <c r="N860" s="19"/>
    </row>
    <row r="861" spans="1:14" ht="16.5" x14ac:dyDescent="0.25">
      <c r="A861" s="262"/>
      <c r="B861" s="262"/>
      <c r="C861" s="262"/>
      <c r="D861" s="263"/>
      <c r="E861" s="263"/>
      <c r="F861" s="263"/>
      <c r="G861" s="263"/>
      <c r="H861" s="263"/>
      <c r="I861" s="263"/>
      <c r="J861" s="19"/>
      <c r="K861" s="19"/>
      <c r="L861" s="19"/>
      <c r="M861" s="19"/>
      <c r="N861" s="19"/>
    </row>
    <row r="862" spans="1:14" ht="16.5" x14ac:dyDescent="0.25">
      <c r="A862" s="262"/>
      <c r="B862" s="262"/>
      <c r="C862" s="262"/>
      <c r="D862" s="263"/>
      <c r="E862" s="263"/>
      <c r="F862" s="263"/>
      <c r="G862" s="263"/>
      <c r="H862" s="263"/>
      <c r="I862" s="263"/>
      <c r="J862" s="19"/>
      <c r="K862" s="19"/>
      <c r="L862" s="19"/>
      <c r="M862" s="19"/>
      <c r="N862" s="19"/>
    </row>
    <row r="863" spans="1:14" ht="16.5" x14ac:dyDescent="0.25">
      <c r="A863" s="262"/>
      <c r="B863" s="262"/>
      <c r="C863" s="262"/>
      <c r="D863" s="263"/>
      <c r="E863" s="263"/>
      <c r="F863" s="263"/>
      <c r="G863" s="263"/>
      <c r="H863" s="263"/>
      <c r="I863" s="263"/>
      <c r="J863" s="19"/>
      <c r="K863" s="19"/>
      <c r="L863" s="19"/>
      <c r="M863" s="19"/>
      <c r="N863" s="19"/>
    </row>
    <row r="864" spans="1:14" ht="16.5" x14ac:dyDescent="0.25">
      <c r="A864" s="262"/>
      <c r="B864" s="262"/>
      <c r="C864" s="262"/>
      <c r="D864" s="263"/>
      <c r="E864" s="263"/>
      <c r="F864" s="263"/>
      <c r="G864" s="263"/>
      <c r="H864" s="263"/>
      <c r="I864" s="263"/>
      <c r="J864" s="19"/>
      <c r="K864" s="19"/>
      <c r="L864" s="19"/>
      <c r="M864" s="19"/>
      <c r="N864" s="19"/>
    </row>
    <row r="865" spans="1:14" ht="16.5" x14ac:dyDescent="0.25">
      <c r="A865" s="262"/>
      <c r="B865" s="262"/>
      <c r="C865" s="262"/>
      <c r="D865" s="263"/>
      <c r="E865" s="263"/>
      <c r="F865" s="263"/>
      <c r="G865" s="263"/>
      <c r="H865" s="263"/>
      <c r="I865" s="263"/>
      <c r="J865" s="19"/>
      <c r="K865" s="19"/>
      <c r="L865" s="19"/>
      <c r="M865" s="19"/>
      <c r="N865" s="19"/>
    </row>
    <row r="866" spans="1:14" ht="16.5" x14ac:dyDescent="0.25">
      <c r="A866" s="262"/>
      <c r="B866" s="262"/>
      <c r="C866" s="262"/>
      <c r="D866" s="263"/>
      <c r="E866" s="263"/>
      <c r="F866" s="263"/>
      <c r="G866" s="263"/>
      <c r="H866" s="263"/>
      <c r="I866" s="263"/>
      <c r="J866" s="19"/>
      <c r="K866" s="19"/>
      <c r="L866" s="19"/>
      <c r="M866" s="19"/>
      <c r="N866" s="19"/>
    </row>
    <row r="867" spans="1:14" ht="16.5" x14ac:dyDescent="0.25">
      <c r="A867" s="262"/>
      <c r="B867" s="262"/>
      <c r="C867" s="262"/>
      <c r="D867" s="263"/>
      <c r="E867" s="263"/>
      <c r="F867" s="263"/>
      <c r="G867" s="263"/>
      <c r="H867" s="263"/>
      <c r="I867" s="263"/>
      <c r="J867" s="19"/>
      <c r="K867" s="19"/>
      <c r="L867" s="19"/>
      <c r="M867" s="19"/>
      <c r="N867" s="19"/>
    </row>
    <row r="868" spans="1:14" ht="16.5" x14ac:dyDescent="0.25">
      <c r="A868" s="262"/>
      <c r="B868" s="262"/>
      <c r="C868" s="262"/>
      <c r="D868" s="263"/>
      <c r="E868" s="263"/>
      <c r="F868" s="263"/>
      <c r="G868" s="263"/>
      <c r="H868" s="263"/>
      <c r="I868" s="263"/>
      <c r="J868" s="19"/>
      <c r="K868" s="19"/>
      <c r="L868" s="19"/>
      <c r="M868" s="19"/>
      <c r="N868" s="19"/>
    </row>
    <row r="869" spans="1:14" ht="16.5" x14ac:dyDescent="0.25">
      <c r="A869" s="262"/>
      <c r="B869" s="262"/>
      <c r="C869" s="262"/>
      <c r="D869" s="263"/>
      <c r="E869" s="263"/>
      <c r="F869" s="263"/>
      <c r="G869" s="263"/>
      <c r="H869" s="263"/>
      <c r="I869" s="263"/>
      <c r="J869" s="19"/>
      <c r="K869" s="19"/>
      <c r="L869" s="19"/>
      <c r="M869" s="19"/>
      <c r="N869" s="19"/>
    </row>
    <row r="870" spans="1:14" ht="16.5" x14ac:dyDescent="0.25">
      <c r="A870" s="262"/>
      <c r="B870" s="262"/>
      <c r="C870" s="262"/>
      <c r="D870" s="263"/>
      <c r="E870" s="263"/>
      <c r="F870" s="263"/>
      <c r="G870" s="263"/>
      <c r="H870" s="263"/>
      <c r="I870" s="263"/>
      <c r="J870" s="19"/>
      <c r="K870" s="19"/>
      <c r="L870" s="19"/>
      <c r="M870" s="19"/>
      <c r="N870" s="19"/>
    </row>
    <row r="871" spans="1:14" ht="16.5" x14ac:dyDescent="0.25">
      <c r="A871" s="262"/>
      <c r="B871" s="262"/>
      <c r="C871" s="262"/>
      <c r="D871" s="263"/>
      <c r="E871" s="263"/>
      <c r="F871" s="263"/>
      <c r="G871" s="263"/>
      <c r="H871" s="263"/>
      <c r="I871" s="263"/>
      <c r="J871" s="19"/>
      <c r="K871" s="19"/>
      <c r="L871" s="19"/>
      <c r="M871" s="19"/>
      <c r="N871" s="19"/>
    </row>
    <row r="872" spans="1:14" ht="16.5" x14ac:dyDescent="0.25">
      <c r="A872" s="262"/>
      <c r="B872" s="262"/>
      <c r="C872" s="262"/>
      <c r="D872" s="263"/>
      <c r="E872" s="263"/>
      <c r="F872" s="263"/>
      <c r="G872" s="263"/>
      <c r="H872" s="263"/>
      <c r="I872" s="263"/>
      <c r="J872" s="19"/>
      <c r="K872" s="19"/>
      <c r="L872" s="19"/>
      <c r="M872" s="19"/>
      <c r="N872" s="19"/>
    </row>
    <row r="873" spans="1:14" ht="16.5" x14ac:dyDescent="0.25">
      <c r="A873" s="262"/>
      <c r="B873" s="262"/>
      <c r="C873" s="262"/>
      <c r="D873" s="263"/>
      <c r="E873" s="263"/>
      <c r="F873" s="263"/>
      <c r="G873" s="263"/>
      <c r="H873" s="263"/>
      <c r="I873" s="263"/>
      <c r="J873" s="19"/>
      <c r="K873" s="19"/>
      <c r="L873" s="19"/>
      <c r="M873" s="19"/>
      <c r="N873" s="19"/>
    </row>
    <row r="874" spans="1:14" ht="16.5" x14ac:dyDescent="0.25">
      <c r="A874" s="262"/>
      <c r="B874" s="262"/>
      <c r="C874" s="262"/>
      <c r="D874" s="263"/>
      <c r="E874" s="263"/>
      <c r="F874" s="263"/>
      <c r="G874" s="263"/>
      <c r="H874" s="263"/>
      <c r="I874" s="263"/>
      <c r="J874" s="19"/>
      <c r="K874" s="19"/>
      <c r="L874" s="19"/>
      <c r="M874" s="19"/>
      <c r="N874" s="19"/>
    </row>
    <row r="875" spans="1:14" ht="16.5" x14ac:dyDescent="0.25">
      <c r="A875" s="262"/>
      <c r="B875" s="262"/>
      <c r="C875" s="262"/>
      <c r="D875" s="263"/>
      <c r="E875" s="263"/>
      <c r="F875" s="263"/>
      <c r="G875" s="263"/>
      <c r="H875" s="263"/>
      <c r="I875" s="263"/>
      <c r="J875" s="19"/>
      <c r="K875" s="19"/>
      <c r="L875" s="19"/>
      <c r="M875" s="19"/>
      <c r="N875" s="19"/>
    </row>
    <row r="876" spans="1:14" ht="16.5" x14ac:dyDescent="0.25">
      <c r="A876" s="262"/>
      <c r="B876" s="262"/>
      <c r="C876" s="262"/>
      <c r="D876" s="263"/>
      <c r="E876" s="263"/>
      <c r="F876" s="263"/>
      <c r="G876" s="263"/>
      <c r="H876" s="263"/>
      <c r="I876" s="263"/>
      <c r="J876" s="19"/>
      <c r="K876" s="19"/>
      <c r="L876" s="19"/>
      <c r="M876" s="19"/>
      <c r="N876" s="19"/>
    </row>
    <row r="877" spans="1:14" ht="16.5" x14ac:dyDescent="0.25">
      <c r="A877" s="262"/>
      <c r="B877" s="262"/>
      <c r="C877" s="262"/>
      <c r="D877" s="263"/>
      <c r="E877" s="263"/>
      <c r="F877" s="263"/>
      <c r="G877" s="263"/>
      <c r="H877" s="263"/>
      <c r="I877" s="263"/>
      <c r="J877" s="19"/>
      <c r="K877" s="19"/>
      <c r="L877" s="19"/>
      <c r="M877" s="19"/>
      <c r="N877" s="19"/>
    </row>
    <row r="878" spans="1:14" ht="16.5" x14ac:dyDescent="0.25">
      <c r="A878" s="262"/>
      <c r="B878" s="262"/>
      <c r="C878" s="262"/>
      <c r="D878" s="263"/>
      <c r="E878" s="263"/>
      <c r="F878" s="263"/>
      <c r="G878" s="263"/>
      <c r="H878" s="263"/>
      <c r="I878" s="263"/>
      <c r="J878" s="19"/>
      <c r="K878" s="19"/>
      <c r="L878" s="19"/>
      <c r="M878" s="19"/>
      <c r="N878" s="19"/>
    </row>
    <row r="879" spans="1:14" ht="16.5" x14ac:dyDescent="0.25">
      <c r="A879" s="262"/>
      <c r="B879" s="262"/>
      <c r="C879" s="262"/>
      <c r="D879" s="263"/>
      <c r="E879" s="263"/>
      <c r="F879" s="263"/>
      <c r="G879" s="263"/>
      <c r="H879" s="263"/>
      <c r="I879" s="263"/>
      <c r="J879" s="19"/>
      <c r="K879" s="19"/>
      <c r="L879" s="19"/>
      <c r="M879" s="19"/>
      <c r="N879" s="19"/>
    </row>
    <row r="880" spans="1:14" ht="16.5" x14ac:dyDescent="0.25">
      <c r="A880" s="262"/>
      <c r="B880" s="262"/>
      <c r="C880" s="262"/>
      <c r="D880" s="263"/>
      <c r="E880" s="263"/>
      <c r="F880" s="263"/>
      <c r="G880" s="263"/>
      <c r="H880" s="263"/>
      <c r="I880" s="263"/>
      <c r="J880" s="19"/>
      <c r="K880" s="19"/>
      <c r="L880" s="19"/>
      <c r="M880" s="19"/>
      <c r="N880" s="19"/>
    </row>
    <row r="881" spans="1:14" ht="16.5" x14ac:dyDescent="0.25">
      <c r="A881" s="262"/>
      <c r="B881" s="262"/>
      <c r="C881" s="262"/>
      <c r="D881" s="263"/>
      <c r="E881" s="263"/>
      <c r="F881" s="263"/>
      <c r="G881" s="263"/>
      <c r="H881" s="263"/>
      <c r="I881" s="263"/>
      <c r="J881" s="19"/>
      <c r="K881" s="19"/>
      <c r="L881" s="19"/>
      <c r="M881" s="19"/>
      <c r="N881" s="19"/>
    </row>
    <row r="882" spans="1:14" ht="16.5" x14ac:dyDescent="0.25">
      <c r="A882" s="262"/>
      <c r="B882" s="262"/>
      <c r="C882" s="262"/>
      <c r="D882" s="263"/>
      <c r="E882" s="263"/>
      <c r="F882" s="263"/>
      <c r="G882" s="263"/>
      <c r="H882" s="263"/>
      <c r="I882" s="263"/>
      <c r="J882" s="19"/>
      <c r="K882" s="19"/>
      <c r="L882" s="19"/>
      <c r="M882" s="19"/>
      <c r="N882" s="19"/>
    </row>
    <row r="883" spans="1:14" ht="16.5" x14ac:dyDescent="0.25">
      <c r="A883" s="262"/>
      <c r="B883" s="262"/>
      <c r="C883" s="262"/>
      <c r="D883" s="263"/>
      <c r="E883" s="263"/>
      <c r="F883" s="263"/>
      <c r="G883" s="263"/>
      <c r="H883" s="263"/>
      <c r="I883" s="263"/>
      <c r="J883" s="19"/>
      <c r="K883" s="19"/>
      <c r="L883" s="19"/>
      <c r="M883" s="19"/>
      <c r="N883" s="19"/>
    </row>
    <row r="884" spans="1:14" ht="16.5" x14ac:dyDescent="0.25">
      <c r="A884" s="262"/>
      <c r="B884" s="262"/>
      <c r="C884" s="262"/>
      <c r="D884" s="263"/>
      <c r="E884" s="263"/>
      <c r="F884" s="263"/>
      <c r="G884" s="263"/>
      <c r="H884" s="263"/>
      <c r="I884" s="263"/>
      <c r="J884" s="19"/>
      <c r="K884" s="19"/>
      <c r="L884" s="19"/>
      <c r="M884" s="19"/>
      <c r="N884" s="19"/>
    </row>
    <row r="885" spans="1:14" ht="16.5" x14ac:dyDescent="0.25">
      <c r="A885" s="262"/>
      <c r="B885" s="262"/>
      <c r="C885" s="262"/>
      <c r="D885" s="263"/>
      <c r="E885" s="263"/>
      <c r="F885" s="263"/>
      <c r="G885" s="263"/>
      <c r="H885" s="263"/>
      <c r="I885" s="263"/>
      <c r="J885" s="19"/>
      <c r="K885" s="19"/>
      <c r="L885" s="19"/>
      <c r="M885" s="19"/>
      <c r="N885" s="19"/>
    </row>
    <row r="886" spans="1:14" ht="16.5" x14ac:dyDescent="0.25">
      <c r="A886" s="262"/>
      <c r="B886" s="262"/>
      <c r="C886" s="262"/>
      <c r="D886" s="263"/>
      <c r="E886" s="263"/>
      <c r="F886" s="263"/>
      <c r="G886" s="263"/>
      <c r="H886" s="263"/>
      <c r="I886" s="263"/>
      <c r="J886" s="19"/>
      <c r="K886" s="19"/>
      <c r="L886" s="19"/>
      <c r="M886" s="19"/>
      <c r="N886" s="19"/>
    </row>
    <row r="887" spans="1:14" ht="16.5" x14ac:dyDescent="0.25">
      <c r="A887" s="262"/>
      <c r="B887" s="262"/>
      <c r="C887" s="262"/>
      <c r="D887" s="263"/>
      <c r="E887" s="263"/>
      <c r="F887" s="263"/>
      <c r="G887" s="263"/>
      <c r="H887" s="263"/>
      <c r="I887" s="263"/>
      <c r="J887" s="19"/>
      <c r="K887" s="19"/>
      <c r="L887" s="19"/>
      <c r="M887" s="19"/>
      <c r="N887" s="19"/>
    </row>
    <row r="888" spans="1:14" ht="16.5" x14ac:dyDescent="0.25">
      <c r="A888" s="262"/>
      <c r="B888" s="262"/>
      <c r="C888" s="262"/>
      <c r="D888" s="263"/>
      <c r="E888" s="263"/>
      <c r="F888" s="263"/>
      <c r="G888" s="263"/>
      <c r="H888" s="263"/>
      <c r="I888" s="263"/>
      <c r="J888" s="19"/>
      <c r="K888" s="19"/>
      <c r="L888" s="19"/>
      <c r="M888" s="19"/>
      <c r="N888" s="19"/>
    </row>
    <row r="889" spans="1:14" ht="16.5" x14ac:dyDescent="0.25">
      <c r="A889" s="262"/>
      <c r="B889" s="262"/>
      <c r="C889" s="262"/>
      <c r="D889" s="263"/>
      <c r="E889" s="263"/>
      <c r="F889" s="263"/>
      <c r="G889" s="263"/>
      <c r="H889" s="263"/>
      <c r="I889" s="263"/>
      <c r="J889" s="19"/>
      <c r="K889" s="19"/>
      <c r="L889" s="19"/>
      <c r="M889" s="19"/>
      <c r="N889" s="19"/>
    </row>
    <row r="890" spans="1:14" ht="16.5" x14ac:dyDescent="0.25">
      <c r="A890" s="262"/>
      <c r="B890" s="262"/>
      <c r="C890" s="262"/>
      <c r="D890" s="263"/>
      <c r="E890" s="263"/>
      <c r="F890" s="263"/>
      <c r="G890" s="263"/>
      <c r="H890" s="263"/>
      <c r="I890" s="263"/>
      <c r="J890" s="19"/>
      <c r="K890" s="19"/>
      <c r="L890" s="19"/>
      <c r="M890" s="19"/>
      <c r="N890" s="19"/>
    </row>
    <row r="891" spans="1:14" ht="16.5" x14ac:dyDescent="0.25">
      <c r="A891" s="262"/>
      <c r="B891" s="262"/>
      <c r="C891" s="262"/>
      <c r="D891" s="263"/>
      <c r="E891" s="263"/>
      <c r="F891" s="263"/>
      <c r="G891" s="263"/>
      <c r="H891" s="263"/>
      <c r="I891" s="263"/>
      <c r="J891" s="19"/>
      <c r="K891" s="19"/>
      <c r="L891" s="19"/>
      <c r="M891" s="19"/>
      <c r="N891" s="19"/>
    </row>
    <row r="892" spans="1:14" ht="16.5" x14ac:dyDescent="0.25">
      <c r="A892" s="262"/>
      <c r="B892" s="262"/>
      <c r="C892" s="262"/>
      <c r="D892" s="263"/>
      <c r="E892" s="263"/>
      <c r="F892" s="263"/>
      <c r="G892" s="263"/>
      <c r="H892" s="263"/>
      <c r="I892" s="263"/>
      <c r="J892" s="19"/>
      <c r="K892" s="19"/>
      <c r="L892" s="19"/>
      <c r="M892" s="19"/>
      <c r="N892" s="19"/>
    </row>
    <row r="893" spans="1:14" ht="16.5" x14ac:dyDescent="0.25">
      <c r="A893" s="262"/>
      <c r="B893" s="262"/>
      <c r="C893" s="262"/>
      <c r="D893" s="263"/>
      <c r="E893" s="263"/>
      <c r="F893" s="263"/>
      <c r="G893" s="263"/>
      <c r="H893" s="263"/>
      <c r="I893" s="263"/>
      <c r="J893" s="19"/>
      <c r="K893" s="19"/>
      <c r="L893" s="19"/>
      <c r="M893" s="19"/>
      <c r="N893" s="19"/>
    </row>
    <row r="894" spans="1:14" ht="16.5" x14ac:dyDescent="0.25">
      <c r="A894" s="262"/>
      <c r="B894" s="262"/>
      <c r="C894" s="262"/>
      <c r="D894" s="263"/>
      <c r="E894" s="263"/>
      <c r="F894" s="263"/>
      <c r="G894" s="263"/>
      <c r="H894" s="263"/>
      <c r="I894" s="263"/>
      <c r="J894" s="19"/>
      <c r="K894" s="19"/>
      <c r="L894" s="19"/>
      <c r="M894" s="19"/>
      <c r="N894" s="19"/>
    </row>
    <row r="895" spans="1:14" ht="16.5" x14ac:dyDescent="0.25">
      <c r="A895" s="262"/>
      <c r="B895" s="262"/>
      <c r="C895" s="262"/>
      <c r="D895" s="263"/>
      <c r="E895" s="263"/>
      <c r="F895" s="263"/>
      <c r="G895" s="263"/>
      <c r="H895" s="263"/>
      <c r="I895" s="263"/>
      <c r="J895" s="19"/>
      <c r="K895" s="19"/>
      <c r="L895" s="19"/>
      <c r="M895" s="19"/>
      <c r="N895" s="19"/>
    </row>
    <row r="896" spans="1:14" ht="16.5" x14ac:dyDescent="0.25">
      <c r="A896" s="262"/>
      <c r="B896" s="262"/>
      <c r="C896" s="262"/>
      <c r="D896" s="263"/>
      <c r="E896" s="263"/>
      <c r="F896" s="263"/>
      <c r="G896" s="263"/>
      <c r="H896" s="263"/>
      <c r="I896" s="263"/>
      <c r="J896" s="19"/>
      <c r="K896" s="19"/>
      <c r="L896" s="19"/>
      <c r="M896" s="19"/>
      <c r="N896" s="19"/>
    </row>
    <row r="897" spans="1:14" ht="16.5" x14ac:dyDescent="0.25">
      <c r="A897" s="262"/>
      <c r="B897" s="262"/>
      <c r="C897" s="262"/>
      <c r="D897" s="263"/>
      <c r="E897" s="263"/>
      <c r="F897" s="263"/>
      <c r="G897" s="263"/>
      <c r="H897" s="263"/>
      <c r="I897" s="263"/>
      <c r="J897" s="19"/>
      <c r="K897" s="19"/>
      <c r="L897" s="19"/>
      <c r="M897" s="19"/>
      <c r="N897" s="19"/>
    </row>
    <row r="898" spans="1:14" ht="16.5" x14ac:dyDescent="0.25">
      <c r="A898" s="262"/>
      <c r="B898" s="262"/>
      <c r="C898" s="262"/>
      <c r="D898" s="263"/>
      <c r="E898" s="263"/>
      <c r="F898" s="263"/>
      <c r="G898" s="263"/>
      <c r="H898" s="263"/>
      <c r="I898" s="263"/>
      <c r="J898" s="19"/>
      <c r="K898" s="19"/>
      <c r="L898" s="19"/>
      <c r="M898" s="19"/>
      <c r="N898" s="19"/>
    </row>
    <row r="899" spans="1:14" ht="16.5" x14ac:dyDescent="0.25">
      <c r="A899" s="262"/>
      <c r="B899" s="262"/>
      <c r="C899" s="262"/>
      <c r="D899" s="263"/>
      <c r="E899" s="263"/>
      <c r="F899" s="263"/>
      <c r="G899" s="263"/>
      <c r="H899" s="263"/>
      <c r="I899" s="263"/>
      <c r="J899" s="19"/>
      <c r="K899" s="19"/>
      <c r="L899" s="19"/>
      <c r="M899" s="19"/>
      <c r="N899" s="19"/>
    </row>
    <row r="900" spans="1:14" ht="16.5" x14ac:dyDescent="0.25">
      <c r="A900" s="262"/>
      <c r="B900" s="262"/>
      <c r="C900" s="262"/>
      <c r="D900" s="263"/>
      <c r="E900" s="263"/>
      <c r="F900" s="263"/>
      <c r="G900" s="263"/>
      <c r="H900" s="263"/>
      <c r="I900" s="263"/>
      <c r="J900" s="19"/>
      <c r="K900" s="19"/>
      <c r="L900" s="19"/>
      <c r="M900" s="19"/>
      <c r="N900" s="19"/>
    </row>
    <row r="901" spans="1:14" ht="16.5" x14ac:dyDescent="0.25">
      <c r="A901" s="262"/>
      <c r="B901" s="262"/>
      <c r="C901" s="262"/>
      <c r="D901" s="263"/>
      <c r="E901" s="263"/>
      <c r="F901" s="263"/>
      <c r="G901" s="263"/>
      <c r="H901" s="263"/>
      <c r="I901" s="263"/>
      <c r="J901" s="19"/>
      <c r="K901" s="19"/>
      <c r="L901" s="19"/>
      <c r="M901" s="19"/>
      <c r="N901" s="19"/>
    </row>
    <row r="902" spans="1:14" ht="16.5" x14ac:dyDescent="0.25">
      <c r="A902" s="262"/>
      <c r="B902" s="262"/>
      <c r="C902" s="262"/>
      <c r="D902" s="263"/>
      <c r="E902" s="263"/>
      <c r="F902" s="263"/>
      <c r="G902" s="263"/>
      <c r="H902" s="263"/>
      <c r="I902" s="263"/>
      <c r="J902" s="19"/>
      <c r="K902" s="19"/>
      <c r="L902" s="19"/>
      <c r="M902" s="19"/>
      <c r="N902" s="19"/>
    </row>
    <row r="903" spans="1:14" ht="16.5" x14ac:dyDescent="0.25">
      <c r="A903" s="262"/>
      <c r="B903" s="262"/>
      <c r="C903" s="262"/>
      <c r="D903" s="263"/>
      <c r="E903" s="263"/>
      <c r="F903" s="263"/>
      <c r="G903" s="263"/>
      <c r="H903" s="263"/>
      <c r="I903" s="263"/>
      <c r="J903" s="19"/>
      <c r="K903" s="19"/>
      <c r="L903" s="19"/>
      <c r="M903" s="19"/>
      <c r="N903" s="19"/>
    </row>
    <row r="904" spans="1:14" ht="16.5" x14ac:dyDescent="0.25">
      <c r="A904" s="262"/>
      <c r="B904" s="262"/>
      <c r="C904" s="262"/>
      <c r="D904" s="263"/>
      <c r="E904" s="263"/>
      <c r="F904" s="263"/>
      <c r="G904" s="263"/>
      <c r="H904" s="263"/>
      <c r="I904" s="263"/>
      <c r="J904" s="19"/>
      <c r="K904" s="19"/>
      <c r="L904" s="19"/>
      <c r="M904" s="19"/>
      <c r="N904" s="19"/>
    </row>
    <row r="905" spans="1:14" ht="16.5" x14ac:dyDescent="0.25">
      <c r="A905" s="262"/>
      <c r="B905" s="262"/>
      <c r="C905" s="262"/>
      <c r="D905" s="263"/>
      <c r="E905" s="263"/>
      <c r="F905" s="263"/>
      <c r="G905" s="263"/>
      <c r="H905" s="263"/>
      <c r="I905" s="263"/>
      <c r="J905" s="19"/>
      <c r="K905" s="19"/>
      <c r="L905" s="19"/>
      <c r="M905" s="19"/>
      <c r="N905" s="19"/>
    </row>
    <row r="906" spans="1:14" ht="16.5" x14ac:dyDescent="0.25">
      <c r="A906" s="262"/>
      <c r="B906" s="262"/>
      <c r="C906" s="262"/>
      <c r="D906" s="263"/>
      <c r="E906" s="263"/>
      <c r="F906" s="263"/>
      <c r="G906" s="263"/>
      <c r="H906" s="263"/>
      <c r="I906" s="263"/>
      <c r="J906" s="19"/>
      <c r="K906" s="19"/>
      <c r="L906" s="19"/>
      <c r="M906" s="19"/>
      <c r="N906" s="19"/>
    </row>
    <row r="907" spans="1:14" ht="16.5" x14ac:dyDescent="0.25">
      <c r="A907" s="262"/>
      <c r="B907" s="262"/>
      <c r="C907" s="262"/>
      <c r="D907" s="263"/>
      <c r="E907" s="263"/>
      <c r="F907" s="263"/>
      <c r="G907" s="263"/>
      <c r="H907" s="263"/>
      <c r="I907" s="263"/>
      <c r="J907" s="19"/>
      <c r="K907" s="19"/>
      <c r="L907" s="19"/>
      <c r="M907" s="19"/>
      <c r="N907" s="19"/>
    </row>
    <row r="908" spans="1:14" ht="16.5" x14ac:dyDescent="0.25">
      <c r="A908" s="262"/>
      <c r="B908" s="262"/>
      <c r="C908" s="262"/>
      <c r="D908" s="263"/>
      <c r="E908" s="263"/>
      <c r="F908" s="263"/>
      <c r="G908" s="263"/>
      <c r="H908" s="263"/>
      <c r="I908" s="263"/>
      <c r="J908" s="19"/>
      <c r="K908" s="19"/>
      <c r="L908" s="19"/>
      <c r="M908" s="19"/>
      <c r="N908" s="19"/>
    </row>
    <row r="909" spans="1:14" ht="16.5" x14ac:dyDescent="0.25">
      <c r="A909" s="262"/>
      <c r="B909" s="262"/>
      <c r="C909" s="262"/>
      <c r="D909" s="263"/>
      <c r="E909" s="263"/>
      <c r="F909" s="263"/>
      <c r="G909" s="263"/>
      <c r="H909" s="263"/>
      <c r="I909" s="263"/>
      <c r="J909" s="19"/>
      <c r="K909" s="19"/>
      <c r="L909" s="19"/>
      <c r="M909" s="19"/>
      <c r="N909" s="19"/>
    </row>
    <row r="910" spans="1:14" ht="16.5" x14ac:dyDescent="0.25">
      <c r="A910" s="262"/>
      <c r="B910" s="262"/>
      <c r="C910" s="262"/>
      <c r="D910" s="263"/>
      <c r="E910" s="263"/>
      <c r="F910" s="263"/>
      <c r="G910" s="263"/>
      <c r="H910" s="263"/>
      <c r="I910" s="263"/>
      <c r="J910" s="19"/>
      <c r="K910" s="19"/>
      <c r="L910" s="19"/>
      <c r="M910" s="19"/>
      <c r="N910" s="19"/>
    </row>
    <row r="911" spans="1:14" ht="16.5" x14ac:dyDescent="0.25">
      <c r="A911" s="262"/>
      <c r="B911" s="262"/>
      <c r="C911" s="262"/>
      <c r="D911" s="263"/>
      <c r="E911" s="263"/>
      <c r="F911" s="263"/>
      <c r="G911" s="263"/>
      <c r="H911" s="263"/>
      <c r="I911" s="263"/>
      <c r="J911" s="19"/>
      <c r="K911" s="19"/>
      <c r="L911" s="19"/>
      <c r="M911" s="19"/>
      <c r="N911" s="19"/>
    </row>
    <row r="912" spans="1:14" ht="16.5" x14ac:dyDescent="0.25">
      <c r="A912" s="262"/>
      <c r="B912" s="262"/>
      <c r="C912" s="262"/>
      <c r="D912" s="263"/>
      <c r="E912" s="263"/>
      <c r="F912" s="263"/>
      <c r="G912" s="263"/>
      <c r="H912" s="263"/>
      <c r="I912" s="263"/>
      <c r="J912" s="19"/>
      <c r="K912" s="19"/>
      <c r="L912" s="19"/>
      <c r="M912" s="19"/>
      <c r="N912" s="19"/>
    </row>
    <row r="913" spans="1:14" ht="16.5" x14ac:dyDescent="0.25">
      <c r="A913" s="262"/>
      <c r="B913" s="262"/>
      <c r="C913" s="262"/>
      <c r="D913" s="263"/>
      <c r="E913" s="263"/>
      <c r="F913" s="263"/>
      <c r="G913" s="263"/>
      <c r="H913" s="263"/>
      <c r="I913" s="263"/>
      <c r="J913" s="19"/>
      <c r="K913" s="19"/>
      <c r="L913" s="19"/>
      <c r="M913" s="19"/>
      <c r="N913" s="19"/>
    </row>
    <row r="914" spans="1:14" ht="16.5" x14ac:dyDescent="0.25">
      <c r="A914" s="262"/>
      <c r="B914" s="262"/>
      <c r="C914" s="262"/>
      <c r="D914" s="263"/>
      <c r="E914" s="263"/>
      <c r="F914" s="263"/>
      <c r="G914" s="263"/>
      <c r="H914" s="263"/>
      <c r="I914" s="263"/>
      <c r="J914" s="19"/>
      <c r="K914" s="19"/>
      <c r="L914" s="19"/>
      <c r="M914" s="19"/>
      <c r="N914" s="19"/>
    </row>
    <row r="915" spans="1:14" ht="16.5" x14ac:dyDescent="0.25">
      <c r="A915" s="262"/>
      <c r="B915" s="262"/>
      <c r="C915" s="262"/>
      <c r="D915" s="263"/>
      <c r="E915" s="263"/>
      <c r="F915" s="263"/>
      <c r="G915" s="263"/>
      <c r="H915" s="263"/>
      <c r="I915" s="263"/>
      <c r="J915" s="19"/>
      <c r="K915" s="19"/>
      <c r="L915" s="19"/>
      <c r="M915" s="19"/>
      <c r="N915" s="19"/>
    </row>
    <row r="916" spans="1:14" ht="16.5" x14ac:dyDescent="0.25">
      <c r="A916" s="262"/>
      <c r="B916" s="262"/>
      <c r="C916" s="262"/>
      <c r="D916" s="263"/>
      <c r="E916" s="263"/>
      <c r="F916" s="263"/>
      <c r="G916" s="263"/>
      <c r="H916" s="263"/>
      <c r="I916" s="263"/>
      <c r="J916" s="19"/>
      <c r="K916" s="19"/>
      <c r="L916" s="19"/>
      <c r="M916" s="19"/>
      <c r="N916" s="19"/>
    </row>
    <row r="917" spans="1:14" ht="16.5" x14ac:dyDescent="0.25">
      <c r="A917" s="262"/>
      <c r="B917" s="262"/>
      <c r="C917" s="262"/>
      <c r="D917" s="263"/>
      <c r="E917" s="263"/>
      <c r="F917" s="263"/>
      <c r="G917" s="263"/>
      <c r="H917" s="263"/>
      <c r="I917" s="263"/>
      <c r="J917" s="19"/>
      <c r="K917" s="19"/>
      <c r="L917" s="19"/>
      <c r="M917" s="19"/>
      <c r="N917" s="19"/>
    </row>
    <row r="918" spans="1:14" ht="16.5" x14ac:dyDescent="0.25">
      <c r="A918" s="262"/>
      <c r="B918" s="262"/>
      <c r="C918" s="262"/>
      <c r="D918" s="263"/>
      <c r="E918" s="263"/>
      <c r="F918" s="263"/>
      <c r="G918" s="263"/>
      <c r="H918" s="263"/>
      <c r="I918" s="263"/>
      <c r="J918" s="19"/>
      <c r="K918" s="19"/>
      <c r="L918" s="19"/>
      <c r="M918" s="19"/>
      <c r="N918" s="19"/>
    </row>
    <row r="919" spans="1:14" ht="16.5" x14ac:dyDescent="0.25">
      <c r="A919" s="262"/>
      <c r="B919" s="262"/>
      <c r="C919" s="262"/>
      <c r="D919" s="263"/>
      <c r="E919" s="263"/>
      <c r="F919" s="263"/>
      <c r="G919" s="263"/>
      <c r="H919" s="263"/>
      <c r="I919" s="263"/>
      <c r="J919" s="19"/>
      <c r="K919" s="19"/>
      <c r="L919" s="19"/>
      <c r="M919" s="19"/>
      <c r="N919" s="19"/>
    </row>
    <row r="920" spans="1:14" ht="16.5" x14ac:dyDescent="0.25">
      <c r="A920" s="262"/>
      <c r="B920" s="262"/>
      <c r="C920" s="262"/>
      <c r="D920" s="263"/>
      <c r="E920" s="263"/>
      <c r="F920" s="263"/>
      <c r="G920" s="263"/>
      <c r="H920" s="263"/>
      <c r="I920" s="263"/>
      <c r="J920" s="19"/>
      <c r="K920" s="19"/>
      <c r="L920" s="19"/>
      <c r="M920" s="19"/>
      <c r="N920" s="19"/>
    </row>
    <row r="921" spans="1:14" ht="16.5" x14ac:dyDescent="0.25">
      <c r="A921" s="262"/>
      <c r="B921" s="262"/>
      <c r="C921" s="262"/>
      <c r="D921" s="263"/>
      <c r="E921" s="263"/>
      <c r="F921" s="263"/>
      <c r="G921" s="263"/>
      <c r="H921" s="263"/>
      <c r="I921" s="263"/>
      <c r="J921" s="19"/>
      <c r="K921" s="19"/>
      <c r="L921" s="19"/>
      <c r="M921" s="19"/>
      <c r="N921" s="19"/>
    </row>
    <row r="922" spans="1:14" ht="16.5" x14ac:dyDescent="0.25">
      <c r="A922" s="262"/>
      <c r="B922" s="262"/>
      <c r="C922" s="262"/>
      <c r="D922" s="263"/>
      <c r="E922" s="263"/>
      <c r="F922" s="263"/>
      <c r="G922" s="263"/>
      <c r="H922" s="263"/>
      <c r="I922" s="263"/>
      <c r="J922" s="19"/>
      <c r="K922" s="19"/>
      <c r="L922" s="19"/>
      <c r="M922" s="19"/>
      <c r="N922" s="19"/>
    </row>
    <row r="923" spans="1:14" ht="16.5" x14ac:dyDescent="0.25">
      <c r="A923" s="262"/>
      <c r="B923" s="262"/>
      <c r="C923" s="262"/>
      <c r="D923" s="263"/>
      <c r="E923" s="263"/>
      <c r="F923" s="263"/>
      <c r="G923" s="263"/>
      <c r="H923" s="263"/>
      <c r="I923" s="263"/>
      <c r="J923" s="19"/>
      <c r="K923" s="19"/>
      <c r="L923" s="19"/>
      <c r="M923" s="19"/>
      <c r="N923" s="19"/>
    </row>
    <row r="924" spans="1:14" ht="16.5" x14ac:dyDescent="0.25">
      <c r="A924" s="262"/>
      <c r="B924" s="262"/>
      <c r="C924" s="262"/>
      <c r="D924" s="263"/>
      <c r="E924" s="263"/>
      <c r="F924" s="263"/>
      <c r="G924" s="263"/>
      <c r="H924" s="263"/>
      <c r="I924" s="263"/>
      <c r="J924" s="19"/>
      <c r="K924" s="19"/>
      <c r="L924" s="19"/>
      <c r="M924" s="19"/>
      <c r="N924" s="19"/>
    </row>
    <row r="925" spans="1:14" ht="16.5" x14ac:dyDescent="0.25">
      <c r="A925" s="262"/>
      <c r="B925" s="262"/>
      <c r="C925" s="262"/>
      <c r="D925" s="263"/>
      <c r="E925" s="263"/>
      <c r="F925" s="263"/>
      <c r="G925" s="263"/>
      <c r="H925" s="263"/>
      <c r="I925" s="263"/>
      <c r="J925" s="19"/>
      <c r="K925" s="19"/>
      <c r="L925" s="19"/>
      <c r="M925" s="19"/>
      <c r="N925" s="19"/>
    </row>
    <row r="926" spans="1:14" ht="16.5" x14ac:dyDescent="0.25">
      <c r="A926" s="262"/>
      <c r="B926" s="262"/>
      <c r="C926" s="262"/>
      <c r="D926" s="263"/>
      <c r="E926" s="263"/>
      <c r="F926" s="263"/>
      <c r="G926" s="263"/>
      <c r="H926" s="263"/>
      <c r="I926" s="263"/>
      <c r="J926" s="19"/>
      <c r="K926" s="19"/>
      <c r="L926" s="19"/>
      <c r="M926" s="19"/>
      <c r="N926" s="19"/>
    </row>
    <row r="927" spans="1:14" ht="16.5" x14ac:dyDescent="0.25">
      <c r="A927" s="262"/>
      <c r="B927" s="262"/>
      <c r="C927" s="262"/>
      <c r="D927" s="263"/>
      <c r="E927" s="263"/>
      <c r="F927" s="263"/>
      <c r="G927" s="263"/>
      <c r="H927" s="263"/>
      <c r="I927" s="263"/>
      <c r="J927" s="19"/>
      <c r="K927" s="19"/>
      <c r="L927" s="19"/>
      <c r="M927" s="19"/>
      <c r="N927" s="19"/>
    </row>
    <row r="928" spans="1:14" ht="16.5" x14ac:dyDescent="0.25">
      <c r="A928" s="262"/>
      <c r="B928" s="262"/>
      <c r="C928" s="262"/>
      <c r="D928" s="263"/>
      <c r="E928" s="263"/>
      <c r="F928" s="263"/>
      <c r="G928" s="263"/>
      <c r="H928" s="263"/>
      <c r="I928" s="263"/>
      <c r="J928" s="19"/>
      <c r="K928" s="19"/>
      <c r="L928" s="19"/>
      <c r="M928" s="19"/>
      <c r="N928" s="19"/>
    </row>
    <row r="929" spans="1:14" ht="16.5" x14ac:dyDescent="0.25">
      <c r="A929" s="262"/>
      <c r="B929" s="262"/>
      <c r="C929" s="262"/>
      <c r="D929" s="263"/>
      <c r="E929" s="263"/>
      <c r="F929" s="263"/>
      <c r="G929" s="263"/>
      <c r="H929" s="263"/>
      <c r="I929" s="263"/>
      <c r="J929" s="19"/>
      <c r="K929" s="19"/>
      <c r="L929" s="19"/>
      <c r="M929" s="19"/>
      <c r="N929" s="19"/>
    </row>
    <row r="930" spans="1:14" ht="16.5" x14ac:dyDescent="0.25">
      <c r="A930" s="262"/>
      <c r="B930" s="262"/>
      <c r="C930" s="262"/>
      <c r="D930" s="263"/>
      <c r="E930" s="263"/>
      <c r="F930" s="263"/>
      <c r="G930" s="263"/>
      <c r="H930" s="263"/>
      <c r="I930" s="263"/>
      <c r="J930" s="19"/>
      <c r="K930" s="19"/>
      <c r="L930" s="19"/>
      <c r="M930" s="19"/>
      <c r="N930" s="19"/>
    </row>
    <row r="931" spans="1:14" ht="16.5" x14ac:dyDescent="0.25">
      <c r="A931" s="262"/>
      <c r="B931" s="262"/>
      <c r="C931" s="262"/>
      <c r="D931" s="263"/>
      <c r="E931" s="263"/>
      <c r="F931" s="263"/>
      <c r="G931" s="263"/>
      <c r="H931" s="263"/>
      <c r="I931" s="263"/>
      <c r="J931" s="19"/>
      <c r="K931" s="19"/>
      <c r="L931" s="19"/>
      <c r="M931" s="19"/>
      <c r="N931" s="19"/>
    </row>
    <row r="932" spans="1:14" ht="16.5" x14ac:dyDescent="0.25">
      <c r="A932" s="262"/>
      <c r="B932" s="262"/>
      <c r="C932" s="262"/>
      <c r="D932" s="263"/>
      <c r="E932" s="263"/>
      <c r="F932" s="263"/>
      <c r="G932" s="263"/>
      <c r="H932" s="263"/>
      <c r="I932" s="263"/>
      <c r="J932" s="19"/>
      <c r="K932" s="19"/>
      <c r="L932" s="19"/>
      <c r="M932" s="19"/>
      <c r="N932" s="19"/>
    </row>
    <row r="933" spans="1:14" ht="16.5" x14ac:dyDescent="0.25">
      <c r="A933" s="262"/>
      <c r="B933" s="262"/>
      <c r="C933" s="262"/>
      <c r="D933" s="263"/>
      <c r="E933" s="263"/>
      <c r="F933" s="263"/>
      <c r="G933" s="263"/>
      <c r="H933" s="263"/>
      <c r="I933" s="263"/>
      <c r="J933" s="19"/>
      <c r="K933" s="19"/>
      <c r="L933" s="19"/>
      <c r="M933" s="19"/>
      <c r="N933" s="19"/>
    </row>
    <row r="934" spans="1:14" ht="16.5" x14ac:dyDescent="0.25">
      <c r="A934" s="262"/>
      <c r="B934" s="262"/>
      <c r="C934" s="262"/>
      <c r="D934" s="263"/>
      <c r="E934" s="263"/>
      <c r="F934" s="263"/>
      <c r="G934" s="263"/>
      <c r="H934" s="263"/>
      <c r="I934" s="263"/>
      <c r="J934" s="19"/>
      <c r="K934" s="19"/>
      <c r="L934" s="19"/>
      <c r="M934" s="19"/>
      <c r="N934" s="19"/>
    </row>
    <row r="935" spans="1:14" ht="16.5" x14ac:dyDescent="0.25">
      <c r="A935" s="262"/>
      <c r="B935" s="262"/>
      <c r="C935" s="262"/>
      <c r="D935" s="263"/>
      <c r="E935" s="263"/>
      <c r="F935" s="263"/>
      <c r="G935" s="263"/>
      <c r="H935" s="263"/>
      <c r="I935" s="263"/>
      <c r="J935" s="19"/>
      <c r="K935" s="19"/>
      <c r="L935" s="19"/>
      <c r="M935" s="19"/>
      <c r="N935" s="19"/>
    </row>
    <row r="936" spans="1:14" ht="16.5" x14ac:dyDescent="0.25">
      <c r="A936" s="262"/>
      <c r="B936" s="262"/>
      <c r="C936" s="262"/>
      <c r="D936" s="263"/>
      <c r="E936" s="263"/>
      <c r="F936" s="263"/>
      <c r="G936" s="263"/>
      <c r="H936" s="263"/>
      <c r="I936" s="263"/>
      <c r="J936" s="19"/>
      <c r="K936" s="19"/>
      <c r="L936" s="19"/>
      <c r="M936" s="19"/>
      <c r="N936" s="19"/>
    </row>
    <row r="937" spans="1:14" ht="16.5" x14ac:dyDescent="0.25">
      <c r="A937" s="262"/>
      <c r="B937" s="262"/>
      <c r="C937" s="262"/>
      <c r="D937" s="263"/>
      <c r="E937" s="263"/>
      <c r="F937" s="263"/>
      <c r="G937" s="263"/>
      <c r="H937" s="263"/>
      <c r="I937" s="263"/>
      <c r="J937" s="19"/>
      <c r="K937" s="19"/>
      <c r="L937" s="19"/>
      <c r="M937" s="19"/>
      <c r="N937" s="19"/>
    </row>
    <row r="938" spans="1:14" ht="16.5" x14ac:dyDescent="0.25">
      <c r="A938" s="262"/>
      <c r="B938" s="262"/>
      <c r="C938" s="262"/>
      <c r="D938" s="263"/>
      <c r="E938" s="263"/>
      <c r="F938" s="263"/>
      <c r="G938" s="263"/>
      <c r="H938" s="263"/>
      <c r="I938" s="263"/>
      <c r="J938" s="19"/>
      <c r="K938" s="19"/>
      <c r="L938" s="19"/>
      <c r="M938" s="19"/>
      <c r="N938" s="19"/>
    </row>
    <row r="939" spans="1:14" ht="16.5" x14ac:dyDescent="0.25">
      <c r="A939" s="262"/>
      <c r="B939" s="262"/>
      <c r="C939" s="262"/>
      <c r="D939" s="263"/>
      <c r="E939" s="263"/>
      <c r="F939" s="263"/>
      <c r="G939" s="263"/>
      <c r="H939" s="263"/>
      <c r="I939" s="263"/>
      <c r="J939" s="19"/>
      <c r="K939" s="19"/>
      <c r="L939" s="19"/>
      <c r="M939" s="19"/>
      <c r="N939" s="19"/>
    </row>
    <row r="940" spans="1:14" ht="16.5" x14ac:dyDescent="0.25">
      <c r="A940" s="262"/>
      <c r="B940" s="262"/>
      <c r="C940" s="262"/>
      <c r="D940" s="263"/>
      <c r="E940" s="263"/>
      <c r="F940" s="263"/>
      <c r="G940" s="263"/>
      <c r="H940" s="263"/>
      <c r="I940" s="263"/>
      <c r="J940" s="19"/>
      <c r="K940" s="19"/>
      <c r="L940" s="19"/>
      <c r="M940" s="19"/>
      <c r="N940" s="19"/>
    </row>
    <row r="941" spans="1:14" ht="16.5" x14ac:dyDescent="0.25">
      <c r="A941" s="262"/>
      <c r="B941" s="262"/>
      <c r="C941" s="262"/>
      <c r="D941" s="263"/>
      <c r="E941" s="263"/>
      <c r="F941" s="263"/>
      <c r="G941" s="263"/>
      <c r="H941" s="263"/>
      <c r="I941" s="263"/>
      <c r="J941" s="19"/>
      <c r="K941" s="19"/>
      <c r="L941" s="19"/>
      <c r="M941" s="19"/>
      <c r="N941" s="19"/>
    </row>
    <row r="942" spans="1:14" ht="16.5" x14ac:dyDescent="0.25">
      <c r="A942" s="262"/>
      <c r="B942" s="262"/>
      <c r="C942" s="262"/>
      <c r="D942" s="263"/>
      <c r="E942" s="263"/>
      <c r="F942" s="263"/>
      <c r="G942" s="263"/>
      <c r="H942" s="263"/>
      <c r="I942" s="263"/>
      <c r="J942" s="19"/>
      <c r="K942" s="19"/>
      <c r="L942" s="19"/>
      <c r="M942" s="19"/>
      <c r="N942" s="19"/>
    </row>
    <row r="943" spans="1:14" ht="16.5" x14ac:dyDescent="0.25">
      <c r="A943" s="262"/>
      <c r="B943" s="262"/>
      <c r="C943" s="262"/>
      <c r="D943" s="263"/>
      <c r="E943" s="263"/>
      <c r="F943" s="263"/>
      <c r="G943" s="263"/>
      <c r="H943" s="263"/>
      <c r="I943" s="263"/>
      <c r="J943" s="19"/>
      <c r="K943" s="19"/>
      <c r="L943" s="19"/>
      <c r="M943" s="19"/>
      <c r="N943" s="19"/>
    </row>
    <row r="944" spans="1:14" ht="16.5" x14ac:dyDescent="0.25">
      <c r="A944" s="262"/>
      <c r="B944" s="262"/>
      <c r="C944" s="262"/>
      <c r="D944" s="263"/>
      <c r="E944" s="263"/>
      <c r="F944" s="263"/>
      <c r="G944" s="263"/>
      <c r="H944" s="263"/>
      <c r="I944" s="263"/>
      <c r="J944" s="19"/>
      <c r="K944" s="19"/>
      <c r="L944" s="19"/>
      <c r="M944" s="19"/>
      <c r="N944" s="19"/>
    </row>
    <row r="945" spans="1:14" ht="16.5" x14ac:dyDescent="0.25">
      <c r="A945" s="262"/>
      <c r="B945" s="262"/>
      <c r="C945" s="262"/>
      <c r="D945" s="263"/>
      <c r="E945" s="263"/>
      <c r="F945" s="263"/>
      <c r="G945" s="263"/>
      <c r="H945" s="263"/>
      <c r="I945" s="263"/>
      <c r="J945" s="19"/>
      <c r="K945" s="19"/>
      <c r="L945" s="19"/>
      <c r="M945" s="19"/>
      <c r="N945" s="19"/>
    </row>
    <row r="946" spans="1:14" ht="16.5" x14ac:dyDescent="0.25">
      <c r="A946" s="262"/>
      <c r="B946" s="262"/>
      <c r="C946" s="262"/>
      <c r="D946" s="263"/>
      <c r="E946" s="263"/>
      <c r="F946" s="263"/>
      <c r="G946" s="263"/>
      <c r="H946" s="263"/>
      <c r="I946" s="263"/>
      <c r="J946" s="19"/>
      <c r="K946" s="19"/>
      <c r="L946" s="19"/>
      <c r="M946" s="19"/>
      <c r="N946" s="19"/>
    </row>
    <row r="947" spans="1:14" ht="16.5" x14ac:dyDescent="0.25">
      <c r="A947" s="262"/>
      <c r="B947" s="262"/>
      <c r="C947" s="262"/>
      <c r="D947" s="263"/>
      <c r="E947" s="263"/>
      <c r="F947" s="263"/>
      <c r="G947" s="263"/>
      <c r="H947" s="263"/>
      <c r="I947" s="263"/>
      <c r="J947" s="19"/>
      <c r="K947" s="19"/>
      <c r="L947" s="19"/>
      <c r="M947" s="19"/>
      <c r="N947" s="19"/>
    </row>
    <row r="948" spans="1:14" ht="16.5" x14ac:dyDescent="0.25">
      <c r="A948" s="262"/>
      <c r="B948" s="262"/>
      <c r="C948" s="262"/>
      <c r="D948" s="263"/>
      <c r="E948" s="263"/>
      <c r="F948" s="263"/>
      <c r="G948" s="263"/>
      <c r="H948" s="263"/>
      <c r="I948" s="263"/>
      <c r="J948" s="19"/>
      <c r="K948" s="19"/>
      <c r="L948" s="19"/>
      <c r="M948" s="19"/>
      <c r="N948" s="19"/>
    </row>
    <row r="949" spans="1:14" ht="16.5" x14ac:dyDescent="0.25">
      <c r="A949" s="262"/>
      <c r="B949" s="262"/>
      <c r="C949" s="262"/>
      <c r="D949" s="263"/>
      <c r="E949" s="263"/>
      <c r="F949" s="263"/>
      <c r="G949" s="263"/>
      <c r="H949" s="263"/>
      <c r="I949" s="263"/>
      <c r="J949" s="19"/>
      <c r="K949" s="19"/>
      <c r="L949" s="19"/>
      <c r="M949" s="19"/>
      <c r="N949" s="19"/>
    </row>
    <row r="950" spans="1:14" ht="16.5" x14ac:dyDescent="0.25">
      <c r="A950" s="262"/>
      <c r="B950" s="262"/>
      <c r="C950" s="262"/>
      <c r="D950" s="263"/>
      <c r="E950" s="263"/>
      <c r="F950" s="263"/>
      <c r="G950" s="263"/>
      <c r="H950" s="263"/>
      <c r="I950" s="263"/>
      <c r="J950" s="19"/>
      <c r="K950" s="19"/>
      <c r="L950" s="19"/>
      <c r="M950" s="19"/>
      <c r="N950" s="19"/>
    </row>
    <row r="951" spans="1:14" ht="16.5" x14ac:dyDescent="0.25">
      <c r="A951" s="262"/>
      <c r="B951" s="262"/>
      <c r="C951" s="262"/>
      <c r="D951" s="263"/>
      <c r="E951" s="263"/>
      <c r="F951" s="263"/>
      <c r="G951" s="263"/>
      <c r="H951" s="263"/>
      <c r="I951" s="263"/>
      <c r="J951" s="19"/>
      <c r="K951" s="19"/>
      <c r="L951" s="19"/>
      <c r="M951" s="19"/>
      <c r="N951" s="19"/>
    </row>
    <row r="952" spans="1:14" ht="16.5" x14ac:dyDescent="0.25">
      <c r="A952" s="262"/>
      <c r="B952" s="262"/>
      <c r="C952" s="262"/>
      <c r="D952" s="263"/>
      <c r="E952" s="263"/>
      <c r="F952" s="263"/>
      <c r="G952" s="263"/>
      <c r="H952" s="263"/>
      <c r="I952" s="263"/>
      <c r="J952" s="19"/>
      <c r="K952" s="19"/>
      <c r="L952" s="19"/>
      <c r="M952" s="19"/>
      <c r="N952" s="19"/>
    </row>
    <row r="953" spans="1:14" ht="16.5" x14ac:dyDescent="0.25">
      <c r="A953" s="262"/>
      <c r="B953" s="262"/>
      <c r="C953" s="262"/>
      <c r="D953" s="263"/>
      <c r="E953" s="263"/>
      <c r="F953" s="263"/>
      <c r="G953" s="263"/>
      <c r="H953" s="263"/>
      <c r="I953" s="263"/>
      <c r="J953" s="19"/>
      <c r="K953" s="19"/>
      <c r="L953" s="19"/>
      <c r="M953" s="19"/>
      <c r="N953" s="19"/>
    </row>
    <row r="954" spans="1:14" ht="16.5" x14ac:dyDescent="0.25">
      <c r="A954" s="262"/>
      <c r="B954" s="262"/>
      <c r="C954" s="262"/>
      <c r="D954" s="263"/>
      <c r="E954" s="263"/>
      <c r="F954" s="263"/>
      <c r="G954" s="263"/>
      <c r="H954" s="263"/>
      <c r="I954" s="263"/>
      <c r="J954" s="19"/>
      <c r="K954" s="19"/>
      <c r="L954" s="19"/>
      <c r="M954" s="19"/>
      <c r="N954" s="19"/>
    </row>
    <row r="955" spans="1:14" ht="16.5" x14ac:dyDescent="0.25">
      <c r="A955" s="262"/>
      <c r="B955" s="262"/>
      <c r="C955" s="262"/>
      <c r="D955" s="263"/>
      <c r="E955" s="263"/>
      <c r="F955" s="263"/>
      <c r="G955" s="263"/>
      <c r="H955" s="263"/>
      <c r="I955" s="263"/>
      <c r="J955" s="19"/>
      <c r="K955" s="19"/>
      <c r="L955" s="19"/>
      <c r="M955" s="19"/>
      <c r="N955" s="19"/>
    </row>
    <row r="956" spans="1:14" ht="16.5" x14ac:dyDescent="0.25">
      <c r="A956" s="262"/>
      <c r="B956" s="262"/>
      <c r="C956" s="262"/>
      <c r="D956" s="263"/>
      <c r="E956" s="263"/>
      <c r="F956" s="263"/>
      <c r="G956" s="263"/>
      <c r="H956" s="263"/>
      <c r="I956" s="263"/>
      <c r="J956" s="19"/>
      <c r="K956" s="19"/>
      <c r="L956" s="19"/>
      <c r="M956" s="19"/>
      <c r="N956" s="19"/>
    </row>
    <row r="957" spans="1:14" ht="16.5" x14ac:dyDescent="0.25">
      <c r="A957" s="262"/>
      <c r="B957" s="262"/>
      <c r="C957" s="262"/>
      <c r="D957" s="263"/>
      <c r="E957" s="263"/>
      <c r="F957" s="263"/>
      <c r="G957" s="263"/>
      <c r="H957" s="263"/>
      <c r="I957" s="263"/>
      <c r="J957" s="19"/>
      <c r="K957" s="19"/>
      <c r="L957" s="19"/>
      <c r="M957" s="19"/>
      <c r="N957" s="19"/>
    </row>
    <row r="958" spans="1:14" ht="16.5" x14ac:dyDescent="0.25">
      <c r="A958" s="262"/>
      <c r="B958" s="262"/>
      <c r="C958" s="262"/>
      <c r="D958" s="263"/>
      <c r="E958" s="263"/>
      <c r="F958" s="263"/>
      <c r="G958" s="263"/>
      <c r="H958" s="263"/>
      <c r="I958" s="263"/>
      <c r="J958" s="19"/>
      <c r="K958" s="19"/>
      <c r="L958" s="19"/>
      <c r="M958" s="19"/>
      <c r="N958" s="19"/>
    </row>
    <row r="959" spans="1:14" ht="16.5" x14ac:dyDescent="0.25">
      <c r="A959" s="262"/>
      <c r="B959" s="262"/>
      <c r="C959" s="262"/>
      <c r="D959" s="263"/>
      <c r="E959" s="263"/>
      <c r="F959" s="263"/>
      <c r="G959" s="263"/>
      <c r="H959" s="263"/>
      <c r="I959" s="263"/>
      <c r="J959" s="19"/>
      <c r="K959" s="19"/>
      <c r="L959" s="19"/>
      <c r="M959" s="19"/>
      <c r="N959" s="19"/>
    </row>
    <row r="960" spans="1:14" ht="16.5" x14ac:dyDescent="0.25">
      <c r="A960" s="262"/>
      <c r="B960" s="262"/>
      <c r="C960" s="262"/>
      <c r="D960" s="263"/>
      <c r="E960" s="263"/>
      <c r="F960" s="263"/>
      <c r="G960" s="263"/>
      <c r="H960" s="263"/>
      <c r="I960" s="263"/>
      <c r="J960" s="19"/>
      <c r="K960" s="19"/>
      <c r="L960" s="19"/>
      <c r="M960" s="19"/>
      <c r="N960" s="19"/>
    </row>
    <row r="961" spans="1:14" ht="16.5" x14ac:dyDescent="0.25">
      <c r="A961" s="262"/>
      <c r="B961" s="262"/>
      <c r="C961" s="262"/>
      <c r="D961" s="263"/>
      <c r="E961" s="263"/>
      <c r="F961" s="263"/>
      <c r="G961" s="263"/>
      <c r="H961" s="263"/>
      <c r="I961" s="263"/>
      <c r="J961" s="19"/>
      <c r="K961" s="19"/>
      <c r="L961" s="19"/>
      <c r="M961" s="19"/>
      <c r="N961" s="19"/>
    </row>
    <row r="962" spans="1:14" ht="16.5" x14ac:dyDescent="0.25">
      <c r="A962" s="262"/>
      <c r="B962" s="262"/>
      <c r="C962" s="262"/>
      <c r="D962" s="263"/>
      <c r="E962" s="263"/>
      <c r="F962" s="263"/>
      <c r="G962" s="263"/>
      <c r="H962" s="263"/>
      <c r="I962" s="263"/>
      <c r="J962" s="19"/>
      <c r="K962" s="19"/>
      <c r="L962" s="19"/>
      <c r="M962" s="19"/>
      <c r="N962" s="19"/>
    </row>
    <row r="963" spans="1:14" ht="16.5" x14ac:dyDescent="0.25">
      <c r="A963" s="262"/>
      <c r="B963" s="262"/>
      <c r="C963" s="262"/>
      <c r="D963" s="263"/>
      <c r="E963" s="263"/>
      <c r="F963" s="263"/>
      <c r="G963" s="263"/>
      <c r="H963" s="263"/>
      <c r="I963" s="263"/>
      <c r="J963" s="19"/>
      <c r="K963" s="19"/>
      <c r="L963" s="19"/>
      <c r="M963" s="19"/>
      <c r="N963" s="19"/>
    </row>
    <row r="964" spans="1:14" ht="16.5" x14ac:dyDescent="0.25">
      <c r="A964" s="262"/>
      <c r="B964" s="262"/>
      <c r="C964" s="262"/>
      <c r="D964" s="263"/>
      <c r="E964" s="263"/>
      <c r="F964" s="263"/>
      <c r="G964" s="263"/>
      <c r="H964" s="263"/>
      <c r="I964" s="263"/>
      <c r="J964" s="19"/>
      <c r="K964" s="19"/>
      <c r="L964" s="19"/>
      <c r="M964" s="19"/>
      <c r="N964" s="19"/>
    </row>
    <row r="965" spans="1:14" ht="16.5" x14ac:dyDescent="0.25">
      <c r="A965" s="262"/>
      <c r="B965" s="262"/>
      <c r="C965" s="262"/>
      <c r="D965" s="263"/>
      <c r="E965" s="263"/>
      <c r="F965" s="263"/>
      <c r="G965" s="263"/>
      <c r="H965" s="263"/>
      <c r="I965" s="263"/>
      <c r="J965" s="19"/>
      <c r="K965" s="19"/>
      <c r="L965" s="19"/>
      <c r="M965" s="19"/>
      <c r="N965" s="19"/>
    </row>
    <row r="966" spans="1:14" ht="16.5" x14ac:dyDescent="0.25">
      <c r="A966" s="262"/>
      <c r="B966" s="262"/>
      <c r="C966" s="262"/>
      <c r="D966" s="263"/>
      <c r="E966" s="263"/>
      <c r="F966" s="263"/>
      <c r="G966" s="263"/>
      <c r="H966" s="263"/>
      <c r="I966" s="263"/>
      <c r="J966" s="19"/>
      <c r="K966" s="19"/>
      <c r="L966" s="19"/>
      <c r="M966" s="19"/>
      <c r="N966" s="19"/>
    </row>
    <row r="967" spans="1:14" ht="16.5" x14ac:dyDescent="0.25">
      <c r="A967" s="262"/>
      <c r="B967" s="262"/>
      <c r="C967" s="262"/>
      <c r="D967" s="263"/>
      <c r="E967" s="263"/>
      <c r="F967" s="263"/>
      <c r="G967" s="263"/>
      <c r="H967" s="263"/>
      <c r="I967" s="263"/>
      <c r="J967" s="19"/>
      <c r="K967" s="19"/>
      <c r="L967" s="19"/>
      <c r="M967" s="19"/>
      <c r="N967" s="19"/>
    </row>
    <row r="968" spans="1:14" ht="16.5" x14ac:dyDescent="0.25">
      <c r="A968" s="262"/>
      <c r="B968" s="262"/>
      <c r="C968" s="262"/>
      <c r="D968" s="263"/>
      <c r="E968" s="263"/>
      <c r="F968" s="263"/>
      <c r="G968" s="263"/>
      <c r="H968" s="263"/>
      <c r="I968" s="263"/>
      <c r="J968" s="19"/>
      <c r="K968" s="19"/>
      <c r="L968" s="19"/>
      <c r="M968" s="19"/>
      <c r="N968" s="19"/>
    </row>
    <row r="969" spans="1:14" ht="16.5" x14ac:dyDescent="0.25">
      <c r="A969" s="262"/>
      <c r="B969" s="262"/>
      <c r="C969" s="262"/>
      <c r="D969" s="263"/>
      <c r="E969" s="263"/>
      <c r="F969" s="263"/>
      <c r="G969" s="263"/>
      <c r="H969" s="263"/>
      <c r="I969" s="263"/>
      <c r="J969" s="19"/>
      <c r="K969" s="19"/>
      <c r="L969" s="19"/>
      <c r="M969" s="19"/>
      <c r="N969" s="19"/>
    </row>
    <row r="970" spans="1:14" ht="16.5" x14ac:dyDescent="0.25">
      <c r="A970" s="262"/>
      <c r="B970" s="262"/>
      <c r="C970" s="262"/>
      <c r="D970" s="263"/>
      <c r="E970" s="263"/>
      <c r="F970" s="263"/>
      <c r="G970" s="263"/>
      <c r="H970" s="263"/>
      <c r="I970" s="263"/>
      <c r="J970" s="19"/>
      <c r="K970" s="19"/>
      <c r="L970" s="19"/>
      <c r="M970" s="19"/>
      <c r="N970" s="19"/>
    </row>
    <row r="971" spans="1:14" ht="16.5" x14ac:dyDescent="0.25">
      <c r="A971" s="262"/>
      <c r="B971" s="262"/>
      <c r="C971" s="262"/>
      <c r="D971" s="263"/>
      <c r="E971" s="263"/>
      <c r="F971" s="263"/>
      <c r="G971" s="263"/>
      <c r="H971" s="263"/>
      <c r="I971" s="263"/>
      <c r="J971" s="19"/>
      <c r="K971" s="19"/>
      <c r="L971" s="19"/>
      <c r="M971" s="19"/>
      <c r="N971" s="19"/>
    </row>
    <row r="972" spans="1:14" ht="16.5" x14ac:dyDescent="0.25">
      <c r="A972" s="262"/>
      <c r="B972" s="262"/>
      <c r="C972" s="262"/>
      <c r="D972" s="263"/>
      <c r="E972" s="263"/>
      <c r="F972" s="263"/>
      <c r="G972" s="263"/>
      <c r="H972" s="263"/>
      <c r="I972" s="263"/>
      <c r="J972" s="19"/>
      <c r="K972" s="19"/>
      <c r="L972" s="19"/>
      <c r="M972" s="19"/>
      <c r="N972" s="19"/>
    </row>
    <row r="973" spans="1:14" ht="16.5" x14ac:dyDescent="0.25">
      <c r="A973" s="262"/>
      <c r="B973" s="262"/>
      <c r="C973" s="262"/>
      <c r="D973" s="263"/>
      <c r="E973" s="263"/>
      <c r="F973" s="263"/>
      <c r="G973" s="263"/>
      <c r="H973" s="263"/>
      <c r="I973" s="263"/>
      <c r="J973" s="19"/>
      <c r="K973" s="19"/>
      <c r="L973" s="19"/>
      <c r="M973" s="19"/>
      <c r="N973" s="19"/>
    </row>
    <row r="974" spans="1:14" ht="16.5" x14ac:dyDescent="0.25">
      <c r="A974" s="262"/>
      <c r="B974" s="262"/>
      <c r="C974" s="262"/>
      <c r="D974" s="263"/>
      <c r="E974" s="263"/>
      <c r="F974" s="263"/>
      <c r="G974" s="263"/>
      <c r="H974" s="263"/>
      <c r="I974" s="263"/>
      <c r="J974" s="19"/>
      <c r="K974" s="19"/>
      <c r="L974" s="19"/>
      <c r="M974" s="19"/>
      <c r="N974" s="19"/>
    </row>
    <row r="975" spans="1:14" ht="16.5" x14ac:dyDescent="0.25">
      <c r="A975" s="262"/>
      <c r="B975" s="262"/>
      <c r="C975" s="262"/>
      <c r="D975" s="263"/>
      <c r="E975" s="263"/>
      <c r="F975" s="263"/>
      <c r="G975" s="263"/>
      <c r="H975" s="263"/>
      <c r="I975" s="263"/>
      <c r="J975" s="19"/>
      <c r="K975" s="19"/>
      <c r="L975" s="19"/>
      <c r="M975" s="19"/>
      <c r="N975" s="19"/>
    </row>
    <row r="976" spans="1:14" ht="16.5" x14ac:dyDescent="0.25">
      <c r="A976" s="262"/>
      <c r="B976" s="262"/>
      <c r="C976" s="262"/>
      <c r="D976" s="263"/>
      <c r="E976" s="263"/>
      <c r="F976" s="263"/>
      <c r="G976" s="263"/>
      <c r="H976" s="263"/>
      <c r="I976" s="263"/>
      <c r="J976" s="19"/>
      <c r="K976" s="19"/>
      <c r="L976" s="19"/>
      <c r="M976" s="19"/>
      <c r="N976" s="19"/>
    </row>
    <row r="977" spans="1:14" ht="16.5" x14ac:dyDescent="0.25">
      <c r="A977" s="262"/>
      <c r="B977" s="262"/>
      <c r="C977" s="262"/>
      <c r="D977" s="263"/>
      <c r="E977" s="263"/>
      <c r="F977" s="263"/>
      <c r="G977" s="263"/>
      <c r="H977" s="263"/>
      <c r="I977" s="263"/>
      <c r="J977" s="19"/>
      <c r="K977" s="19"/>
      <c r="L977" s="19"/>
      <c r="M977" s="19"/>
      <c r="N977" s="19"/>
    </row>
    <row r="978" spans="1:14" ht="16.5" x14ac:dyDescent="0.25">
      <c r="A978" s="262"/>
      <c r="B978" s="262"/>
      <c r="C978" s="262"/>
      <c r="D978" s="263"/>
      <c r="E978" s="263"/>
      <c r="F978" s="263"/>
      <c r="G978" s="263"/>
      <c r="H978" s="263"/>
      <c r="I978" s="263"/>
      <c r="J978" s="19"/>
      <c r="K978" s="19"/>
      <c r="L978" s="19"/>
      <c r="M978" s="19"/>
      <c r="N978" s="19"/>
    </row>
    <row r="979" spans="1:14" ht="16.5" x14ac:dyDescent="0.25">
      <c r="A979" s="262"/>
      <c r="B979" s="262"/>
      <c r="C979" s="262"/>
      <c r="D979" s="263"/>
      <c r="E979" s="263"/>
      <c r="F979" s="263"/>
      <c r="G979" s="263"/>
      <c r="H979" s="263"/>
      <c r="I979" s="263"/>
      <c r="J979" s="19"/>
      <c r="K979" s="19"/>
      <c r="L979" s="19"/>
      <c r="M979" s="19"/>
      <c r="N979" s="19"/>
    </row>
    <row r="980" spans="1:14" ht="16.5" x14ac:dyDescent="0.25">
      <c r="A980" s="262"/>
      <c r="B980" s="262"/>
      <c r="C980" s="262"/>
      <c r="D980" s="263"/>
      <c r="E980" s="263"/>
      <c r="F980" s="263"/>
      <c r="G980" s="263"/>
      <c r="H980" s="263"/>
      <c r="I980" s="263"/>
      <c r="J980" s="19"/>
      <c r="K980" s="19"/>
      <c r="L980" s="19"/>
      <c r="M980" s="19"/>
      <c r="N980" s="19"/>
    </row>
    <row r="981" spans="1:14" ht="16.5" x14ac:dyDescent="0.25">
      <c r="A981" s="262"/>
      <c r="B981" s="262"/>
      <c r="C981" s="262"/>
      <c r="D981" s="263"/>
      <c r="E981" s="263"/>
      <c r="F981" s="263"/>
      <c r="G981" s="263"/>
      <c r="H981" s="263"/>
      <c r="I981" s="263"/>
      <c r="J981" s="19"/>
      <c r="K981" s="19"/>
      <c r="L981" s="19"/>
      <c r="M981" s="19"/>
      <c r="N981" s="19"/>
    </row>
    <row r="982" spans="1:14" ht="16.5" x14ac:dyDescent="0.25">
      <c r="A982" s="262"/>
      <c r="B982" s="262"/>
      <c r="C982" s="262"/>
      <c r="D982" s="263"/>
      <c r="E982" s="263"/>
      <c r="F982" s="263"/>
      <c r="G982" s="263"/>
      <c r="H982" s="263"/>
      <c r="I982" s="263"/>
      <c r="J982" s="19"/>
      <c r="K982" s="19"/>
      <c r="L982" s="19"/>
      <c r="M982" s="19"/>
      <c r="N982" s="19"/>
    </row>
    <row r="983" spans="1:14" ht="16.5" x14ac:dyDescent="0.25">
      <c r="A983" s="262"/>
      <c r="B983" s="262"/>
      <c r="C983" s="262"/>
      <c r="D983" s="263"/>
      <c r="E983" s="263"/>
      <c r="F983" s="263"/>
      <c r="G983" s="263"/>
      <c r="H983" s="263"/>
      <c r="I983" s="263"/>
      <c r="J983" s="19"/>
      <c r="K983" s="19"/>
      <c r="L983" s="19"/>
      <c r="M983" s="19"/>
      <c r="N983" s="19"/>
    </row>
    <row r="984" spans="1:14" ht="16.5" x14ac:dyDescent="0.25">
      <c r="A984" s="262"/>
      <c r="B984" s="262"/>
      <c r="C984" s="262"/>
      <c r="D984" s="263"/>
      <c r="E984" s="263"/>
      <c r="F984" s="263"/>
      <c r="G984" s="263"/>
      <c r="H984" s="263"/>
      <c r="I984" s="263"/>
      <c r="J984" s="19"/>
      <c r="K984" s="19"/>
      <c r="L984" s="19"/>
      <c r="M984" s="19"/>
      <c r="N984" s="19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1181102362204722" bottom="0.47244094488188981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HeadingPairs>
  <TitlesOfParts>
    <vt:vector size="57" baseType="lpstr">
      <vt:lpstr>PL 01</vt:lpstr>
      <vt:lpstr>PL 02</vt:lpstr>
      <vt:lpstr>TUMO RONG (1)</vt:lpstr>
      <vt:lpstr>LONG LEO(2)</vt:lpstr>
      <vt:lpstr>ĐĂK CHUM 1(3)</vt:lpstr>
      <vt:lpstr>ĐĂK CHUM II(4)</vt:lpstr>
      <vt:lpstr>TU CẤP(5)</vt:lpstr>
      <vt:lpstr>ĐĂK KA(6)</vt:lpstr>
      <vt:lpstr>VĂN SANG(7)</vt:lpstr>
      <vt:lpstr>ĐĂK NEANG(8)</vt:lpstr>
      <vt:lpstr>NGỌC LEANG(9)</vt:lpstr>
      <vt:lpstr>ĐĂK SIÊNG(10)</vt:lpstr>
      <vt:lpstr>KON TUN(11)</vt:lpstr>
      <vt:lpstr>MÔ PẢ(12)</vt:lpstr>
      <vt:lpstr>TY TU(13)</vt:lpstr>
      <vt:lpstr>KON LING(14)</vt:lpstr>
      <vt:lpstr>ĐĂK PƠ TRANG(15)</vt:lpstr>
      <vt:lpstr>KON PIA(16)</vt:lpstr>
      <vt:lpstr>ĐĂK HÀ(17)</vt:lpstr>
      <vt:lpstr>'ĐĂK CHUM 1(3)'!Print_Area</vt:lpstr>
      <vt:lpstr>'ĐĂK CHUM II(4)'!Print_Area</vt:lpstr>
      <vt:lpstr>'ĐĂK HÀ(17)'!Print_Area</vt:lpstr>
      <vt:lpstr>'ĐĂK KA(6)'!Print_Area</vt:lpstr>
      <vt:lpstr>'ĐĂK NEANG(8)'!Print_Area</vt:lpstr>
      <vt:lpstr>'ĐĂK PƠ TRANG(15)'!Print_Area</vt:lpstr>
      <vt:lpstr>'ĐĂK SIÊNG(10)'!Print_Area</vt:lpstr>
      <vt:lpstr>'KON LING(14)'!Print_Area</vt:lpstr>
      <vt:lpstr>'KON PIA(16)'!Print_Area</vt:lpstr>
      <vt:lpstr>'KON TUN(11)'!Print_Area</vt:lpstr>
      <vt:lpstr>'LONG LEO(2)'!Print_Area</vt:lpstr>
      <vt:lpstr>'MÔ PẢ(12)'!Print_Area</vt:lpstr>
      <vt:lpstr>'NGỌC LEANG(9)'!Print_Area</vt:lpstr>
      <vt:lpstr>'PL 01'!Print_Area</vt:lpstr>
      <vt:lpstr>'PL 02'!Print_Area</vt:lpstr>
      <vt:lpstr>'TU CẤP(5)'!Print_Area</vt:lpstr>
      <vt:lpstr>'TUMO RONG (1)'!Print_Area</vt:lpstr>
      <vt:lpstr>'TY TU(13)'!Print_Area</vt:lpstr>
      <vt:lpstr>'VĂN SANG(7)'!Print_Area</vt:lpstr>
      <vt:lpstr>'ĐĂK CHUM 1(3)'!Print_Titles</vt:lpstr>
      <vt:lpstr>'ĐĂK CHUM II(4)'!Print_Titles</vt:lpstr>
      <vt:lpstr>'ĐĂK HÀ(17)'!Print_Titles</vt:lpstr>
      <vt:lpstr>'ĐĂK KA(6)'!Print_Titles</vt:lpstr>
      <vt:lpstr>'ĐĂK NEANG(8)'!Print_Titles</vt:lpstr>
      <vt:lpstr>'ĐĂK PƠ TRANG(15)'!Print_Titles</vt:lpstr>
      <vt:lpstr>'ĐĂK SIÊNG(10)'!Print_Titles</vt:lpstr>
      <vt:lpstr>'KON LING(14)'!Print_Titles</vt:lpstr>
      <vt:lpstr>'KON PIA(16)'!Print_Titles</vt:lpstr>
      <vt:lpstr>'KON TUN(11)'!Print_Titles</vt:lpstr>
      <vt:lpstr>'LONG LEO(2)'!Print_Titles</vt:lpstr>
      <vt:lpstr>'MÔ PẢ(12)'!Print_Titles</vt:lpstr>
      <vt:lpstr>'NGỌC LEANG(9)'!Print_Titles</vt:lpstr>
      <vt:lpstr>'PL 01'!Print_Titles</vt:lpstr>
      <vt:lpstr>'PL 02'!Print_Titles</vt:lpstr>
      <vt:lpstr>'TU CẤP(5)'!Print_Titles</vt:lpstr>
      <vt:lpstr>'TUMO RONG (1)'!Print_Titles</vt:lpstr>
      <vt:lpstr>'TY TU(13)'!Print_Titles</vt:lpstr>
      <vt:lpstr>'VĂN SANG(7)'!Print_Titles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PVHUNG</dc:creator>
  <cp:lastModifiedBy>HP</cp:lastModifiedBy>
  <cp:lastPrinted>2026-05-22T09:40:13Z</cp:lastPrinted>
  <dcterms:created xsi:type="dcterms:W3CDTF">2012-09-01T04:07:06Z</dcterms:created>
  <dcterms:modified xsi:type="dcterms:W3CDTF">2026-05-25T02:28:16Z</dcterms:modified>
</cp:coreProperties>
</file>