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AppData\Roaming\VNPT Plugin\Files\FileTemp\"/>
    </mc:Choice>
  </mc:AlternateContent>
  <xr:revisionPtr revIDLastSave="0" documentId="13_ncr:1_{1BB5FC36-C541-4B0C-A694-A8C04E9F2AD5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PL 01" sheetId="1" r:id="rId1"/>
    <sheet name="PL 02" sheetId="2" r:id="rId2"/>
    <sheet name="TUMO RONG (1)" sheetId="3" state="hidden" r:id="rId3"/>
    <sheet name="LONG LEO(2)" sheetId="4" state="hidden" r:id="rId4"/>
    <sheet name="ĐĂK CHUM 1(3)" sheetId="5" state="hidden" r:id="rId5"/>
    <sheet name="ĐĂK CHUM II(4)" sheetId="6" state="hidden" r:id="rId6"/>
    <sheet name="TU CẤP(5)" sheetId="7" state="hidden" r:id="rId7"/>
    <sheet name="ĐĂK KA(6)" sheetId="8" state="hidden" r:id="rId8"/>
    <sheet name="VĂN SANG(7)" sheetId="9" state="hidden" r:id="rId9"/>
    <sheet name="ĐĂK NEANG(8)" sheetId="10" state="hidden" r:id="rId10"/>
    <sheet name="NGỌC LEANG(9)" sheetId="11" state="hidden" r:id="rId11"/>
    <sheet name="ĐĂK SIÊNG(10)" sheetId="12" state="hidden" r:id="rId12"/>
    <sheet name="KON TUN(11)" sheetId="13" state="hidden" r:id="rId13"/>
    <sheet name="MÔ PẢ(12)" sheetId="14" state="hidden" r:id="rId14"/>
    <sheet name="TY TU(13)" sheetId="15" state="hidden" r:id="rId15"/>
    <sheet name="KON LING(14)" sheetId="16" state="hidden" r:id="rId16"/>
    <sheet name="ĐĂK PƠ TRANG(15)" sheetId="17" state="hidden" r:id="rId17"/>
    <sheet name="KON PIA(16)" sheetId="18" state="hidden" r:id="rId18"/>
    <sheet name="ĐĂK HÀ(17)" sheetId="19" state="hidden" r:id="rId19"/>
  </sheets>
  <definedNames>
    <definedName name="____B1">{"'Sheet1'!$L$16"}</definedName>
    <definedName name="____CON1">#REF!</definedName>
    <definedName name="____CON2">#REF!</definedName>
    <definedName name="____NET2">#REF!</definedName>
    <definedName name="____Pl2">{"'Sheet1'!$L$16"}</definedName>
    <definedName name="___a100000">#REF!</definedName>
    <definedName name="___a80000">#REF!</definedName>
    <definedName name="___B1">{"'Sheet1'!$L$16"}</definedName>
    <definedName name="___boi1">#REF!</definedName>
    <definedName name="___boi2">#REF!</definedName>
    <definedName name="___CON1">#REF!</definedName>
    <definedName name="___CON2">#REF!</definedName>
    <definedName name="___ddn400">#REF!</definedName>
    <definedName name="___ddn600">#REF!</definedName>
    <definedName name="___KM188">#REF!</definedName>
    <definedName name="___km189">#REF!</definedName>
    <definedName name="___km190">#REF!</definedName>
    <definedName name="___km191">#REF!</definedName>
    <definedName name="___km192">#REF!</definedName>
    <definedName name="___km193">#REF!</definedName>
    <definedName name="___km194">#REF!</definedName>
    <definedName name="___km195">#REF!</definedName>
    <definedName name="___km196">#REF!</definedName>
    <definedName name="___km197">#REF!</definedName>
    <definedName name="___km198">#REF!</definedName>
    <definedName name="___lap1">#REF!</definedName>
    <definedName name="___lap2">#REF!</definedName>
    <definedName name="___MAC12">#REF!</definedName>
    <definedName name="___MAC46">#REF!</definedName>
    <definedName name="___NCL100">#REF!</definedName>
    <definedName name="___NCL200">#REF!</definedName>
    <definedName name="___NCL250">#REF!</definedName>
    <definedName name="___NET2">#REF!</definedName>
    <definedName name="___nin190">#REF!</definedName>
    <definedName name="___NSO2">{"'Sheet1'!$L$16"}</definedName>
    <definedName name="___Pl2">{"'Sheet1'!$L$16"}</definedName>
    <definedName name="___sc1">#REF!</definedName>
    <definedName name="___SC2">#REF!</definedName>
    <definedName name="___sc3">#REF!</definedName>
    <definedName name="___SN3">#REF!</definedName>
    <definedName name="___TB1">#REF!</definedName>
    <definedName name="___TL1">#REF!</definedName>
    <definedName name="___TL2">#REF!</definedName>
    <definedName name="___TL3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__tz593">#REF!</definedName>
    <definedName name="___VL100">#REF!</definedName>
    <definedName name="___VL200">#REF!</definedName>
    <definedName name="___VL250">#REF!</definedName>
    <definedName name="__a100000">#REF!</definedName>
    <definedName name="__a80000">#REF!</definedName>
    <definedName name="__B1">{"'Sheet1'!$L$16"}</definedName>
    <definedName name="__boi1">#REF!</definedName>
    <definedName name="__boi2">#REF!</definedName>
    <definedName name="__CON1">#REF!</definedName>
    <definedName name="__CON2">#REF!</definedName>
    <definedName name="__ddn400">#REF!</definedName>
    <definedName name="__ddn600">#REF!</definedName>
    <definedName name="__KM188">#REF!</definedName>
    <definedName name="__km189">#REF!</definedName>
    <definedName name="__km190">#REF!</definedName>
    <definedName name="__km191">#REF!</definedName>
    <definedName name="__km192">#REF!</definedName>
    <definedName name="__km193">#REF!</definedName>
    <definedName name="__km194">#REF!</definedName>
    <definedName name="__km195">#REF!</definedName>
    <definedName name="__km196">#REF!</definedName>
    <definedName name="__km197">#REF!</definedName>
    <definedName name="__km198">#REF!</definedName>
    <definedName name="__lap1">#REF!</definedName>
    <definedName name="__lap2">#REF!</definedName>
    <definedName name="__MAC12">#REF!</definedName>
    <definedName name="__MAC46">#REF!</definedName>
    <definedName name="__NCL100">#REF!</definedName>
    <definedName name="__NCL200">#REF!</definedName>
    <definedName name="__NCL250">#REF!</definedName>
    <definedName name="__NET2">#REF!</definedName>
    <definedName name="__nin190">#REF!</definedName>
    <definedName name="__NSO2">{"'Sheet1'!$L$16"}</definedName>
    <definedName name="__Pl2">{"'Sheet1'!$L$16"}</definedName>
    <definedName name="__sc1">#REF!</definedName>
    <definedName name="__SC2">#REF!</definedName>
    <definedName name="__sc3">#REF!</definedName>
    <definedName name="__SN3">#REF!</definedName>
    <definedName name="__TB1">#REF!</definedName>
    <definedName name="__TL1">#REF!</definedName>
    <definedName name="__TL2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__tz593">#REF!</definedName>
    <definedName name="__VL100">#REF!</definedName>
    <definedName name="__VL200">#REF!</definedName>
    <definedName name="__VL250">#REF!</definedName>
    <definedName name="_05.6022">#REF!</definedName>
    <definedName name="_1">#REF!</definedName>
    <definedName name="_1_2">NA()</definedName>
    <definedName name="_1000A01">#REF!</definedName>
    <definedName name="_1000A01_2">NA()</definedName>
    <definedName name="_2">#REF!</definedName>
    <definedName name="_2_2">NA()</definedName>
    <definedName name="_a100000">#REF!</definedName>
    <definedName name="_a80000">#REF!</definedName>
    <definedName name="_B1">{"'Sheet1'!$L$16"}</definedName>
    <definedName name="_boi1">#REF!</definedName>
    <definedName name="_boi2">#REF!</definedName>
    <definedName name="_CON1">#REF!</definedName>
    <definedName name="_CON1_2">#REF!</definedName>
    <definedName name="_CON2">#REF!</definedName>
    <definedName name="_CON2_2">#REF!</definedName>
    <definedName name="_ddn400">#REF!</definedName>
    <definedName name="_ddn600">#REF!</definedName>
    <definedName name="_Fill">#REF!</definedName>
    <definedName name="_Key1">#REF!</definedName>
    <definedName name="_Key2">#REF!</definedName>
    <definedName name="_KM188">#REF!</definedName>
    <definedName name="_km189">#REF!</definedName>
    <definedName name="_km190">#REF!</definedName>
    <definedName name="_km191">#REF!</definedName>
    <definedName name="_km192">#REF!</definedName>
    <definedName name="_km193">#REF!</definedName>
    <definedName name="_km194">#REF!</definedName>
    <definedName name="_km195">#REF!</definedName>
    <definedName name="_km196">#REF!</definedName>
    <definedName name="_km197">#REF!</definedName>
    <definedName name="_km198">#REF!</definedName>
    <definedName name="_lap1">#REF!</definedName>
    <definedName name="_lap2">#REF!</definedName>
    <definedName name="_MAC12">#REF!</definedName>
    <definedName name="_MAC46">#REF!</definedName>
    <definedName name="_NCL100">#REF!</definedName>
    <definedName name="_NCL200">#REF!</definedName>
    <definedName name="_NCL250">#REF!</definedName>
    <definedName name="_NET2">#REF!</definedName>
    <definedName name="_NET2_2">#REF!</definedName>
    <definedName name="_nin190">#REF!</definedName>
    <definedName name="_NSO2">{"'Sheet1'!$L$16"}</definedName>
    <definedName name="_Order1">255</definedName>
    <definedName name="_Order2">255</definedName>
    <definedName name="_Pl2">{"'Sheet1'!$L$16"}</definedName>
    <definedName name="_sc1">#REF!</definedName>
    <definedName name="_SC2">#REF!</definedName>
    <definedName name="_sc3">#REF!</definedName>
    <definedName name="_SN3">#REF!</definedName>
    <definedName name="_Sort">#REF!</definedName>
    <definedName name="_TB1">#REF!</definedName>
    <definedName name="_TL1">#REF!</definedName>
    <definedName name="_TL2">#REF!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z593">#REF!</definedName>
    <definedName name="_VL100">#REF!</definedName>
    <definedName name="_VL200">#REF!</definedName>
    <definedName name="_VL250">#REF!</definedName>
    <definedName name="A01_">#REF!</definedName>
    <definedName name="A01__2">NA()</definedName>
    <definedName name="A01AC">#REF!</definedName>
    <definedName name="A01AC_2">NA()</definedName>
    <definedName name="A01CAT">#REF!</definedName>
    <definedName name="A01CAT_2">NA()</definedName>
    <definedName name="A01CODE">#REF!</definedName>
    <definedName name="A01CODE_2">NA()</definedName>
    <definedName name="A01DATA">#REF!</definedName>
    <definedName name="A01DATA_2">NA()</definedName>
    <definedName name="A01MI">#REF!</definedName>
    <definedName name="A01MI_2">NA()</definedName>
    <definedName name="A01TO">#REF!</definedName>
    <definedName name="A01TO_2">NA()</definedName>
    <definedName name="A120_">#REF!</definedName>
    <definedName name="a277Print_Titles">#REF!</definedName>
    <definedName name="A35_">#REF!</definedName>
    <definedName name="A50_">#REF!</definedName>
    <definedName name="A70_">#REF!</definedName>
    <definedName name="A95_">#REF!</definedName>
    <definedName name="AA">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ag15F80">#REF!</definedName>
    <definedName name="All_Item">#REF!</definedName>
    <definedName name="ALPIN">#REF!</definedName>
    <definedName name="ALPIN_2">NA()</definedName>
    <definedName name="ALPJYOU">#REF!</definedName>
    <definedName name="ALPJYOU_2">NA()</definedName>
    <definedName name="ALPTOI">#REF!</definedName>
    <definedName name="ALPTOI_2">NA()</definedName>
    <definedName name="Bang_cly">#REF!</definedName>
    <definedName name="Bang_CVC">#REF!</definedName>
    <definedName name="bang_gia">#REF!</definedName>
    <definedName name="Bang_travl">#REF!</definedName>
    <definedName name="BB">#REF!</definedName>
    <definedName name="Biengioi">#REF!</definedName>
    <definedName name="blkh">#REF!</definedName>
    <definedName name="blkh1">#REF!</definedName>
    <definedName name="BMPB">#REF!</definedName>
    <definedName name="BOQ">#REF!</definedName>
    <definedName name="BT">#REF!</definedName>
    <definedName name="BTB">#REF!</definedName>
    <definedName name="BTM">#REF!</definedName>
    <definedName name="BTN">#REF!</definedName>
    <definedName name="BTT">#REF!</definedName>
    <definedName name="BVCISUMMARY">#REF!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ap">#REF!</definedName>
    <definedName name="cap0.7">#REF!</definedName>
    <definedName name="Category_All">#REF!</definedName>
    <definedName name="CATIN">#REF!</definedName>
    <definedName name="CATIN_2">NA()</definedName>
    <definedName name="CATJYOU">#REF!</definedName>
    <definedName name="CATJYOU_2">NA()</definedName>
    <definedName name="CATREC">#REF!</definedName>
    <definedName name="CATREC_2">NA()</definedName>
    <definedName name="CATSYU">#REF!</definedName>
    <definedName name="CATSYU_2">NA()</definedName>
    <definedName name="CCS">#REF!</definedName>
    <definedName name="CDD">#REF!</definedName>
    <definedName name="CDDD1PHA">#REF!</definedName>
    <definedName name="CDDD3PHA">#REF!</definedName>
    <definedName name="Cdo_8bat">#REF!</definedName>
    <definedName name="Cdo_TK50">#REF!</definedName>
    <definedName name="Cho_2">#REF!</definedName>
    <definedName name="CK">#REF!</definedName>
    <definedName name="CL">#REF!</definedName>
    <definedName name="CLVC3">0.1</definedName>
    <definedName name="CLVC35">#REF!</definedName>
    <definedName name="CLVCTB">#REF!</definedName>
    <definedName name="CN_RC1">#REF!</definedName>
    <definedName name="CN_RC2">#REF!</definedName>
    <definedName name="CN_Rnha">#REF!</definedName>
    <definedName name="CN_Rs">#REF!</definedName>
    <definedName name="Cneo_8bat">#REF!</definedName>
    <definedName name="Cneo_TK50">#REF!</definedName>
    <definedName name="Co">#REF!</definedName>
    <definedName name="Code">#REF!</definedName>
    <definedName name="Cöï_ly_vaän_chuyeãn">#REF!</definedName>
    <definedName name="CÖÏ_LY_VAÄN_CHUYEÅN">#REF!</definedName>
    <definedName name="COMMON">#REF!</definedName>
    <definedName name="COMMON_2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ST_EQ">#REF!</definedName>
    <definedName name="Coù__4">#REF!</definedName>
    <definedName name="COVER">#REF!</definedName>
    <definedName name="CPKDP">#REF!</definedName>
    <definedName name="CPKTW">#REF!</definedName>
    <definedName name="cptkdp">#REF!</definedName>
    <definedName name="CPVC100">#REF!</definedName>
    <definedName name="CPVC35">#REF!</definedName>
    <definedName name="CRD">#REF!</definedName>
    <definedName name="CRITINST">#REF!</definedName>
    <definedName name="CRITPURC">#REF!</definedName>
    <definedName name="CRS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3p">#REF!</definedName>
    <definedName name="csddg1p">#REF!</definedName>
    <definedName name="csddt1p">#REF!</definedName>
    <definedName name="csht3p">#REF!</definedName>
    <definedName name="CT">#REF!</definedName>
    <definedName name="CT_134">#REF!</definedName>
    <definedName name="CT_168">#REF!</definedName>
    <definedName name="CT_194_2">#REF!</definedName>
    <definedName name="ctdn9697">#REF!</definedName>
    <definedName name="ctiep">#REF!</definedName>
    <definedName name="CTK">#REF!</definedName>
    <definedName name="cuoc_vc">#REF!</definedName>
    <definedName name="CURRENCY">#REF!</definedName>
    <definedName name="cx">#REF!</definedName>
    <definedName name="D_7101A_B">#REF!</definedName>
    <definedName name="DATA_DATA2_List">#REF!</definedName>
    <definedName name="data1">#REF!</definedName>
    <definedName name="data2">#REF!</definedName>
    <definedName name="data3">#REF!</definedName>
    <definedName name="DD">#REF!</definedName>
    <definedName name="den_bu">#REF!</definedName>
    <definedName name="dg">#REF!</definedName>
    <definedName name="DGCTI592">#REF!</definedName>
    <definedName name="dgnc">#REF!</definedName>
    <definedName name="DGTH">#REF!</definedName>
    <definedName name="dgthss3">#REF!</definedName>
    <definedName name="DGTV">#REF!</definedName>
    <definedName name="dgvl">#REF!</definedName>
    <definedName name="Discount">#REF!</definedName>
    <definedName name="display_area_2">#REF!</definedName>
    <definedName name="DLCC">#REF!</definedName>
    <definedName name="DM">#REF!</definedName>
    <definedName name="dobt">#REF!</definedName>
    <definedName name="Document_array">{"Book1","LuongT6.05.xls"}</definedName>
    <definedName name="Documents_array">#REF!</definedName>
    <definedName name="Dongia">#REF!</definedName>
    <definedName name="DS1p1vc">#REF!</definedName>
    <definedName name="ds1p2nc">#REF!</definedName>
    <definedName name="ds1p2vc">#REF!</definedName>
    <definedName name="ds1p2vl">#REF!</definedName>
    <definedName name="ds1pnc">#REF!</definedName>
    <definedName name="ds1pvl">#REF!</definedName>
    <definedName name="ds3pctnc">#REF!</definedName>
    <definedName name="ds3pctvc">#REF!</definedName>
    <definedName name="ds3pctvl">#REF!</definedName>
    <definedName name="ds3pmnc">#REF!</definedName>
    <definedName name="ds3pmvc">#REF!</definedName>
    <definedName name="ds3pmvl">#REF!</definedName>
    <definedName name="ds3pnc">#REF!</definedName>
    <definedName name="ds3pvl">#REF!</definedName>
    <definedName name="dsh">#REF!</definedName>
    <definedName name="DSPK1p1nc">#REF!</definedName>
    <definedName name="DSPK1p1vl">#REF!</definedName>
    <definedName name="DSPK1pnc">#REF!</definedName>
    <definedName name="DSPK1pvl">#REF!</definedName>
    <definedName name="DSUMDATA">#REF!</definedName>
    <definedName name="DU_ODA">#REF!</definedName>
    <definedName name="DUDAUCO">#REF!</definedName>
    <definedName name="DUDAUNO">#REF!</definedName>
    <definedName name="Dulich">#REF!</definedName>
    <definedName name="ee">#REF!</definedName>
    <definedName name="emb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x">#REF!</definedName>
    <definedName name="Excel_BuiltIn_Database">#REF!</definedName>
    <definedName name="Excel_BuiltIn_Database_2">#REF!</definedName>
    <definedName name="Excel_BuiltIn_Print_Area">#REF!</definedName>
    <definedName name="Excel_BuiltIn_Print_Area_2">#REF!</definedName>
    <definedName name="Excel_BuiltIn_Print_Titles">#REF!</definedName>
    <definedName name="Excel_BuiltIn_Recorder">#REF!</definedName>
    <definedName name="f">#REF!</definedName>
    <definedName name="f82E46">#REF!</definedName>
    <definedName name="FACTOR">#REF!</definedName>
    <definedName name="FCode">#REF!</definedName>
    <definedName name="fgf">{"'Sheet1'!$L$16"}</definedName>
    <definedName name="fgn">{"Book1","LuongT6.05.xls"}</definedName>
    <definedName name="gb">{"'Sheet1'!$L$16"}</definedName>
    <definedName name="geo">#REF!</definedName>
    <definedName name="gff">{"'Sheet1'!$L$16"}</definedName>
    <definedName name="gfy">{"'Sheet1'!$L$16"}</definedName>
    <definedName name="Gia_CT">#REF!</definedName>
    <definedName name="gia_tien">#REF!</definedName>
    <definedName name="gia_tien_BTN">#REF!</definedName>
    <definedName name="Gia_VT">#REF!</definedName>
    <definedName name="GIAVLIEUTN">#REF!</definedName>
    <definedName name="gjklkj">{"'Sheet1'!$L$16"}</definedName>
    <definedName name="gl3p">#REF!</definedName>
    <definedName name="GTXL">#REF!</definedName>
    <definedName name="h">{"'Sheet1'!$L$16"}</definedName>
    <definedName name="H_THUCHTHH">#REF!</definedName>
    <definedName name="H_THUCTT">#REF!</definedName>
    <definedName name="hdha">{"'Sheet1'!$L$16"}</definedName>
    <definedName name="Heä_soá_laép_xaø_H">1.7</definedName>
    <definedName name="heä_soá_sình_laày">#REF!</definedName>
    <definedName name="hg">{"'Sheet1'!$L$16"}</definedName>
    <definedName name="hgk">{"'Sheet1'!$L$16"}</definedName>
    <definedName name="HHTT">#REF!</definedName>
    <definedName name="HiddenRows">#REF!</definedName>
    <definedName name="hien">#REF!</definedName>
    <definedName name="hiep">{"'Sheet1'!$L$16"}</definedName>
    <definedName name="Hinh_thuc">#REF!</definedName>
    <definedName name="hj">{"'Sheet1'!$L$16"}</definedName>
    <definedName name="HOME_MANP">#REF!</definedName>
    <definedName name="HOME_MANP_2">#REF!</definedName>
    <definedName name="HOMEOFFICE_COST">#REF!</definedName>
    <definedName name="HOMEOFFICE_COST_2">#REF!</definedName>
    <definedName name="HS">#REF!</definedName>
    <definedName name="HSCT3">0.1</definedName>
    <definedName name="hsdc1">#REF!</definedName>
    <definedName name="HSDN">2.5</definedName>
    <definedName name="HSHH">#REF!</definedName>
    <definedName name="HSHHUT">#REF!</definedName>
    <definedName name="HSKK35">#REF!</definedName>
    <definedName name="HSLXH">#REF!</definedName>
    <definedName name="HSLXP">#REF!</definedName>
    <definedName name="HSSL">#REF!</definedName>
    <definedName name="HSVC1">#REF!</definedName>
    <definedName name="HSVC2">#REF!</definedName>
    <definedName name="HSVC3">#REF!</definedName>
    <definedName name="HTHH">#REF!</definedName>
    <definedName name="HTML_CodePage">950</definedName>
    <definedName name="HTML_Control">{"'Sheet1'!$L$16"}</definedName>
    <definedName name="HTML_Description">""</definedName>
    <definedName name="HTML_Email">""</definedName>
    <definedName name="HTML_Header">"Sheet1"</definedName>
    <definedName name="HTML_LastUpdate">"2000/9/14"</definedName>
    <definedName name="HTML_LineAfter">FALSE</definedName>
    <definedName name="HTML_LineBefore">FALSE</definedName>
    <definedName name="HTML_Name">"J.C.WONG"</definedName>
    <definedName name="HTML_OBDlg2">TRUE</definedName>
    <definedName name="HTML_OBDlg4">TRUE</definedName>
    <definedName name="HTML_OS">0</definedName>
    <definedName name="HTML_PathFile">"C:\2689\Q\國內\00q3961台化龍德PTA3建造\MyHTML.htm"</definedName>
    <definedName name="HTML_Title">"00Q3961-SUM"</definedName>
    <definedName name="HTNC">#REF!</definedName>
    <definedName name="HTVL">#REF!</definedName>
    <definedName name="huy">{"'Sheet1'!$L$16"}</definedName>
    <definedName name="Huyenmoi">#REF!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j">#REF!</definedName>
    <definedName name="j356C8">#REF!</definedName>
    <definedName name="jh">{"'Sheet1'!$L$16"}</definedName>
    <definedName name="jyli">{"'Sheet1'!$L$16"}</definedName>
    <definedName name="k">#REF!</definedName>
    <definedName name="kcong">#REF!</definedName>
    <definedName name="KH_Chang">#REF!</definedName>
    <definedName name="Khac">#REF!</definedName>
    <definedName name="Khäúi_læåüng">#REF!</definedName>
    <definedName name="KhuCN">#REF!</definedName>
    <definedName name="Kiem_tra_trung_ten">#REF!</definedName>
    <definedName name="KLTHDN">#REF!</definedName>
    <definedName name="KLVANKHUON">#REF!</definedName>
    <definedName name="kp1ph">#REF!</definedName>
    <definedName name="KSTK">#REF!</definedName>
    <definedName name="KVC">#REF!</definedName>
    <definedName name="l">{"'Sheet1'!$L$16"}</definedName>
    <definedName name="L_mong">#REF!</definedName>
    <definedName name="lan">{#N/A,#N/A,TRUE,"BT M200 da 10x20"}</definedName>
    <definedName name="Langnghe">#REF!</definedName>
    <definedName name="li">{"'Sheet1'!$L$16"}</definedName>
    <definedName name="lk">#REF!</definedName>
    <definedName name="LK_hathe">#REF!</definedName>
    <definedName name="Lmk">#REF!</definedName>
    <definedName name="Loai_TD">#REF!</definedName>
    <definedName name="lVC">#REF!</definedName>
    <definedName name="m">#REF!</definedName>
    <definedName name="M10aavc">#REF!</definedName>
    <definedName name="M12ba3p">#REF!</definedName>
    <definedName name="M12bb1p">#REF!</definedName>
    <definedName name="M12cbnc">#REF!</definedName>
    <definedName name="M12cbvl">#REF!</definedName>
    <definedName name="M14bb1p">#REF!</definedName>
    <definedName name="m8aanc">#REF!</definedName>
    <definedName name="m8aavl">#REF!</definedName>
    <definedName name="Ma3pnc">#REF!</definedName>
    <definedName name="Ma3pvl">#REF!</definedName>
    <definedName name="Maa3pnc">#REF!</definedName>
    <definedName name="Maa3pvl">#REF!</definedName>
    <definedName name="Maïy">#REF!</definedName>
    <definedName name="MAJ_CON_EQP">#REF!</definedName>
    <definedName name="Maùy_bieán_aùp_löïc_110_22_15KV___40MVA">#REF!</definedName>
    <definedName name="MAVANKHUON">#REF!</definedName>
    <definedName name="MAVLTHDN">#REF!</definedName>
    <definedName name="Mba1p">#REF!</definedName>
    <definedName name="Mba3p">#REF!</definedName>
    <definedName name="Mbb3p">#REF!</definedName>
    <definedName name="Mbn1p">#REF!</definedName>
    <definedName name="mc">#REF!</definedName>
    <definedName name="Mcdn3">#REF!</definedName>
    <definedName name="Mckcung">#REF!</definedName>
    <definedName name="MG_A">#REF!</definedName>
    <definedName name="Mhdn3">#REF!</definedName>
    <definedName name="Moùng">#REF!</definedName>
    <definedName name="MSCT">#REF!</definedName>
    <definedName name="MTMAC12">#REF!</definedName>
    <definedName name="mtram">#REF!</definedName>
    <definedName name="n1pig">#REF!</definedName>
    <definedName name="N1pIGvc">#REF!</definedName>
    <definedName name="n1pind">#REF!</definedName>
    <definedName name="N1pINDvc">#REF!</definedName>
    <definedName name="n1ping">#REF!</definedName>
    <definedName name="N1pINGvc">#REF!</definedName>
    <definedName name="n1pint">#REF!</definedName>
    <definedName name="N1pINTvc">#REF!</definedName>
    <definedName name="N1pNLnc">#REF!</definedName>
    <definedName name="N1pNLvc">#REF!</definedName>
    <definedName name="N1pNLvl">#REF!</definedName>
    <definedName name="na">{"'Sheet1'!$L$16"}</definedName>
    <definedName name="nc">#REF!</definedName>
    <definedName name="nc1p">#REF!</definedName>
    <definedName name="nc3p">#REF!</definedName>
    <definedName name="NCBD100">#REF!</definedName>
    <definedName name="NCBD200">#REF!</definedName>
    <definedName name="NCBD250">#REF!</definedName>
    <definedName name="NCcap0.7">#REF!</definedName>
    <definedName name="NCcap1">#REF!</definedName>
    <definedName name="NCCT3p">#REF!</definedName>
    <definedName name="Ncdn3">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GCT">#REF!</definedName>
    <definedName name="NGNKC">#REF!</definedName>
    <definedName name="NH">#REF!</definedName>
    <definedName name="nhan">#REF!</definedName>
    <definedName name="nhan_2">#REF!</definedName>
    <definedName name="Nhán_cäng">#REF!</definedName>
    <definedName name="Nhdn3">#REF!</definedName>
    <definedName name="Nhdn4">#REF!</definedName>
    <definedName name="nhn">#REF!</definedName>
    <definedName name="NHot">#REF!</definedName>
    <definedName name="nig">#REF!</definedName>
    <definedName name="nig1p">#REF!</definedName>
    <definedName name="nig3p">#REF!</definedName>
    <definedName name="NIGnc">#REF!</definedName>
    <definedName name="nignc1p">#REF!</definedName>
    <definedName name="NIGvc">#REF!</definedName>
    <definedName name="NIGvl">#REF!</definedName>
    <definedName name="nigvl1p">#REF!</definedName>
    <definedName name="nin">#REF!</definedName>
    <definedName name="nin14nc3p">#REF!</definedName>
    <definedName name="nin14vl3p">#REF!</definedName>
    <definedName name="nin1903p">#REF!</definedName>
    <definedName name="nin190nc3p">#REF!</definedName>
    <definedName name="nin190vl3p">#REF!</definedName>
    <definedName name="nin2903p">#REF!</definedName>
    <definedName name="nin290nc3p">#REF!</definedName>
    <definedName name="nin290vl3p">#REF!</definedName>
    <definedName name="nin3p">#REF!</definedName>
    <definedName name="nind">#REF!</definedName>
    <definedName name="nind1p">#REF!</definedName>
    <definedName name="nind3p">#REF!</definedName>
    <definedName name="nindnc1p">#REF!</definedName>
    <definedName name="nindnc3p">#REF!</definedName>
    <definedName name="NINDvc">#REF!</definedName>
    <definedName name="nindvl1p">#REF!</definedName>
    <definedName name="nindvl3p">#REF!</definedName>
    <definedName name="ning1p">#REF!</definedName>
    <definedName name="ningnc1p">#REF!</definedName>
    <definedName name="ningvl1p">#REF!</definedName>
    <definedName name="ninnc3p">#REF!</definedName>
    <definedName name="nint1p">#REF!</definedName>
    <definedName name="nintnc1p">#REF!</definedName>
    <definedName name="nintvl1p">#REF!</definedName>
    <definedName name="NINvc">#REF!</definedName>
    <definedName name="ninvl3p">#REF!</definedName>
    <definedName name="nl">#REF!</definedName>
    <definedName name="nl1p">#REF!</definedName>
    <definedName name="nl3p">#REF!</definedName>
    <definedName name="nlnc3p">#REF!</definedName>
    <definedName name="nlnc3pha">#REF!</definedName>
    <definedName name="NLTK1p">#REF!</definedName>
    <definedName name="nlvl3p">#REF!</definedName>
    <definedName name="nn">#REF!</definedName>
    <definedName name="nn1p">#REF!</definedName>
    <definedName name="nn3p">#REF!</definedName>
    <definedName name="nnnc3p">#REF!</definedName>
    <definedName name="nnvl3p">#REF!</definedName>
    <definedName name="No">#REF!</definedName>
    <definedName name="NTK">#REF!</definedName>
    <definedName name="OrderTable">#REF!</definedName>
    <definedName name="PA">#REF!</definedName>
    <definedName name="ph">{"'Sheet1'!$L$16"}</definedName>
    <definedName name="phg">{"'Sheet1'!$L$16"}</definedName>
    <definedName name="phu_luc_vua">#REF!</definedName>
    <definedName name="phuog">{"'Sheet1'!$L$16"}</definedName>
    <definedName name="phuong">{"'Sheet1'!$L$16"}</definedName>
    <definedName name="pnn">{"'Sheet1'!$L$16"}</definedName>
    <definedName name="PRICE">#REF!</definedName>
    <definedName name="PRICE1">#REF!</definedName>
    <definedName name="_xlnm.Print_Titles" localSheetId="0">'PL 01'!$5:$6</definedName>
    <definedName name="_xlnm.Print_Titles" localSheetId="1">'PL 02'!$5:$6</definedName>
    <definedName name="Print_Titles_MI">#REF!</definedName>
    <definedName name="PRINTA">#REF!</definedName>
    <definedName name="PRINTA_2">#REF!</definedName>
    <definedName name="PRINTB">#REF!</definedName>
    <definedName name="PRINTB_2">#REF!</definedName>
    <definedName name="PRINTC">#REF!</definedName>
    <definedName name="PRINTC_2">#REF!</definedName>
    <definedName name="ProdForm">#REF!</definedName>
    <definedName name="Product">#REF!</definedName>
    <definedName name="PROPOSAL">#REF!</definedName>
    <definedName name="PT_Duong">#REF!</definedName>
    <definedName name="ptdg">#REF!</definedName>
    <definedName name="PTDG_cau">#REF!</definedName>
    <definedName name="pvd">#REF!</definedName>
    <definedName name="q">#REF!</definedName>
    <definedName name="QTRON">#REF!</definedName>
    <definedName name="ra11p">#REF!</definedName>
    <definedName name="ra13p">#REF!</definedName>
    <definedName name="rate">14000</definedName>
    <definedName name="RCArea">#REF!</definedName>
    <definedName name="RECOUT">#REF!</definedName>
    <definedName name="RECOUT_2">NA()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SCH">#REF!</definedName>
    <definedName name="sd1p">#REF!</definedName>
    <definedName name="SDMONG">#REF!</definedName>
    <definedName name="sht1p">#REF!</definedName>
    <definedName name="SHTTK">#REF!</definedName>
    <definedName name="SIZE">#REF!</definedName>
    <definedName name="SL_CRD">#REF!</definedName>
    <definedName name="SL_CRS">#REF!</definedName>
    <definedName name="SL_CS">#REF!</definedName>
    <definedName name="SL_DD">#REF!</definedName>
    <definedName name="SNKC">#REF!</definedName>
    <definedName name="soc3p">#REF!</definedName>
    <definedName name="solieu">#REF!</definedName>
    <definedName name="SORT">#REF!</definedName>
    <definedName name="SPEC">#REF!</definedName>
    <definedName name="SpecialPrice">#REF!</definedName>
    <definedName name="SPECSUMMARY">#REF!</definedName>
    <definedName name="SPSCO">#REF!</definedName>
    <definedName name="SPSNO">#REF!</definedName>
    <definedName name="st1p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BCPC1">#REF!</definedName>
    <definedName name="STBCPC2">#REF!</definedName>
    <definedName name="STBCPT1">#REF!</definedName>
    <definedName name="STBCPT2">#REF!</definedName>
    <definedName name="STTK">#REF!</definedName>
    <definedName name="sub">#REF!</definedName>
    <definedName name="SUMMARY">#REF!</definedName>
    <definedName name="SUMMARY_2">#REF!</definedName>
    <definedName name="sur">#REF!</definedName>
    <definedName name="T">#REF!</definedName>
    <definedName name="t101p">#REF!</definedName>
    <definedName name="t103p">#REF!</definedName>
    <definedName name="t10nc1p">#REF!</definedName>
    <definedName name="T10vc">#REF!</definedName>
    <definedName name="t10vl1p">#REF!</definedName>
    <definedName name="t121p">#REF!</definedName>
    <definedName name="t123p">#REF!</definedName>
    <definedName name="T12vc">#REF!</definedName>
    <definedName name="t141p">#REF!</definedName>
    <definedName name="t143p">#REF!</definedName>
    <definedName name="t14nc3p">#REF!</definedName>
    <definedName name="t14vl3p">#REF!</definedName>
    <definedName name="TAM">#REF!</definedName>
    <definedName name="Taptrung">#REF!</definedName>
    <definedName name="TaxTV">10%</definedName>
    <definedName name="TaxXL">5%</definedName>
    <definedName name="TBA">#REF!</definedName>
    <definedName name="TBH">#REF!</definedName>
    <definedName name="tbl_ProdInfo">#REF!</definedName>
    <definedName name="tbtram">#REF!</definedName>
    <definedName name="TBXD">#REF!</definedName>
    <definedName name="TC">#REF!</definedName>
    <definedName name="TC_NHANH1">#REF!</definedName>
    <definedName name="TD12vl">#REF!</definedName>
    <definedName name="td1p">#REF!</definedName>
    <definedName name="TD1p1nc">#REF!</definedName>
    <definedName name="td1p1vc">#REF!</definedName>
    <definedName name="TD1p1vl">#REF!</definedName>
    <definedName name="TD1p2nc">#REF!</definedName>
    <definedName name="TD1p2vc">#REF!</definedName>
    <definedName name="TD1p2vl">#REF!</definedName>
    <definedName name="td3p">#REF!</definedName>
    <definedName name="TDctnc">#REF!</definedName>
    <definedName name="TDctvc">#REF!</definedName>
    <definedName name="TDctvl">#REF!</definedName>
    <definedName name="TDmnc">#REF!</definedName>
    <definedName name="TDmvc">#REF!</definedName>
    <definedName name="TDmvl">#REF!</definedName>
    <definedName name="tdnc1p">#REF!</definedName>
    <definedName name="tdtr2cnc">#REF!</definedName>
    <definedName name="tdtr2cvl">#REF!</definedName>
    <definedName name="tdvl1p">#REF!</definedName>
    <definedName name="th_da_son">#REF!</definedName>
    <definedName name="tham">{"'Sheet1'!$L$16"}</definedName>
    <definedName name="THGO1pnc">#REF!</definedName>
    <definedName name="thht">#REF!</definedName>
    <definedName name="THI">#REF!</definedName>
    <definedName name="THI_2">#REF!</definedName>
    <definedName name="thkp3">#REF!</definedName>
    <definedName name="thßngbaovon">#REF!</definedName>
    <definedName name="THT">#REF!</definedName>
    <definedName name="thtt">#REF!</definedName>
    <definedName name="Thuysan_2">#REF!</definedName>
    <definedName name="Tien">#REF!</definedName>
    <definedName name="Tinhoc_2">#REF!</definedName>
    <definedName name="TITAN">#REF!</definedName>
    <definedName name="TK10.7.2008">{"'Sheet1'!$L$16"}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le">#REF!</definedName>
    <definedName name="TONGDUTOAN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">#REF!</definedName>
    <definedName name="TRA_VL">#REF!</definedName>
    <definedName name="TRADE2">#REF!</definedName>
    <definedName name="TRAM">#REF!</definedName>
    <definedName name="TRAVL">#REF!</definedName>
    <definedName name="TRON">#REF!</definedName>
    <definedName name="Tru">#REF!</definedName>
    <definedName name="Trusoxa_2">#REF!</definedName>
    <definedName name="Truyenhinh_2">#REF!</definedName>
    <definedName name="TT_1P">#REF!</definedName>
    <definedName name="TT_3p">#REF!</definedName>
    <definedName name="ttbt">#REF!</definedName>
    <definedName name="tthi">#REF!</definedName>
    <definedName name="TTHUE">#REF!</definedName>
    <definedName name="ttronmk">#REF!</definedName>
    <definedName name="ttttt">{"'Sheet1'!$L$16"}</definedName>
    <definedName name="TTTTTTTTT">{"'Sheet1'!$L$16"}</definedName>
    <definedName name="ttttttttttt">{"'Sheet1'!$L$16"}</definedName>
    <definedName name="tv75nc">#REF!</definedName>
    <definedName name="tv75vl">#REF!</definedName>
    <definedName name="ty_le">#REF!</definedName>
    <definedName name="ty_le_BTN">#REF!</definedName>
    <definedName name="Ty_le1">#REF!</definedName>
    <definedName name="u">{"'Sheet1'!$L$16"}</definedName>
    <definedName name="ư">{"'Sheet1'!$L$16"}</definedName>
    <definedName name="v">{"'Sheet1'!$L$16"}</definedName>
    <definedName name="Value0">#REF!</definedName>
    <definedName name="Value1">#REF!</definedName>
    <definedName name="Value10">#REF!</definedName>
    <definedName name="Value11">#REF!</definedName>
    <definedName name="Value12">#REF!</definedName>
    <definedName name="Value13">#REF!</definedName>
    <definedName name="Value14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6">#REF!</definedName>
    <definedName name="Value7">#REF!</definedName>
    <definedName name="Value8">#REF!</definedName>
    <definedName name="Value9">#REF!</definedName>
    <definedName name="VARIINST">#REF!</definedName>
    <definedName name="VARIPURC">#REF!</definedName>
    <definedName name="VatTu">#REF!</definedName>
    <definedName name="Váût_liãûu">#REF!</definedName>
    <definedName name="vbtchongnuocm300">#REF!</definedName>
    <definedName name="vbtm150">#REF!</definedName>
    <definedName name="vbtm300">#REF!</definedName>
    <definedName name="vbtm400">#REF!</definedName>
    <definedName name="vccot">#REF!</definedName>
    <definedName name="VCDD1P">#REF!</definedName>
    <definedName name="VCDDCT3p">#REF!</definedName>
    <definedName name="VCDDMBA">#REF!</definedName>
    <definedName name="Vcdn3">#REF!</definedName>
    <definedName name="VCHT">#REF!</definedName>
    <definedName name="Vckcung">#REF!</definedName>
    <definedName name="vctb">#REF!</definedName>
    <definedName name="VCTT">#REF!</definedName>
    <definedName name="vd3p">#REF!</definedName>
    <definedName name="Vhdn3">#REF!</definedName>
    <definedName name="vkcauthang">#REF!</definedName>
    <definedName name="vksan">#REF!</definedName>
    <definedName name="vl">#REF!</definedName>
    <definedName name="VL_RC1">#REF!</definedName>
    <definedName name="VL_RC2">#REF!</definedName>
    <definedName name="VL_Rnha">#REF!</definedName>
    <definedName name="VL_RS">#REF!</definedName>
    <definedName name="vl1p">#REF!</definedName>
    <definedName name="vl3p">#REF!</definedName>
    <definedName name="Vlcap0.7">#REF!</definedName>
    <definedName name="VLcap1">#REF!</definedName>
    <definedName name="VLCT3p">#REF!</definedName>
    <definedName name="vldn400">#REF!</definedName>
    <definedName name="vldn600">#REF!</definedName>
    <definedName name="VLM">#REF!</definedName>
    <definedName name="vltram">#REF!</definedName>
    <definedName name="voc">#REF!</definedName>
    <definedName name="Vonnuocngoai">#REF!</definedName>
    <definedName name="vr3p">#REF!</definedName>
    <definedName name="vt">#REF!</definedName>
    <definedName name="VungTL">#REF!</definedName>
    <definedName name="Vuonquocgia_2">#REF!</definedName>
    <definedName name="W">#REF!</definedName>
    <definedName name="wrn.Bang._.ke._.nhan._.hang.">{#N/A,#N/A,FALSE,"Ke khai NH"}</definedName>
    <definedName name="wrn.Che._.do._.duoc._.huong.">{#N/A,#N/A,FALSE,"BN (2)"}</definedName>
    <definedName name="wrn.chi._.tiÆt.">{#N/A,#N/A,FALSE,"Chi tiÆt"}</definedName>
    <definedName name="wrn.Giáy._.bao._.no.">{#N/A,#N/A,FALSE,"BN"}</definedName>
    <definedName name="wrn.vd.">{#N/A,#N/A,TRUE,"BT M200 da 10x20"}</definedName>
    <definedName name="X">#REF!</definedName>
    <definedName name="x1pind">#REF!</definedName>
    <definedName name="X1pINDvc">#REF!</definedName>
    <definedName name="x1ping">#REF!</definedName>
    <definedName name="X1pINGvc">#REF!</definedName>
    <definedName name="x1pint">#REF!</definedName>
    <definedName name="XCCT">0.5</definedName>
    <definedName name="XE">#REF!</definedName>
    <definedName name="xfco">#REF!</definedName>
    <definedName name="xfco3p">#REF!</definedName>
    <definedName name="xfcotnc">#REF!</definedName>
    <definedName name="xfcotvl">#REF!</definedName>
    <definedName name="XFCOvc">#REF!</definedName>
    <definedName name="xh">#REF!</definedName>
    <definedName name="xhn">#REF!</definedName>
    <definedName name="xig">#REF!</definedName>
    <definedName name="xig1p">#REF!</definedName>
    <definedName name="xig3p">#REF!</definedName>
    <definedName name="xignc3p">#REF!</definedName>
    <definedName name="XIGvc">#REF!</definedName>
    <definedName name="xigvl3p">#REF!</definedName>
    <definedName name="xin">#REF!</definedName>
    <definedName name="xin1903p">#REF!</definedName>
    <definedName name="XIN190vc">#REF!</definedName>
    <definedName name="xin2903p">#REF!</definedName>
    <definedName name="xin290nc3p">#REF!</definedName>
    <definedName name="xin290vl3p">#REF!</definedName>
    <definedName name="xin3p">#REF!</definedName>
    <definedName name="xind">#REF!</definedName>
    <definedName name="xind1p">#REF!</definedName>
    <definedName name="xind3p">#REF!</definedName>
    <definedName name="xindnc1p">#REF!</definedName>
    <definedName name="XINDvc">#REF!</definedName>
    <definedName name="xindvl1p">#REF!</definedName>
    <definedName name="xing1p">#REF!</definedName>
    <definedName name="xingnc1p">#REF!</definedName>
    <definedName name="xingvl1p">#REF!</definedName>
    <definedName name="xinnc3p">#REF!</definedName>
    <definedName name="xint1p">#REF!</definedName>
    <definedName name="XINvc">#REF!</definedName>
    <definedName name="xinvl3p">#REF!</definedName>
    <definedName name="xit">#REF!</definedName>
    <definedName name="xit1p">#REF!</definedName>
    <definedName name="xit2nc3p">#REF!</definedName>
    <definedName name="xit2vl3p">#REF!</definedName>
    <definedName name="xit3p">#REF!</definedName>
    <definedName name="xitnc3p">#REF!</definedName>
    <definedName name="XITvc">#REF!</definedName>
    <definedName name="xitvl3p">#REF!</definedName>
    <definedName name="xmcax">#REF!</definedName>
    <definedName name="xn">#REF!</definedName>
    <definedName name="XSKT_2">#REF!</definedName>
    <definedName name="y">#REF!</definedName>
    <definedName name="Yte_2">#REF!</definedName>
    <definedName name="z">#REF!</definedName>
    <definedName name="zdhdh">{"'Sheet1'!$L$16"}</definedName>
    <definedName name="ZXD">#REF!</definedName>
    <definedName name="ZYX">#REF!</definedName>
    <definedName name="ZZZ">#REF!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3" roundtripDataChecksum="32A3QB/U3FeednKHwlxOaw79y6eoRWtKwfJRTqUf51Q="/>
    </ext>
  </extLst>
</workbook>
</file>

<file path=xl/calcChain.xml><?xml version="1.0" encoding="utf-8"?>
<calcChain xmlns="http://schemas.openxmlformats.org/spreadsheetml/2006/main">
  <c r="I60" i="2" l="1"/>
  <c r="I59" i="2"/>
  <c r="I11" i="2" l="1"/>
  <c r="I51" i="1"/>
  <c r="I106" i="2"/>
  <c r="I105" i="2"/>
  <c r="E99" i="1"/>
  <c r="I102" i="2" l="1"/>
  <c r="F29" i="2"/>
  <c r="I29" i="2" s="1"/>
  <c r="I27" i="2"/>
  <c r="H25" i="2"/>
  <c r="I122" i="2"/>
  <c r="I31" i="2"/>
  <c r="I32" i="2"/>
  <c r="I33" i="2"/>
  <c r="I34" i="2"/>
  <c r="I35" i="2"/>
  <c r="I36" i="2"/>
  <c r="I38" i="2"/>
  <c r="I39" i="2"/>
  <c r="I40" i="2"/>
  <c r="I41" i="2"/>
  <c r="I42" i="2"/>
  <c r="I43" i="2"/>
  <c r="I45" i="2"/>
  <c r="I47" i="2"/>
  <c r="I48" i="2"/>
  <c r="I49" i="2"/>
  <c r="I50" i="2"/>
  <c r="I51" i="2"/>
  <c r="I52" i="2"/>
  <c r="I53" i="2"/>
  <c r="I54" i="2"/>
  <c r="I55" i="2"/>
  <c r="I56" i="2"/>
  <c r="I57" i="2"/>
  <c r="I58" i="2"/>
  <c r="I62" i="2"/>
  <c r="I63" i="2"/>
  <c r="I64" i="2"/>
  <c r="I65" i="2"/>
  <c r="I66" i="2"/>
  <c r="I67" i="2"/>
  <c r="I68" i="2"/>
  <c r="I69" i="2"/>
  <c r="I70" i="2"/>
  <c r="I71" i="2"/>
  <c r="I72" i="2"/>
  <c r="I74" i="2"/>
  <c r="I76" i="2"/>
  <c r="I80" i="2"/>
  <c r="I81" i="2"/>
  <c r="I82" i="2"/>
  <c r="I83" i="2"/>
  <c r="I85" i="2"/>
  <c r="I86" i="2"/>
  <c r="I87" i="2"/>
  <c r="I88" i="2"/>
  <c r="I89" i="2"/>
  <c r="I90" i="2"/>
  <c r="I91" i="2"/>
  <c r="I97" i="2"/>
  <c r="I103" i="2"/>
  <c r="I104" i="2"/>
  <c r="I107" i="2"/>
  <c r="I108" i="2"/>
  <c r="I109" i="2"/>
  <c r="I111" i="2"/>
  <c r="I112" i="2"/>
  <c r="I113" i="2"/>
  <c r="I114" i="2"/>
  <c r="I115" i="2"/>
  <c r="I116" i="2"/>
  <c r="I117" i="2"/>
  <c r="I118" i="2"/>
  <c r="I119" i="2"/>
  <c r="I120" i="2"/>
  <c r="I121" i="2"/>
  <c r="I123" i="2"/>
  <c r="I125" i="2"/>
  <c r="I126" i="2"/>
  <c r="H126" i="2" s="1"/>
  <c r="I127" i="2"/>
  <c r="H127" i="2" s="1"/>
  <c r="I128" i="2"/>
  <c r="H128" i="2" s="1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19" i="2"/>
  <c r="I20" i="2"/>
  <c r="I21" i="2"/>
  <c r="I22" i="2"/>
  <c r="H98" i="19"/>
  <c r="G96" i="19"/>
  <c r="F96" i="19"/>
  <c r="E96" i="19"/>
  <c r="D96" i="19"/>
  <c r="H95" i="19"/>
  <c r="G94" i="19"/>
  <c r="F94" i="19"/>
  <c r="E94" i="19"/>
  <c r="D94" i="19"/>
  <c r="G93" i="19"/>
  <c r="E93" i="19"/>
  <c r="H93" i="19" s="1"/>
  <c r="G92" i="19"/>
  <c r="E92" i="19"/>
  <c r="H92" i="19" s="1"/>
  <c r="G91" i="19"/>
  <c r="E91" i="19"/>
  <c r="G90" i="19"/>
  <c r="E90" i="19"/>
  <c r="H90" i="19" s="1"/>
  <c r="G89" i="19"/>
  <c r="E89" i="19"/>
  <c r="H89" i="19" s="1"/>
  <c r="F88" i="19"/>
  <c r="D88" i="19"/>
  <c r="H87" i="19"/>
  <c r="G83" i="19"/>
  <c r="F83" i="19"/>
  <c r="F81" i="19" s="1"/>
  <c r="E83" i="19"/>
  <c r="E81" i="19" s="1"/>
  <c r="D83" i="19"/>
  <c r="H82" i="19"/>
  <c r="G76" i="19"/>
  <c r="F76" i="19"/>
  <c r="E76" i="19"/>
  <c r="E73" i="19" s="1"/>
  <c r="D76" i="19"/>
  <c r="E75" i="19"/>
  <c r="D75" i="19"/>
  <c r="D74" i="19" s="1"/>
  <c r="G74" i="19"/>
  <c r="G72" i="19"/>
  <c r="F72" i="19"/>
  <c r="D72" i="19"/>
  <c r="G68" i="19"/>
  <c r="F68" i="19"/>
  <c r="E68" i="19"/>
  <c r="D68" i="19"/>
  <c r="H65" i="19"/>
  <c r="G64" i="19"/>
  <c r="F64" i="19"/>
  <c r="E64" i="19"/>
  <c r="D64" i="19"/>
  <c r="H63" i="19"/>
  <c r="H62" i="19"/>
  <c r="G61" i="19"/>
  <c r="F61" i="19"/>
  <c r="E61" i="19"/>
  <c r="D61" i="19"/>
  <c r="H60" i="19"/>
  <c r="H59" i="19"/>
  <c r="G58" i="19"/>
  <c r="G57" i="19" s="1"/>
  <c r="G55" i="19" s="1"/>
  <c r="F58" i="19"/>
  <c r="E58" i="19"/>
  <c r="E56" i="19" s="1"/>
  <c r="H56" i="19" s="1"/>
  <c r="D58" i="19"/>
  <c r="D57" i="19"/>
  <c r="D55" i="19" s="1"/>
  <c r="E53" i="19"/>
  <c r="H53" i="19" s="1"/>
  <c r="G52" i="19"/>
  <c r="F52" i="19"/>
  <c r="E52" i="19"/>
  <c r="H52" i="19" s="1"/>
  <c r="D52" i="19"/>
  <c r="E51" i="19"/>
  <c r="D51" i="19"/>
  <c r="D49" i="19" s="1"/>
  <c r="E50" i="19"/>
  <c r="H50" i="19" s="1"/>
  <c r="G49" i="19"/>
  <c r="G47" i="19" s="1"/>
  <c r="F49" i="19"/>
  <c r="F47" i="19"/>
  <c r="F45" i="19"/>
  <c r="E45" i="19"/>
  <c r="D45" i="19"/>
  <c r="H44" i="19"/>
  <c r="H43" i="19"/>
  <c r="G43" i="19"/>
  <c r="G45" i="19" s="1"/>
  <c r="G42" i="19"/>
  <c r="F42" i="19"/>
  <c r="H42" i="19" s="1"/>
  <c r="E42" i="19"/>
  <c r="D42" i="19"/>
  <c r="H41" i="19"/>
  <c r="H40" i="19"/>
  <c r="G39" i="19"/>
  <c r="F39" i="19"/>
  <c r="E39" i="19"/>
  <c r="D39" i="19"/>
  <c r="H38" i="19"/>
  <c r="H37" i="19"/>
  <c r="G36" i="19"/>
  <c r="F36" i="19"/>
  <c r="E36" i="19"/>
  <c r="D36" i="19"/>
  <c r="H35" i="19"/>
  <c r="H34" i="19"/>
  <c r="G29" i="19"/>
  <c r="F29" i="19"/>
  <c r="E29" i="19"/>
  <c r="D29" i="19"/>
  <c r="G28" i="19"/>
  <c r="F28" i="19"/>
  <c r="E28" i="19"/>
  <c r="D28" i="19"/>
  <c r="D30" i="19" s="1"/>
  <c r="G27" i="19"/>
  <c r="F27" i="19"/>
  <c r="E27" i="19"/>
  <c r="D27" i="19"/>
  <c r="H26" i="19"/>
  <c r="H25" i="19"/>
  <c r="H23" i="19"/>
  <c r="H22" i="19"/>
  <c r="G20" i="19"/>
  <c r="F20" i="19"/>
  <c r="E20" i="19"/>
  <c r="E14" i="19" s="1"/>
  <c r="D20" i="19"/>
  <c r="G19" i="19"/>
  <c r="F19" i="19"/>
  <c r="E19" i="19"/>
  <c r="D19" i="19"/>
  <c r="G18" i="19"/>
  <c r="F18" i="19"/>
  <c r="E18" i="19"/>
  <c r="D18" i="19"/>
  <c r="H17" i="19"/>
  <c r="H16" i="19"/>
  <c r="G14" i="19"/>
  <c r="D14" i="19"/>
  <c r="E13" i="19"/>
  <c r="D13" i="19"/>
  <c r="E98" i="18"/>
  <c r="H98" i="18" s="1"/>
  <c r="H97" i="18"/>
  <c r="G96" i="18"/>
  <c r="F96" i="18"/>
  <c r="E96" i="18"/>
  <c r="D96" i="18"/>
  <c r="H95" i="18"/>
  <c r="G94" i="18"/>
  <c r="F94" i="18"/>
  <c r="E94" i="18"/>
  <c r="D94" i="18"/>
  <c r="G93" i="18"/>
  <c r="E93" i="18"/>
  <c r="H93" i="18" s="1"/>
  <c r="G92" i="18"/>
  <c r="E92" i="18"/>
  <c r="H92" i="18" s="1"/>
  <c r="G91" i="18"/>
  <c r="E91" i="18"/>
  <c r="H91" i="18" s="1"/>
  <c r="G90" i="18"/>
  <c r="E90" i="18"/>
  <c r="G89" i="18"/>
  <c r="E89" i="18"/>
  <c r="H89" i="18" s="1"/>
  <c r="F88" i="18"/>
  <c r="D88" i="18"/>
  <c r="H87" i="18"/>
  <c r="G83" i="18"/>
  <c r="G81" i="18" s="1"/>
  <c r="F83" i="18"/>
  <c r="E83" i="18"/>
  <c r="E81" i="18" s="1"/>
  <c r="D83" i="18"/>
  <c r="H82" i="18"/>
  <c r="D82" i="18"/>
  <c r="D82" i="1" s="1"/>
  <c r="D81" i="18"/>
  <c r="G76" i="18"/>
  <c r="G74" i="18" s="1"/>
  <c r="F76" i="18"/>
  <c r="E76" i="18"/>
  <c r="D76" i="18"/>
  <c r="E75" i="18"/>
  <c r="H75" i="18" s="1"/>
  <c r="D75" i="18"/>
  <c r="E74" i="18"/>
  <c r="E73" i="18"/>
  <c r="G72" i="18"/>
  <c r="F72" i="18"/>
  <c r="G68" i="18"/>
  <c r="F68" i="18"/>
  <c r="E68" i="18"/>
  <c r="D68" i="18"/>
  <c r="H65" i="18"/>
  <c r="G64" i="18"/>
  <c r="F64" i="18"/>
  <c r="E64" i="18"/>
  <c r="D64" i="18"/>
  <c r="H63" i="18"/>
  <c r="H62" i="18"/>
  <c r="G61" i="18"/>
  <c r="F61" i="18"/>
  <c r="E61" i="18"/>
  <c r="D61" i="18"/>
  <c r="H60" i="18"/>
  <c r="H59" i="18"/>
  <c r="G58" i="18"/>
  <c r="G57" i="18" s="1"/>
  <c r="G55" i="18" s="1"/>
  <c r="F58" i="18"/>
  <c r="E58" i="18"/>
  <c r="D58" i="18"/>
  <c r="D57" i="18" s="1"/>
  <c r="D55" i="18" s="1"/>
  <c r="E53" i="18"/>
  <c r="H53" i="18" s="1"/>
  <c r="G52" i="18"/>
  <c r="F52" i="18"/>
  <c r="D52" i="18"/>
  <c r="H51" i="18"/>
  <c r="D51" i="18"/>
  <c r="H50" i="18"/>
  <c r="G49" i="18"/>
  <c r="G47" i="18" s="1"/>
  <c r="F49" i="18"/>
  <c r="H49" i="18" s="1"/>
  <c r="E49" i="18"/>
  <c r="F47" i="18"/>
  <c r="F45" i="18"/>
  <c r="E45" i="18"/>
  <c r="D45" i="18"/>
  <c r="H44" i="18"/>
  <c r="H43" i="18"/>
  <c r="G43" i="18"/>
  <c r="G45" i="18" s="1"/>
  <c r="G42" i="18"/>
  <c r="F42" i="18"/>
  <c r="E42" i="18"/>
  <c r="H42" i="18" s="1"/>
  <c r="D42" i="18"/>
  <c r="H41" i="18"/>
  <c r="H40" i="18"/>
  <c r="G39" i="18"/>
  <c r="F39" i="18"/>
  <c r="E39" i="18"/>
  <c r="D39" i="18"/>
  <c r="H38" i="18"/>
  <c r="H37" i="18"/>
  <c r="G36" i="18"/>
  <c r="F36" i="18"/>
  <c r="E36" i="18"/>
  <c r="D36" i="18"/>
  <c r="H35" i="18"/>
  <c r="H34" i="18"/>
  <c r="G29" i="18"/>
  <c r="F29" i="18"/>
  <c r="E29" i="18"/>
  <c r="D29" i="18"/>
  <c r="G28" i="18"/>
  <c r="F28" i="18"/>
  <c r="H28" i="18" s="1"/>
  <c r="E28" i="18"/>
  <c r="D28" i="18"/>
  <c r="H23" i="18"/>
  <c r="H22" i="18"/>
  <c r="G20" i="18"/>
  <c r="F20" i="18"/>
  <c r="E20" i="18"/>
  <c r="E14" i="18" s="1"/>
  <c r="D20" i="18"/>
  <c r="D14" i="18" s="1"/>
  <c r="G19" i="18"/>
  <c r="F19" i="18"/>
  <c r="E19" i="18"/>
  <c r="H19" i="18" s="1"/>
  <c r="D19" i="18"/>
  <c r="G18" i="18"/>
  <c r="F18" i="18"/>
  <c r="E18" i="18"/>
  <c r="D18" i="18"/>
  <c r="H17" i="18"/>
  <c r="H16" i="18"/>
  <c r="F14" i="18"/>
  <c r="H14" i="18" s="1"/>
  <c r="G13" i="18"/>
  <c r="F13" i="18"/>
  <c r="G96" i="17"/>
  <c r="F96" i="17"/>
  <c r="E96" i="17"/>
  <c r="D96" i="17"/>
  <c r="G94" i="17"/>
  <c r="F94" i="17"/>
  <c r="E94" i="17"/>
  <c r="D94" i="17"/>
  <c r="G93" i="17"/>
  <c r="E93" i="17"/>
  <c r="H93" i="17" s="1"/>
  <c r="G91" i="17"/>
  <c r="E91" i="17"/>
  <c r="H91" i="17" s="1"/>
  <c r="G90" i="17"/>
  <c r="E90" i="17"/>
  <c r="H90" i="17" s="1"/>
  <c r="G89" i="17"/>
  <c r="E89" i="17"/>
  <c r="H89" i="17" s="1"/>
  <c r="F88" i="17"/>
  <c r="E88" i="17"/>
  <c r="H88" i="17" s="1"/>
  <c r="D88" i="17"/>
  <c r="H87" i="17"/>
  <c r="G83" i="17"/>
  <c r="F83" i="17"/>
  <c r="E83" i="17"/>
  <c r="E81" i="17" s="1"/>
  <c r="D83" i="17"/>
  <c r="H82" i="17"/>
  <c r="D81" i="17"/>
  <c r="G76" i="17"/>
  <c r="G74" i="17" s="1"/>
  <c r="F76" i="17"/>
  <c r="F74" i="17" s="1"/>
  <c r="E76" i="17"/>
  <c r="E73" i="17" s="1"/>
  <c r="D76" i="17"/>
  <c r="D73" i="17"/>
  <c r="G72" i="17"/>
  <c r="F72" i="17"/>
  <c r="D72" i="17"/>
  <c r="G68" i="17"/>
  <c r="F68" i="17"/>
  <c r="E68" i="17"/>
  <c r="D68" i="17"/>
  <c r="G64" i="17"/>
  <c r="F64" i="17"/>
  <c r="E64" i="17"/>
  <c r="D64" i="17"/>
  <c r="H63" i="17"/>
  <c r="H62" i="17"/>
  <c r="G61" i="17"/>
  <c r="F61" i="17"/>
  <c r="E61" i="17"/>
  <c r="D61" i="17"/>
  <c r="H60" i="17"/>
  <c r="H59" i="17"/>
  <c r="G58" i="17"/>
  <c r="F58" i="17"/>
  <c r="E58" i="17"/>
  <c r="D58" i="17"/>
  <c r="D57" i="17" s="1"/>
  <c r="D55" i="17" s="1"/>
  <c r="D54" i="17"/>
  <c r="D54" i="1" s="1"/>
  <c r="E53" i="17"/>
  <c r="G52" i="17"/>
  <c r="F52" i="17"/>
  <c r="D52" i="17"/>
  <c r="H50" i="17"/>
  <c r="G49" i="17"/>
  <c r="G47" i="17" s="1"/>
  <c r="F49" i="17"/>
  <c r="E49" i="17"/>
  <c r="D49" i="17"/>
  <c r="F47" i="17"/>
  <c r="F45" i="17"/>
  <c r="E45" i="17"/>
  <c r="H45" i="17" s="1"/>
  <c r="D45" i="17"/>
  <c r="H44" i="17"/>
  <c r="H43" i="17"/>
  <c r="G43" i="17"/>
  <c r="G45" i="17" s="1"/>
  <c r="G42" i="17"/>
  <c r="F42" i="17"/>
  <c r="E42" i="17"/>
  <c r="D42" i="17"/>
  <c r="H41" i="17"/>
  <c r="H40" i="17"/>
  <c r="G39" i="17"/>
  <c r="F39" i="17"/>
  <c r="E39" i="17"/>
  <c r="D39" i="17"/>
  <c r="H38" i="17"/>
  <c r="H37" i="17"/>
  <c r="G36" i="17"/>
  <c r="F36" i="17"/>
  <c r="E36" i="17"/>
  <c r="D36" i="17"/>
  <c r="H35" i="17"/>
  <c r="H34" i="17"/>
  <c r="G29" i="17"/>
  <c r="F29" i="17"/>
  <c r="E29" i="17"/>
  <c r="D29" i="17"/>
  <c r="G28" i="17"/>
  <c r="F28" i="17"/>
  <c r="H28" i="17" s="1"/>
  <c r="E28" i="17"/>
  <c r="E30" i="17" s="1"/>
  <c r="D28" i="17"/>
  <c r="D30" i="17" s="1"/>
  <c r="H26" i="17"/>
  <c r="H23" i="17"/>
  <c r="H22" i="17"/>
  <c r="G20" i="17"/>
  <c r="F20" i="17"/>
  <c r="F14" i="17" s="1"/>
  <c r="E20" i="17"/>
  <c r="D20" i="17"/>
  <c r="D14" i="17" s="1"/>
  <c r="G19" i="17"/>
  <c r="G21" i="17" s="1"/>
  <c r="F19" i="17"/>
  <c r="E19" i="17"/>
  <c r="D19" i="17"/>
  <c r="D21" i="17" s="1"/>
  <c r="G18" i="17"/>
  <c r="F18" i="17"/>
  <c r="E18" i="17"/>
  <c r="D18" i="17"/>
  <c r="H17" i="17"/>
  <c r="H16" i="17"/>
  <c r="G14" i="17"/>
  <c r="G13" i="17"/>
  <c r="G10" i="17"/>
  <c r="G96" i="16"/>
  <c r="F96" i="16"/>
  <c r="E96" i="16"/>
  <c r="D96" i="16"/>
  <c r="G94" i="16"/>
  <c r="F94" i="16"/>
  <c r="E94" i="16"/>
  <c r="D94" i="16"/>
  <c r="G93" i="16"/>
  <c r="E93" i="16"/>
  <c r="H93" i="16" s="1"/>
  <c r="G92" i="16"/>
  <c r="E92" i="16"/>
  <c r="H92" i="16" s="1"/>
  <c r="G91" i="16"/>
  <c r="E91" i="16"/>
  <c r="H91" i="16" s="1"/>
  <c r="G90" i="16"/>
  <c r="E90" i="16"/>
  <c r="H90" i="16" s="1"/>
  <c r="F88" i="16"/>
  <c r="D88" i="16"/>
  <c r="H87" i="16"/>
  <c r="G83" i="16"/>
  <c r="G81" i="16" s="1"/>
  <c r="F83" i="16"/>
  <c r="H83" i="16" s="1"/>
  <c r="E83" i="16"/>
  <c r="D83" i="16"/>
  <c r="F81" i="16"/>
  <c r="G76" i="16"/>
  <c r="F76" i="16"/>
  <c r="F74" i="16" s="1"/>
  <c r="E76" i="16"/>
  <c r="D76" i="16"/>
  <c r="H75" i="16"/>
  <c r="E74" i="16"/>
  <c r="D74" i="16"/>
  <c r="G72" i="16"/>
  <c r="F72" i="16"/>
  <c r="D72" i="16"/>
  <c r="G68" i="16"/>
  <c r="F68" i="16"/>
  <c r="E68" i="16"/>
  <c r="D68" i="16"/>
  <c r="G64" i="16"/>
  <c r="F64" i="16"/>
  <c r="E64" i="16"/>
  <c r="D64" i="16"/>
  <c r="H63" i="16"/>
  <c r="H62" i="16"/>
  <c r="D62" i="16"/>
  <c r="D61" i="16" s="1"/>
  <c r="G61" i="16"/>
  <c r="F61" i="16"/>
  <c r="E61" i="16"/>
  <c r="H61" i="16" s="1"/>
  <c r="H60" i="16"/>
  <c r="H59" i="16"/>
  <c r="G58" i="16"/>
  <c r="G57" i="16" s="1"/>
  <c r="F58" i="16"/>
  <c r="E58" i="16"/>
  <c r="E56" i="16" s="1"/>
  <c r="H56" i="16" s="1"/>
  <c r="D58" i="16"/>
  <c r="E57" i="16"/>
  <c r="E55" i="16" s="1"/>
  <c r="G55" i="16"/>
  <c r="E53" i="16"/>
  <c r="H53" i="16" s="1"/>
  <c r="G52" i="16"/>
  <c r="F52" i="16"/>
  <c r="E52" i="16"/>
  <c r="D52" i="16"/>
  <c r="H50" i="16"/>
  <c r="G49" i="16"/>
  <c r="F49" i="16"/>
  <c r="F47" i="16" s="1"/>
  <c r="E49" i="16"/>
  <c r="H49" i="16" s="1"/>
  <c r="D49" i="16"/>
  <c r="E48" i="16" s="1"/>
  <c r="G47" i="16"/>
  <c r="F45" i="16"/>
  <c r="E45" i="16"/>
  <c r="D45" i="16"/>
  <c r="H44" i="16"/>
  <c r="H43" i="16"/>
  <c r="G43" i="16"/>
  <c r="G45" i="16" s="1"/>
  <c r="G42" i="16"/>
  <c r="F42" i="16"/>
  <c r="E42" i="16"/>
  <c r="D42" i="16"/>
  <c r="H41" i="16"/>
  <c r="H40" i="16"/>
  <c r="G39" i="16"/>
  <c r="F39" i="16"/>
  <c r="E39" i="16"/>
  <c r="D39" i="16"/>
  <c r="H38" i="16"/>
  <c r="H37" i="16"/>
  <c r="G36" i="16"/>
  <c r="F36" i="16"/>
  <c r="E36" i="16"/>
  <c r="D36" i="16"/>
  <c r="H35" i="16"/>
  <c r="H34" i="16"/>
  <c r="G29" i="16"/>
  <c r="F29" i="16"/>
  <c r="H29" i="16" s="1"/>
  <c r="E29" i="16"/>
  <c r="D29" i="16"/>
  <c r="G28" i="16"/>
  <c r="G30" i="16" s="1"/>
  <c r="F28" i="16"/>
  <c r="F30" i="16" s="1"/>
  <c r="E28" i="16"/>
  <c r="H28" i="16" s="1"/>
  <c r="D28" i="16"/>
  <c r="H26" i="16"/>
  <c r="G24" i="16"/>
  <c r="F24" i="16"/>
  <c r="E24" i="16"/>
  <c r="D24" i="16"/>
  <c r="H23" i="16"/>
  <c r="H22" i="16"/>
  <c r="G20" i="16"/>
  <c r="F20" i="16"/>
  <c r="H20" i="16" s="1"/>
  <c r="E20" i="16"/>
  <c r="D20" i="16"/>
  <c r="G19" i="16"/>
  <c r="F19" i="16"/>
  <c r="E19" i="16"/>
  <c r="D19" i="16"/>
  <c r="G18" i="16"/>
  <c r="F18" i="16"/>
  <c r="E18" i="16"/>
  <c r="D18" i="16"/>
  <c r="H17" i="16"/>
  <c r="G14" i="16"/>
  <c r="F14" i="16"/>
  <c r="E14" i="16"/>
  <c r="D14" i="16"/>
  <c r="G13" i="16"/>
  <c r="G10" i="16" s="1"/>
  <c r="H97" i="15"/>
  <c r="G96" i="15"/>
  <c r="F96" i="15"/>
  <c r="E96" i="15"/>
  <c r="D96" i="15"/>
  <c r="H95" i="15"/>
  <c r="G94" i="15"/>
  <c r="F94" i="15"/>
  <c r="E94" i="15"/>
  <c r="D94" i="15"/>
  <c r="G93" i="15"/>
  <c r="E93" i="15"/>
  <c r="H93" i="15" s="1"/>
  <c r="H91" i="15"/>
  <c r="G91" i="15"/>
  <c r="G90" i="15"/>
  <c r="E90" i="15"/>
  <c r="H90" i="15" s="1"/>
  <c r="D90" i="15"/>
  <c r="D88" i="15" s="1"/>
  <c r="G89" i="15"/>
  <c r="E89" i="15"/>
  <c r="F88" i="15"/>
  <c r="H87" i="15"/>
  <c r="G83" i="15"/>
  <c r="G81" i="15" s="1"/>
  <c r="F83" i="15"/>
  <c r="E83" i="15"/>
  <c r="D83" i="15"/>
  <c r="E82" i="15" s="1"/>
  <c r="G76" i="15"/>
  <c r="F76" i="15"/>
  <c r="F74" i="15" s="1"/>
  <c r="E76" i="15"/>
  <c r="E73" i="15" s="1"/>
  <c r="D76" i="15"/>
  <c r="G72" i="15"/>
  <c r="F72" i="15"/>
  <c r="D72" i="15"/>
  <c r="G68" i="15"/>
  <c r="F68" i="15"/>
  <c r="E68" i="15"/>
  <c r="D68" i="15"/>
  <c r="H65" i="15"/>
  <c r="G64" i="15"/>
  <c r="F64" i="15"/>
  <c r="H64" i="15" s="1"/>
  <c r="E64" i="15"/>
  <c r="D64" i="15"/>
  <c r="H63" i="15"/>
  <c r="H62" i="15"/>
  <c r="G61" i="15"/>
  <c r="F61" i="15"/>
  <c r="E61" i="15"/>
  <c r="D61" i="15"/>
  <c r="H60" i="15"/>
  <c r="H59" i="15"/>
  <c r="G58" i="15"/>
  <c r="F58" i="15"/>
  <c r="H58" i="15" s="1"/>
  <c r="E58" i="15"/>
  <c r="D58" i="15"/>
  <c r="D57" i="15" s="1"/>
  <c r="D55" i="15" s="1"/>
  <c r="F57" i="15"/>
  <c r="F55" i="15" s="1"/>
  <c r="E56" i="15"/>
  <c r="H56" i="15" s="1"/>
  <c r="E53" i="15"/>
  <c r="H53" i="15" s="1"/>
  <c r="D53" i="15"/>
  <c r="D52" i="15" s="1"/>
  <c r="G52" i="15"/>
  <c r="F52" i="15"/>
  <c r="E52" i="15"/>
  <c r="H51" i="15"/>
  <c r="H50" i="15"/>
  <c r="G49" i="15"/>
  <c r="G47" i="15" s="1"/>
  <c r="F49" i="15"/>
  <c r="E49" i="15"/>
  <c r="D49" i="15"/>
  <c r="F45" i="15"/>
  <c r="E45" i="15"/>
  <c r="D45" i="15"/>
  <c r="H44" i="15"/>
  <c r="H43" i="15"/>
  <c r="G43" i="15"/>
  <c r="G45" i="15" s="1"/>
  <c r="G42" i="15"/>
  <c r="F42" i="15"/>
  <c r="E42" i="15"/>
  <c r="D42" i="15"/>
  <c r="H41" i="15"/>
  <c r="H40" i="15"/>
  <c r="G39" i="15"/>
  <c r="F39" i="15"/>
  <c r="E39" i="15"/>
  <c r="D39" i="15"/>
  <c r="H38" i="15"/>
  <c r="G36" i="15"/>
  <c r="F36" i="15"/>
  <c r="E36" i="15"/>
  <c r="D36" i="15"/>
  <c r="H35" i="15"/>
  <c r="H34" i="15"/>
  <c r="G29" i="15"/>
  <c r="F29" i="15"/>
  <c r="E29" i="15"/>
  <c r="D29" i="15"/>
  <c r="G28" i="15"/>
  <c r="F28" i="15"/>
  <c r="E28" i="15"/>
  <c r="D28" i="15"/>
  <c r="D30" i="15" s="1"/>
  <c r="G27" i="15"/>
  <c r="F27" i="15"/>
  <c r="H27" i="15" s="1"/>
  <c r="E27" i="15"/>
  <c r="D27" i="15"/>
  <c r="H26" i="15"/>
  <c r="H25" i="15"/>
  <c r="G24" i="15"/>
  <c r="F24" i="15"/>
  <c r="E24" i="15"/>
  <c r="D24" i="15"/>
  <c r="H23" i="15"/>
  <c r="H22" i="15"/>
  <c r="G20" i="15"/>
  <c r="G14" i="15" s="1"/>
  <c r="F20" i="15"/>
  <c r="E20" i="15"/>
  <c r="E14" i="15" s="1"/>
  <c r="D20" i="15"/>
  <c r="D14" i="15" s="1"/>
  <c r="G19" i="15"/>
  <c r="F19" i="15"/>
  <c r="F13" i="15" s="1"/>
  <c r="E19" i="15"/>
  <c r="D19" i="15"/>
  <c r="D21" i="15" s="1"/>
  <c r="G18" i="15"/>
  <c r="F18" i="15"/>
  <c r="E18" i="15"/>
  <c r="H17" i="15"/>
  <c r="H16" i="15"/>
  <c r="G96" i="14"/>
  <c r="F96" i="14"/>
  <c r="E96" i="14"/>
  <c r="D96" i="14"/>
  <c r="H95" i="14"/>
  <c r="G94" i="14"/>
  <c r="F94" i="14"/>
  <c r="E94" i="14"/>
  <c r="D94" i="14"/>
  <c r="G93" i="14"/>
  <c r="E93" i="14"/>
  <c r="H93" i="14" s="1"/>
  <c r="G92" i="14"/>
  <c r="E92" i="14"/>
  <c r="H92" i="14" s="1"/>
  <c r="G91" i="14"/>
  <c r="E91" i="14"/>
  <c r="H91" i="14" s="1"/>
  <c r="G90" i="14"/>
  <c r="E90" i="14"/>
  <c r="H90" i="14" s="1"/>
  <c r="G89" i="14"/>
  <c r="E89" i="14"/>
  <c r="H89" i="14" s="1"/>
  <c r="F88" i="14"/>
  <c r="D88" i="14"/>
  <c r="H87" i="14"/>
  <c r="G83" i="14"/>
  <c r="G81" i="14" s="1"/>
  <c r="F83" i="14"/>
  <c r="E83" i="14"/>
  <c r="D83" i="14"/>
  <c r="H82" i="14"/>
  <c r="D81" i="14"/>
  <c r="G76" i="14"/>
  <c r="F76" i="14"/>
  <c r="E76" i="14"/>
  <c r="D76" i="14"/>
  <c r="D75" i="14"/>
  <c r="G74" i="14"/>
  <c r="F74" i="14"/>
  <c r="D74" i="14"/>
  <c r="G72" i="14"/>
  <c r="F72" i="14"/>
  <c r="D72" i="14"/>
  <c r="G68" i="14"/>
  <c r="F68" i="14"/>
  <c r="E68" i="14"/>
  <c r="D68" i="14"/>
  <c r="H65" i="14"/>
  <c r="G64" i="14"/>
  <c r="F64" i="14"/>
  <c r="H64" i="14" s="1"/>
  <c r="E64" i="14"/>
  <c r="D64" i="14"/>
  <c r="H63" i="14"/>
  <c r="H62" i="14"/>
  <c r="G61" i="14"/>
  <c r="F61" i="14"/>
  <c r="H61" i="14" s="1"/>
  <c r="E61" i="14"/>
  <c r="D61" i="14"/>
  <c r="H60" i="14"/>
  <c r="H59" i="14"/>
  <c r="G58" i="14"/>
  <c r="F58" i="14"/>
  <c r="E58" i="14"/>
  <c r="D58" i="14"/>
  <c r="E57" i="14"/>
  <c r="D57" i="14"/>
  <c r="D55" i="14" s="1"/>
  <c r="E56" i="14"/>
  <c r="H56" i="14" s="1"/>
  <c r="E53" i="14"/>
  <c r="D53" i="14"/>
  <c r="G52" i="14"/>
  <c r="F52" i="14"/>
  <c r="D52" i="14"/>
  <c r="H51" i="14"/>
  <c r="H50" i="14"/>
  <c r="G49" i="14"/>
  <c r="G47" i="14" s="1"/>
  <c r="F49" i="14"/>
  <c r="E49" i="14"/>
  <c r="D49" i="14"/>
  <c r="F45" i="14"/>
  <c r="H45" i="14" s="1"/>
  <c r="E45" i="14"/>
  <c r="D45" i="14"/>
  <c r="H44" i="14"/>
  <c r="H43" i="14"/>
  <c r="G43" i="14"/>
  <c r="G45" i="14" s="1"/>
  <c r="G42" i="14"/>
  <c r="F42" i="14"/>
  <c r="H42" i="14" s="1"/>
  <c r="E42" i="14"/>
  <c r="D42" i="14"/>
  <c r="H41" i="14"/>
  <c r="H40" i="14"/>
  <c r="G39" i="14"/>
  <c r="F39" i="14"/>
  <c r="E39" i="14"/>
  <c r="D39" i="14"/>
  <c r="H38" i="14"/>
  <c r="H37" i="14"/>
  <c r="G36" i="14"/>
  <c r="F36" i="14"/>
  <c r="E36" i="14"/>
  <c r="D36" i="14"/>
  <c r="H35" i="14"/>
  <c r="H34" i="14"/>
  <c r="G29" i="14"/>
  <c r="F29" i="14"/>
  <c r="E29" i="14"/>
  <c r="D29" i="14"/>
  <c r="G28" i="14"/>
  <c r="G30" i="14" s="1"/>
  <c r="F28" i="14"/>
  <c r="E28" i="14"/>
  <c r="D28" i="14"/>
  <c r="D30" i="14" s="1"/>
  <c r="G27" i="14"/>
  <c r="F27" i="14"/>
  <c r="E27" i="14"/>
  <c r="D27" i="14"/>
  <c r="G24" i="14"/>
  <c r="F24" i="14"/>
  <c r="E24" i="14"/>
  <c r="D24" i="14"/>
  <c r="H23" i="14"/>
  <c r="H22" i="14"/>
  <c r="G20" i="14"/>
  <c r="F20" i="14"/>
  <c r="E20" i="14"/>
  <c r="D20" i="14"/>
  <c r="D14" i="14" s="1"/>
  <c r="G19" i="14"/>
  <c r="G13" i="14" s="1"/>
  <c r="F19" i="14"/>
  <c r="E19" i="14"/>
  <c r="E21" i="14" s="1"/>
  <c r="D19" i="14"/>
  <c r="G18" i="14"/>
  <c r="F18" i="14"/>
  <c r="E18" i="14"/>
  <c r="D18" i="14"/>
  <c r="H17" i="14"/>
  <c r="H16" i="14"/>
  <c r="E14" i="14"/>
  <c r="F13" i="14"/>
  <c r="H98" i="13"/>
  <c r="H97" i="13"/>
  <c r="G96" i="13"/>
  <c r="F96" i="13"/>
  <c r="H96" i="13" s="1"/>
  <c r="E96" i="13"/>
  <c r="D96" i="13"/>
  <c r="H95" i="13"/>
  <c r="G94" i="13"/>
  <c r="F94" i="13"/>
  <c r="H94" i="13" s="1"/>
  <c r="E94" i="13"/>
  <c r="D94" i="13"/>
  <c r="G93" i="13"/>
  <c r="E93" i="13"/>
  <c r="H93" i="13" s="1"/>
  <c r="G92" i="13"/>
  <c r="E92" i="13"/>
  <c r="H92" i="13" s="1"/>
  <c r="G91" i="13"/>
  <c r="E91" i="13"/>
  <c r="H91" i="13" s="1"/>
  <c r="G90" i="13"/>
  <c r="E90" i="13"/>
  <c r="G89" i="13"/>
  <c r="E89" i="13"/>
  <c r="H89" i="13" s="1"/>
  <c r="F88" i="13"/>
  <c r="D88" i="13"/>
  <c r="H87" i="13"/>
  <c r="G83" i="13"/>
  <c r="G81" i="13" s="1"/>
  <c r="F83" i="13"/>
  <c r="E83" i="13"/>
  <c r="E81" i="13" s="1"/>
  <c r="D83" i="13"/>
  <c r="H82" i="13"/>
  <c r="D81" i="13"/>
  <c r="H77" i="13"/>
  <c r="G76" i="13"/>
  <c r="F76" i="13"/>
  <c r="E76" i="13"/>
  <c r="E73" i="13" s="1"/>
  <c r="D76" i="13"/>
  <c r="D75" i="13"/>
  <c r="D75" i="1" s="1"/>
  <c r="D72" i="1" s="1"/>
  <c r="F74" i="13"/>
  <c r="G72" i="13"/>
  <c r="F72" i="13"/>
  <c r="D72" i="13"/>
  <c r="H70" i="13"/>
  <c r="G68" i="13"/>
  <c r="F68" i="13"/>
  <c r="H68" i="13" s="1"/>
  <c r="E68" i="13"/>
  <c r="D68" i="13"/>
  <c r="G64" i="13"/>
  <c r="F64" i="13"/>
  <c r="E64" i="13"/>
  <c r="D64" i="13"/>
  <c r="H63" i="13"/>
  <c r="H62" i="13"/>
  <c r="H61" i="13"/>
  <c r="G61" i="13"/>
  <c r="F61" i="13"/>
  <c r="E61" i="13"/>
  <c r="D61" i="13"/>
  <c r="H60" i="13"/>
  <c r="H59" i="13"/>
  <c r="G58" i="13"/>
  <c r="F58" i="13"/>
  <c r="E58" i="13"/>
  <c r="E56" i="13" s="1"/>
  <c r="D58" i="13"/>
  <c r="E57" i="13"/>
  <c r="D57" i="13"/>
  <c r="D55" i="13" s="1"/>
  <c r="E53" i="13"/>
  <c r="F53" i="1" s="1"/>
  <c r="D53" i="13"/>
  <c r="G52" i="13"/>
  <c r="F52" i="13"/>
  <c r="D52" i="13"/>
  <c r="H51" i="13"/>
  <c r="H50" i="13"/>
  <c r="G49" i="13"/>
  <c r="F49" i="13"/>
  <c r="H49" i="13" s="1"/>
  <c r="E49" i="13"/>
  <c r="D49" i="13"/>
  <c r="D47" i="13" s="1"/>
  <c r="E48" i="13"/>
  <c r="H48" i="13" s="1"/>
  <c r="G47" i="13"/>
  <c r="F45" i="13"/>
  <c r="E45" i="13"/>
  <c r="D45" i="13"/>
  <c r="H44" i="13"/>
  <c r="H43" i="13"/>
  <c r="G43" i="13"/>
  <c r="G45" i="13" s="1"/>
  <c r="G42" i="13"/>
  <c r="F42" i="13"/>
  <c r="E42" i="13"/>
  <c r="D42" i="13"/>
  <c r="H41" i="13"/>
  <c r="H40" i="13"/>
  <c r="G39" i="13"/>
  <c r="F39" i="13"/>
  <c r="E39" i="13"/>
  <c r="D39" i="13"/>
  <c r="H38" i="13"/>
  <c r="H37" i="13"/>
  <c r="G36" i="13"/>
  <c r="F36" i="13"/>
  <c r="E36" i="13"/>
  <c r="D36" i="13"/>
  <c r="H35" i="13"/>
  <c r="H34" i="13"/>
  <c r="G29" i="13"/>
  <c r="F29" i="13"/>
  <c r="E29" i="13"/>
  <c r="D29" i="13"/>
  <c r="G28" i="13"/>
  <c r="F28" i="13"/>
  <c r="E28" i="13"/>
  <c r="D28" i="13"/>
  <c r="G27" i="13"/>
  <c r="F27" i="13"/>
  <c r="E27" i="13"/>
  <c r="D27" i="13"/>
  <c r="G24" i="13"/>
  <c r="F24" i="13"/>
  <c r="E24" i="13"/>
  <c r="D24" i="13"/>
  <c r="H23" i="13"/>
  <c r="G20" i="13"/>
  <c r="G14" i="13" s="1"/>
  <c r="F20" i="13"/>
  <c r="E20" i="13"/>
  <c r="E14" i="13" s="1"/>
  <c r="D20" i="13"/>
  <c r="D14" i="13" s="1"/>
  <c r="G19" i="13"/>
  <c r="G13" i="13" s="1"/>
  <c r="F19" i="13"/>
  <c r="F13" i="13" s="1"/>
  <c r="E19" i="13"/>
  <c r="D19" i="13"/>
  <c r="H17" i="13"/>
  <c r="G10" i="13"/>
  <c r="G96" i="12"/>
  <c r="F96" i="12"/>
  <c r="E96" i="12"/>
  <c r="D96" i="12"/>
  <c r="G94" i="12"/>
  <c r="F94" i="12"/>
  <c r="E94" i="12"/>
  <c r="D94" i="12"/>
  <c r="G93" i="12"/>
  <c r="E93" i="12"/>
  <c r="H93" i="12" s="1"/>
  <c r="D93" i="12"/>
  <c r="G91" i="12"/>
  <c r="E91" i="12"/>
  <c r="H91" i="12" s="1"/>
  <c r="D91" i="12"/>
  <c r="G90" i="12"/>
  <c r="E90" i="12"/>
  <c r="H90" i="12" s="1"/>
  <c r="D90" i="12"/>
  <c r="G89" i="12"/>
  <c r="E89" i="12"/>
  <c r="F88" i="12"/>
  <c r="H87" i="12"/>
  <c r="G83" i="12"/>
  <c r="G81" i="12" s="1"/>
  <c r="F83" i="12"/>
  <c r="E83" i="12"/>
  <c r="E81" i="12" s="1"/>
  <c r="D83" i="12"/>
  <c r="D81" i="12" s="1"/>
  <c r="H82" i="12"/>
  <c r="G76" i="12"/>
  <c r="F76" i="12"/>
  <c r="E76" i="12"/>
  <c r="D76" i="12"/>
  <c r="D75" i="12"/>
  <c r="D72" i="12" s="1"/>
  <c r="F74" i="12"/>
  <c r="D74" i="12"/>
  <c r="G72" i="12"/>
  <c r="F72" i="12"/>
  <c r="H70" i="12"/>
  <c r="E69" i="12"/>
  <c r="H69" i="12" s="1"/>
  <c r="G68" i="12"/>
  <c r="F68" i="12"/>
  <c r="E68" i="12"/>
  <c r="D68" i="12"/>
  <c r="G64" i="12"/>
  <c r="F64" i="12"/>
  <c r="E64" i="12"/>
  <c r="D64" i="12"/>
  <c r="H63" i="12"/>
  <c r="H62" i="12"/>
  <c r="G61" i="12"/>
  <c r="F61" i="12"/>
  <c r="E61" i="12"/>
  <c r="D61" i="12"/>
  <c r="H60" i="12"/>
  <c r="H59" i="12"/>
  <c r="G58" i="12"/>
  <c r="F58" i="12"/>
  <c r="E58" i="12"/>
  <c r="D58" i="12"/>
  <c r="G57" i="12"/>
  <c r="G55" i="12" s="1"/>
  <c r="D57" i="12"/>
  <c r="D55" i="12" s="1"/>
  <c r="E53" i="12"/>
  <c r="D53" i="12"/>
  <c r="D52" i="12" s="1"/>
  <c r="G52" i="12"/>
  <c r="F52" i="12"/>
  <c r="H50" i="12"/>
  <c r="G49" i="12"/>
  <c r="G47" i="12" s="1"/>
  <c r="F49" i="12"/>
  <c r="E49" i="12"/>
  <c r="H49" i="12" s="1"/>
  <c r="D49" i="12"/>
  <c r="E48" i="12" s="1"/>
  <c r="E47" i="12" s="1"/>
  <c r="F47" i="12"/>
  <c r="F45" i="12"/>
  <c r="E45" i="12"/>
  <c r="D45" i="12"/>
  <c r="H44" i="12"/>
  <c r="H43" i="12"/>
  <c r="G43" i="12"/>
  <c r="G45" i="12" s="1"/>
  <c r="G42" i="12"/>
  <c r="F42" i="12"/>
  <c r="E42" i="12"/>
  <c r="D42" i="12"/>
  <c r="H41" i="12"/>
  <c r="H40" i="12"/>
  <c r="G39" i="12"/>
  <c r="F39" i="12"/>
  <c r="E39" i="12"/>
  <c r="D39" i="12"/>
  <c r="H38" i="12"/>
  <c r="H37" i="12"/>
  <c r="G36" i="12"/>
  <c r="F36" i="12"/>
  <c r="E36" i="12"/>
  <c r="D36" i="12"/>
  <c r="H35" i="12"/>
  <c r="H34" i="12"/>
  <c r="G29" i="12"/>
  <c r="F29" i="12"/>
  <c r="E29" i="12"/>
  <c r="D29" i="12"/>
  <c r="G28" i="12"/>
  <c r="G30" i="12" s="1"/>
  <c r="F28" i="12"/>
  <c r="E28" i="12"/>
  <c r="E30" i="12" s="1"/>
  <c r="D28" i="12"/>
  <c r="D30" i="12" s="1"/>
  <c r="H26" i="12"/>
  <c r="H23" i="12"/>
  <c r="G20" i="12"/>
  <c r="G14" i="12" s="1"/>
  <c r="F20" i="12"/>
  <c r="E20" i="12"/>
  <c r="D20" i="12"/>
  <c r="G19" i="12"/>
  <c r="G13" i="12" s="1"/>
  <c r="F19" i="12"/>
  <c r="E19" i="12"/>
  <c r="D19" i="12"/>
  <c r="D21" i="12" s="1"/>
  <c r="G18" i="12"/>
  <c r="F18" i="12"/>
  <c r="E18" i="12"/>
  <c r="D18" i="12"/>
  <c r="H17" i="12"/>
  <c r="E14" i="12"/>
  <c r="D14" i="12"/>
  <c r="G96" i="11"/>
  <c r="F96" i="11"/>
  <c r="E96" i="11"/>
  <c r="D96" i="11"/>
  <c r="H95" i="11"/>
  <c r="G94" i="11"/>
  <c r="F94" i="11"/>
  <c r="E94" i="11"/>
  <c r="D94" i="11"/>
  <c r="G93" i="11"/>
  <c r="E93" i="11"/>
  <c r="H93" i="11" s="1"/>
  <c r="E92" i="11"/>
  <c r="G91" i="11"/>
  <c r="E91" i="11"/>
  <c r="H91" i="11" s="1"/>
  <c r="G90" i="11"/>
  <c r="E90" i="11"/>
  <c r="G89" i="11"/>
  <c r="E89" i="11"/>
  <c r="H89" i="11" s="1"/>
  <c r="F88" i="11"/>
  <c r="D88" i="11"/>
  <c r="H87" i="11"/>
  <c r="G83" i="11"/>
  <c r="G81" i="11" s="1"/>
  <c r="F83" i="11"/>
  <c r="E83" i="11"/>
  <c r="D83" i="11"/>
  <c r="D81" i="11" s="1"/>
  <c r="H82" i="11"/>
  <c r="H77" i="11"/>
  <c r="G76" i="11"/>
  <c r="F76" i="11"/>
  <c r="E76" i="11"/>
  <c r="D76" i="11"/>
  <c r="D75" i="11"/>
  <c r="D74" i="11"/>
  <c r="G72" i="11"/>
  <c r="F72" i="11"/>
  <c r="H70" i="11"/>
  <c r="G68" i="11"/>
  <c r="F68" i="11"/>
  <c r="H68" i="11" s="1"/>
  <c r="E68" i="11"/>
  <c r="D68" i="11"/>
  <c r="G64" i="11"/>
  <c r="F64" i="11"/>
  <c r="E64" i="11"/>
  <c r="D64" i="11"/>
  <c r="H63" i="11"/>
  <c r="H62" i="11"/>
  <c r="G61" i="11"/>
  <c r="F61" i="11"/>
  <c r="H61" i="11" s="1"/>
  <c r="E61" i="11"/>
  <c r="D61" i="11"/>
  <c r="D57" i="11" s="1"/>
  <c r="D55" i="11" s="1"/>
  <c r="H60" i="11"/>
  <c r="H59" i="11"/>
  <c r="G58" i="11"/>
  <c r="F58" i="11"/>
  <c r="E58" i="11"/>
  <c r="D58" i="11"/>
  <c r="E53" i="11"/>
  <c r="D53" i="11"/>
  <c r="G52" i="11"/>
  <c r="F52" i="11"/>
  <c r="D52" i="11"/>
  <c r="H50" i="11"/>
  <c r="G49" i="11"/>
  <c r="G47" i="11" s="1"/>
  <c r="F49" i="11"/>
  <c r="E49" i="11"/>
  <c r="D49" i="11"/>
  <c r="F45" i="11"/>
  <c r="E45" i="11"/>
  <c r="D45" i="11"/>
  <c r="H44" i="11"/>
  <c r="H43" i="11"/>
  <c r="G43" i="11"/>
  <c r="G45" i="11" s="1"/>
  <c r="G42" i="11"/>
  <c r="F42" i="11"/>
  <c r="E42" i="11"/>
  <c r="H41" i="11"/>
  <c r="H40" i="11"/>
  <c r="G39" i="11"/>
  <c r="F39" i="11"/>
  <c r="E39" i="11"/>
  <c r="D39" i="11"/>
  <c r="H38" i="11"/>
  <c r="H37" i="11"/>
  <c r="G36" i="11"/>
  <c r="F36" i="11"/>
  <c r="E36" i="11"/>
  <c r="D36" i="11"/>
  <c r="H35" i="11"/>
  <c r="H34" i="11"/>
  <c r="G29" i="11"/>
  <c r="F29" i="11"/>
  <c r="E29" i="11"/>
  <c r="D29" i="11"/>
  <c r="G28" i="11"/>
  <c r="F28" i="11"/>
  <c r="E28" i="11"/>
  <c r="E30" i="11" s="1"/>
  <c r="D28" i="11"/>
  <c r="D30" i="11" s="1"/>
  <c r="G24" i="11"/>
  <c r="F24" i="11"/>
  <c r="H24" i="11" s="1"/>
  <c r="E24" i="11"/>
  <c r="H23" i="11"/>
  <c r="H22" i="11"/>
  <c r="G20" i="11"/>
  <c r="G14" i="11" s="1"/>
  <c r="F20" i="11"/>
  <c r="E20" i="11"/>
  <c r="D20" i="11"/>
  <c r="G19" i="11"/>
  <c r="G21" i="11" s="1"/>
  <c r="F19" i="11"/>
  <c r="E19" i="11"/>
  <c r="D19" i="11"/>
  <c r="G18" i="11"/>
  <c r="F18" i="11"/>
  <c r="E18" i="11"/>
  <c r="D18" i="11"/>
  <c r="H17" i="11"/>
  <c r="H16" i="11"/>
  <c r="F14" i="11"/>
  <c r="E14" i="11"/>
  <c r="D14" i="11"/>
  <c r="G13" i="11"/>
  <c r="G15" i="11" s="1"/>
  <c r="G12" i="11" s="1"/>
  <c r="F13" i="11"/>
  <c r="E98" i="10"/>
  <c r="H98" i="10" s="1"/>
  <c r="H97" i="10"/>
  <c r="G96" i="10"/>
  <c r="F96" i="10"/>
  <c r="E96" i="10"/>
  <c r="D96" i="10"/>
  <c r="G94" i="10"/>
  <c r="F94" i="10"/>
  <c r="E94" i="10"/>
  <c r="D94" i="10"/>
  <c r="G93" i="10"/>
  <c r="E93" i="10"/>
  <c r="H93" i="10" s="1"/>
  <c r="D93" i="10"/>
  <c r="G91" i="10"/>
  <c r="E91" i="10"/>
  <c r="H91" i="10" s="1"/>
  <c r="D91" i="10"/>
  <c r="G90" i="10"/>
  <c r="E90" i="10"/>
  <c r="H90" i="10" s="1"/>
  <c r="D90" i="10"/>
  <c r="G89" i="10"/>
  <c r="E89" i="10"/>
  <c r="H89" i="10" s="1"/>
  <c r="D89" i="10"/>
  <c r="F88" i="10"/>
  <c r="E88" i="10"/>
  <c r="D88" i="10"/>
  <c r="H87" i="10"/>
  <c r="G83" i="10"/>
  <c r="G81" i="10" s="1"/>
  <c r="F83" i="10"/>
  <c r="E83" i="10"/>
  <c r="D83" i="10"/>
  <c r="D81" i="10" s="1"/>
  <c r="H82" i="10"/>
  <c r="E81" i="10"/>
  <c r="G76" i="10"/>
  <c r="G74" i="10" s="1"/>
  <c r="F76" i="10"/>
  <c r="F74" i="10" s="1"/>
  <c r="E76" i="10"/>
  <c r="E73" i="10" s="1"/>
  <c r="D76" i="10"/>
  <c r="D75" i="10"/>
  <c r="G73" i="10"/>
  <c r="G72" i="10"/>
  <c r="F72" i="10"/>
  <c r="D72" i="10"/>
  <c r="F68" i="10"/>
  <c r="E68" i="10"/>
  <c r="D68" i="10"/>
  <c r="F64" i="10"/>
  <c r="E64" i="10"/>
  <c r="D64" i="10"/>
  <c r="H63" i="10"/>
  <c r="H62" i="10"/>
  <c r="G61" i="10"/>
  <c r="F61" i="10"/>
  <c r="E61" i="10"/>
  <c r="D61" i="10"/>
  <c r="H60" i="10"/>
  <c r="H59" i="10"/>
  <c r="G58" i="10"/>
  <c r="F58" i="10"/>
  <c r="E58" i="10"/>
  <c r="D58" i="10"/>
  <c r="E57" i="10"/>
  <c r="E56" i="10"/>
  <c r="H56" i="10" s="1"/>
  <c r="E53" i="10"/>
  <c r="H53" i="10" s="1"/>
  <c r="G52" i="10"/>
  <c r="F52" i="10"/>
  <c r="D52" i="10"/>
  <c r="H50" i="10"/>
  <c r="G49" i="10"/>
  <c r="G47" i="10" s="1"/>
  <c r="F49" i="10"/>
  <c r="F47" i="10" s="1"/>
  <c r="E49" i="10"/>
  <c r="D49" i="10"/>
  <c r="D47" i="10" s="1"/>
  <c r="E48" i="10"/>
  <c r="H48" i="10" s="1"/>
  <c r="F45" i="10"/>
  <c r="E45" i="10"/>
  <c r="D45" i="10"/>
  <c r="H44" i="10"/>
  <c r="H43" i="10"/>
  <c r="G43" i="10"/>
  <c r="G45" i="10" s="1"/>
  <c r="G42" i="10"/>
  <c r="F42" i="10"/>
  <c r="E42" i="10"/>
  <c r="H41" i="10"/>
  <c r="H40" i="10"/>
  <c r="G39" i="10"/>
  <c r="F39" i="10"/>
  <c r="H39" i="10" s="1"/>
  <c r="E39" i="10"/>
  <c r="D39" i="10"/>
  <c r="H38" i="10"/>
  <c r="H37" i="10"/>
  <c r="G36" i="10"/>
  <c r="F36" i="10"/>
  <c r="E36" i="10"/>
  <c r="D36" i="10"/>
  <c r="H35" i="10"/>
  <c r="H34" i="10"/>
  <c r="G29" i="10"/>
  <c r="F29" i="10"/>
  <c r="E29" i="10"/>
  <c r="D29" i="10"/>
  <c r="G28" i="10"/>
  <c r="F28" i="10"/>
  <c r="F30" i="10" s="1"/>
  <c r="E28" i="10"/>
  <c r="D28" i="10"/>
  <c r="H23" i="10"/>
  <c r="H22" i="10"/>
  <c r="G20" i="10"/>
  <c r="F20" i="10"/>
  <c r="E20" i="10"/>
  <c r="D20" i="10"/>
  <c r="D14" i="10" s="1"/>
  <c r="G19" i="10"/>
  <c r="G21" i="10" s="1"/>
  <c r="F19" i="10"/>
  <c r="E19" i="10"/>
  <c r="D19" i="10"/>
  <c r="G18" i="10"/>
  <c r="F18" i="10"/>
  <c r="E18" i="10"/>
  <c r="D18" i="10"/>
  <c r="H17" i="10"/>
  <c r="H16" i="10"/>
  <c r="G14" i="10"/>
  <c r="F14" i="10"/>
  <c r="E14" i="10"/>
  <c r="G13" i="10"/>
  <c r="D13" i="10"/>
  <c r="E98" i="9"/>
  <c r="H98" i="9" s="1"/>
  <c r="G96" i="9"/>
  <c r="F96" i="9"/>
  <c r="E96" i="9"/>
  <c r="D96" i="9"/>
  <c r="G94" i="9"/>
  <c r="F94" i="9"/>
  <c r="E94" i="9"/>
  <c r="D94" i="9"/>
  <c r="G93" i="9"/>
  <c r="E93" i="9"/>
  <c r="H93" i="9" s="1"/>
  <c r="G91" i="9"/>
  <c r="E91" i="9"/>
  <c r="H91" i="9" s="1"/>
  <c r="G90" i="9"/>
  <c r="E90" i="9"/>
  <c r="G89" i="9"/>
  <c r="E89" i="9"/>
  <c r="H89" i="9" s="1"/>
  <c r="F88" i="9"/>
  <c r="D88" i="9"/>
  <c r="H87" i="9"/>
  <c r="G83" i="9"/>
  <c r="F83" i="9"/>
  <c r="E83" i="9"/>
  <c r="D83" i="9"/>
  <c r="D81" i="9" s="1"/>
  <c r="H82" i="9"/>
  <c r="G76" i="9"/>
  <c r="G74" i="9" s="1"/>
  <c r="F76" i="9"/>
  <c r="F74" i="9" s="1"/>
  <c r="E76" i="9"/>
  <c r="D76" i="9"/>
  <c r="D75" i="9"/>
  <c r="G72" i="9"/>
  <c r="F72" i="9"/>
  <c r="D72" i="9"/>
  <c r="G68" i="9"/>
  <c r="F68" i="9"/>
  <c r="E68" i="9"/>
  <c r="D68" i="9"/>
  <c r="G64" i="9"/>
  <c r="F64" i="9"/>
  <c r="E64" i="9"/>
  <c r="D64" i="9"/>
  <c r="H63" i="9"/>
  <c r="H62" i="9"/>
  <c r="G61" i="9"/>
  <c r="F61" i="9"/>
  <c r="E61" i="9"/>
  <c r="D61" i="9"/>
  <c r="H60" i="9"/>
  <c r="H59" i="9"/>
  <c r="G58" i="9"/>
  <c r="F58" i="9"/>
  <c r="E58" i="9"/>
  <c r="E56" i="9" s="1"/>
  <c r="D58" i="9"/>
  <c r="E57" i="9"/>
  <c r="D57" i="9"/>
  <c r="D55" i="9" s="1"/>
  <c r="H56" i="9"/>
  <c r="E53" i="9"/>
  <c r="G52" i="9"/>
  <c r="F52" i="9"/>
  <c r="D52" i="9"/>
  <c r="H50" i="9"/>
  <c r="D50" i="9"/>
  <c r="G49" i="9"/>
  <c r="G47" i="9" s="1"/>
  <c r="F49" i="9"/>
  <c r="E49" i="9"/>
  <c r="F47" i="9"/>
  <c r="F45" i="9"/>
  <c r="E45" i="9"/>
  <c r="D45" i="9"/>
  <c r="H44" i="9"/>
  <c r="H43" i="9"/>
  <c r="G43" i="9"/>
  <c r="G45" i="9" s="1"/>
  <c r="G42" i="9"/>
  <c r="F42" i="9"/>
  <c r="E42" i="9"/>
  <c r="H41" i="9"/>
  <c r="G39" i="9"/>
  <c r="F39" i="9"/>
  <c r="E39" i="9"/>
  <c r="D39" i="9"/>
  <c r="H38" i="9"/>
  <c r="H37" i="9"/>
  <c r="G36" i="9"/>
  <c r="F36" i="9"/>
  <c r="E36" i="9"/>
  <c r="D36" i="9"/>
  <c r="H35" i="9"/>
  <c r="H34" i="9"/>
  <c r="G29" i="9"/>
  <c r="F29" i="9"/>
  <c r="E29" i="9"/>
  <c r="G28" i="9"/>
  <c r="G30" i="9" s="1"/>
  <c r="F28" i="9"/>
  <c r="F30" i="9" s="1"/>
  <c r="E28" i="9"/>
  <c r="E30" i="9" s="1"/>
  <c r="D28" i="9"/>
  <c r="H26" i="9"/>
  <c r="G24" i="9"/>
  <c r="F24" i="9"/>
  <c r="E24" i="9"/>
  <c r="D24" i="9"/>
  <c r="H23" i="9"/>
  <c r="H22" i="9"/>
  <c r="G20" i="9"/>
  <c r="G14" i="9" s="1"/>
  <c r="F20" i="9"/>
  <c r="E20" i="9"/>
  <c r="E14" i="9" s="1"/>
  <c r="D20" i="9"/>
  <c r="G19" i="9"/>
  <c r="F19" i="9"/>
  <c r="F21" i="9" s="1"/>
  <c r="E19" i="9"/>
  <c r="E13" i="9" s="1"/>
  <c r="D19" i="9"/>
  <c r="G18" i="9"/>
  <c r="F18" i="9"/>
  <c r="E18" i="9"/>
  <c r="D18" i="9"/>
  <c r="H17" i="9"/>
  <c r="H16" i="9"/>
  <c r="D14" i="9"/>
  <c r="D13" i="9"/>
  <c r="H98" i="8"/>
  <c r="G96" i="8"/>
  <c r="F96" i="8"/>
  <c r="H96" i="8" s="1"/>
  <c r="E96" i="8"/>
  <c r="D96" i="8"/>
  <c r="G94" i="8"/>
  <c r="F94" i="8"/>
  <c r="E94" i="8"/>
  <c r="D94" i="8"/>
  <c r="G93" i="8"/>
  <c r="E93" i="8"/>
  <c r="H93" i="8" s="1"/>
  <c r="D93" i="8"/>
  <c r="G91" i="8"/>
  <c r="E91" i="8"/>
  <c r="H91" i="8" s="1"/>
  <c r="D91" i="8"/>
  <c r="G90" i="8"/>
  <c r="E90" i="8"/>
  <c r="H90" i="8" s="1"/>
  <c r="D90" i="8"/>
  <c r="G89" i="8"/>
  <c r="E89" i="8"/>
  <c r="H89" i="8" s="1"/>
  <c r="D89" i="8"/>
  <c r="F88" i="8"/>
  <c r="E88" i="8"/>
  <c r="H88" i="8" s="1"/>
  <c r="H87" i="8"/>
  <c r="G83" i="8"/>
  <c r="F83" i="8"/>
  <c r="E83" i="8"/>
  <c r="D83" i="8"/>
  <c r="E82" i="8" s="1"/>
  <c r="H82" i="8" s="1"/>
  <c r="F81" i="8"/>
  <c r="E81" i="8"/>
  <c r="D81" i="8"/>
  <c r="F76" i="8"/>
  <c r="F74" i="8" s="1"/>
  <c r="E76" i="8"/>
  <c r="E73" i="8" s="1"/>
  <c r="D76" i="8"/>
  <c r="D73" i="8" s="1"/>
  <c r="D75" i="8"/>
  <c r="G74" i="8"/>
  <c r="G72" i="8"/>
  <c r="F72" i="8"/>
  <c r="E69" i="8"/>
  <c r="H69" i="8" s="1"/>
  <c r="G68" i="8"/>
  <c r="F68" i="8"/>
  <c r="E68" i="8"/>
  <c r="D68" i="8"/>
  <c r="G64" i="8"/>
  <c r="F64" i="8"/>
  <c r="E64" i="8"/>
  <c r="D64" i="8"/>
  <c r="H63" i="8"/>
  <c r="H62" i="8"/>
  <c r="G61" i="8"/>
  <c r="F61" i="8"/>
  <c r="E61" i="8"/>
  <c r="D61" i="8"/>
  <c r="H60" i="8"/>
  <c r="H59" i="8"/>
  <c r="G58" i="8"/>
  <c r="G57" i="8" s="1"/>
  <c r="G55" i="8" s="1"/>
  <c r="F58" i="8"/>
  <c r="E58" i="8"/>
  <c r="D58" i="8"/>
  <c r="D57" i="8" s="1"/>
  <c r="D55" i="8" s="1"/>
  <c r="E53" i="8"/>
  <c r="D53" i="8"/>
  <c r="G52" i="8"/>
  <c r="F52" i="8"/>
  <c r="D52" i="8"/>
  <c r="H50" i="8"/>
  <c r="G49" i="8"/>
  <c r="F49" i="8"/>
  <c r="E49" i="8"/>
  <c r="D49" i="8"/>
  <c r="G47" i="8"/>
  <c r="F47" i="8"/>
  <c r="F45" i="8"/>
  <c r="E45" i="8"/>
  <c r="D45" i="8"/>
  <c r="H44" i="8"/>
  <c r="H43" i="8"/>
  <c r="G43" i="8"/>
  <c r="G42" i="8"/>
  <c r="F42" i="8"/>
  <c r="E42" i="8"/>
  <c r="H41" i="8"/>
  <c r="G39" i="8"/>
  <c r="F39" i="8"/>
  <c r="E39" i="8"/>
  <c r="D39" i="8"/>
  <c r="H38" i="8"/>
  <c r="H37" i="8"/>
  <c r="G36" i="8"/>
  <c r="F36" i="8"/>
  <c r="E36" i="8"/>
  <c r="E30" i="8" s="1"/>
  <c r="D36" i="8"/>
  <c r="D30" i="8" s="1"/>
  <c r="H35" i="8"/>
  <c r="H34" i="8"/>
  <c r="G30" i="8"/>
  <c r="G28" i="8"/>
  <c r="F28" i="8"/>
  <c r="H28" i="8" s="1"/>
  <c r="E28" i="8"/>
  <c r="D28" i="8"/>
  <c r="E27" i="8"/>
  <c r="D27" i="8"/>
  <c r="G24" i="8"/>
  <c r="G21" i="8" s="1"/>
  <c r="F24" i="8"/>
  <c r="E24" i="8"/>
  <c r="D24" i="8"/>
  <c r="H23" i="8"/>
  <c r="H22" i="8"/>
  <c r="F21" i="8"/>
  <c r="G19" i="8"/>
  <c r="G13" i="8" s="1"/>
  <c r="G10" i="8" s="1"/>
  <c r="F19" i="8"/>
  <c r="F13" i="8" s="1"/>
  <c r="F10" i="8" s="1"/>
  <c r="E19" i="8"/>
  <c r="E13" i="8" s="1"/>
  <c r="D19" i="8"/>
  <c r="D13" i="8" s="1"/>
  <c r="D10" i="8" s="1"/>
  <c r="G18" i="8"/>
  <c r="F18" i="8"/>
  <c r="E18" i="8"/>
  <c r="D18" i="8"/>
  <c r="H17" i="8"/>
  <c r="H16" i="8"/>
  <c r="G96" i="7"/>
  <c r="F96" i="7"/>
  <c r="E96" i="7"/>
  <c r="D96" i="7"/>
  <c r="G94" i="7"/>
  <c r="F94" i="7"/>
  <c r="E94" i="7"/>
  <c r="D94" i="7"/>
  <c r="G93" i="7"/>
  <c r="E93" i="7"/>
  <c r="H93" i="7" s="1"/>
  <c r="G91" i="7"/>
  <c r="E91" i="7"/>
  <c r="D91" i="7"/>
  <c r="G90" i="7"/>
  <c r="E90" i="7"/>
  <c r="D90" i="7"/>
  <c r="G89" i="7"/>
  <c r="E89" i="7"/>
  <c r="H89" i="7" s="1"/>
  <c r="F88" i="7"/>
  <c r="D88" i="7"/>
  <c r="H87" i="7"/>
  <c r="G83" i="7"/>
  <c r="F83" i="7"/>
  <c r="E83" i="7"/>
  <c r="E81" i="7" s="1"/>
  <c r="D83" i="7"/>
  <c r="D81" i="7" s="1"/>
  <c r="H82" i="7"/>
  <c r="G76" i="7"/>
  <c r="F76" i="7"/>
  <c r="E76" i="7"/>
  <c r="D76" i="7"/>
  <c r="D73" i="7" s="1"/>
  <c r="D75" i="7"/>
  <c r="G74" i="7"/>
  <c r="F74" i="7"/>
  <c r="G72" i="7"/>
  <c r="F72" i="7"/>
  <c r="G68" i="7"/>
  <c r="F68" i="7"/>
  <c r="E68" i="7"/>
  <c r="D68" i="7"/>
  <c r="G64" i="7"/>
  <c r="F64" i="7"/>
  <c r="E64" i="7"/>
  <c r="D64" i="7"/>
  <c r="H63" i="7"/>
  <c r="H62" i="7"/>
  <c r="G61" i="7"/>
  <c r="F61" i="7"/>
  <c r="H61" i="7" s="1"/>
  <c r="E61" i="7"/>
  <c r="D61" i="7"/>
  <c r="H60" i="7"/>
  <c r="H59" i="7"/>
  <c r="G58" i="7"/>
  <c r="G57" i="7" s="1"/>
  <c r="G55" i="7" s="1"/>
  <c r="F58" i="7"/>
  <c r="E58" i="7"/>
  <c r="E56" i="7" s="1"/>
  <c r="H56" i="7" s="1"/>
  <c r="D58" i="7"/>
  <c r="F57" i="7"/>
  <c r="E57" i="7"/>
  <c r="E53" i="7"/>
  <c r="E52" i="7" s="1"/>
  <c r="D53" i="7"/>
  <c r="D52" i="7" s="1"/>
  <c r="G52" i="7"/>
  <c r="F52" i="7"/>
  <c r="H52" i="7" s="1"/>
  <c r="H50" i="7"/>
  <c r="G49" i="7"/>
  <c r="G47" i="7" s="1"/>
  <c r="G46" i="7" s="1"/>
  <c r="F49" i="7"/>
  <c r="H49" i="7" s="1"/>
  <c r="E49" i="7"/>
  <c r="D49" i="7"/>
  <c r="E48" i="7"/>
  <c r="H48" i="7" s="1"/>
  <c r="E47" i="7"/>
  <c r="D47" i="7"/>
  <c r="F45" i="7"/>
  <c r="E45" i="7"/>
  <c r="H45" i="7" s="1"/>
  <c r="D45" i="7"/>
  <c r="H44" i="7"/>
  <c r="H43" i="7"/>
  <c r="G43" i="7"/>
  <c r="G42" i="7"/>
  <c r="F42" i="7"/>
  <c r="E42" i="7"/>
  <c r="H41" i="7"/>
  <c r="G39" i="7"/>
  <c r="F39" i="7"/>
  <c r="E39" i="7"/>
  <c r="H39" i="7" s="1"/>
  <c r="H38" i="7"/>
  <c r="H37" i="7"/>
  <c r="G36" i="7"/>
  <c r="G30" i="7" s="1"/>
  <c r="F36" i="7"/>
  <c r="E36" i="7"/>
  <c r="E30" i="7" s="1"/>
  <c r="D36" i="7"/>
  <c r="D30" i="7" s="1"/>
  <c r="H35" i="7"/>
  <c r="H34" i="7"/>
  <c r="G28" i="7"/>
  <c r="F28" i="7"/>
  <c r="E28" i="7"/>
  <c r="D28" i="7"/>
  <c r="G27" i="7"/>
  <c r="F27" i="7"/>
  <c r="E27" i="7"/>
  <c r="D27" i="7"/>
  <c r="G24" i="7"/>
  <c r="F24" i="7"/>
  <c r="E24" i="7"/>
  <c r="D24" i="7"/>
  <c r="H23" i="7"/>
  <c r="H22" i="7"/>
  <c r="G19" i="7"/>
  <c r="G13" i="7" s="1"/>
  <c r="F19" i="7"/>
  <c r="F13" i="7" s="1"/>
  <c r="E19" i="7"/>
  <c r="E13" i="7" s="1"/>
  <c r="E10" i="7" s="1"/>
  <c r="D19" i="7"/>
  <c r="D13" i="7" s="1"/>
  <c r="G18" i="7"/>
  <c r="F18" i="7"/>
  <c r="H18" i="7" s="1"/>
  <c r="E18" i="7"/>
  <c r="D18" i="7"/>
  <c r="H17" i="7"/>
  <c r="H16" i="7"/>
  <c r="G10" i="7"/>
  <c r="E98" i="6"/>
  <c r="G96" i="6"/>
  <c r="F96" i="6"/>
  <c r="D96" i="6"/>
  <c r="G94" i="6"/>
  <c r="F94" i="6"/>
  <c r="E94" i="6"/>
  <c r="D94" i="6"/>
  <c r="G93" i="6"/>
  <c r="E93" i="6"/>
  <c r="H93" i="6" s="1"/>
  <c r="G91" i="6"/>
  <c r="E91" i="6"/>
  <c r="H91" i="6" s="1"/>
  <c r="G90" i="6"/>
  <c r="E90" i="6"/>
  <c r="H90" i="6" s="1"/>
  <c r="G89" i="6"/>
  <c r="E89" i="6"/>
  <c r="H89" i="6" s="1"/>
  <c r="F88" i="6"/>
  <c r="D88" i="6"/>
  <c r="H87" i="6"/>
  <c r="G83" i="6"/>
  <c r="F83" i="6"/>
  <c r="F81" i="6" s="1"/>
  <c r="E83" i="6"/>
  <c r="E81" i="6" s="1"/>
  <c r="D83" i="6"/>
  <c r="D81" i="6"/>
  <c r="D80" i="6"/>
  <c r="G76" i="6"/>
  <c r="F76" i="6"/>
  <c r="E76" i="6"/>
  <c r="D76" i="6"/>
  <c r="D73" i="6" s="1"/>
  <c r="D75" i="6"/>
  <c r="G74" i="6"/>
  <c r="F74" i="6"/>
  <c r="G72" i="6"/>
  <c r="F72" i="6"/>
  <c r="E70" i="6"/>
  <c r="G68" i="6"/>
  <c r="F68" i="6"/>
  <c r="D68" i="6"/>
  <c r="G64" i="6"/>
  <c r="F64" i="6"/>
  <c r="E64" i="6"/>
  <c r="D64" i="6"/>
  <c r="H63" i="6"/>
  <c r="H62" i="6"/>
  <c r="G61" i="6"/>
  <c r="F61" i="6"/>
  <c r="E61" i="6"/>
  <c r="D61" i="6"/>
  <c r="H60" i="6"/>
  <c r="H59" i="6"/>
  <c r="G58" i="6"/>
  <c r="F58" i="6"/>
  <c r="E58" i="6"/>
  <c r="E57" i="6" s="1"/>
  <c r="D58" i="6"/>
  <c r="D57" i="6" s="1"/>
  <c r="D55" i="6" s="1"/>
  <c r="E56" i="6"/>
  <c r="H56" i="6" s="1"/>
  <c r="E53" i="6"/>
  <c r="D53" i="6"/>
  <c r="D52" i="6" s="1"/>
  <c r="G52" i="6"/>
  <c r="F52" i="6"/>
  <c r="H50" i="6"/>
  <c r="G49" i="6"/>
  <c r="F49" i="6"/>
  <c r="E49" i="6"/>
  <c r="D49" i="6"/>
  <c r="G47" i="6"/>
  <c r="F47" i="6"/>
  <c r="F45" i="6"/>
  <c r="E45" i="6"/>
  <c r="H45" i="6" s="1"/>
  <c r="D45" i="6"/>
  <c r="H44" i="6"/>
  <c r="H43" i="6"/>
  <c r="G43" i="6"/>
  <c r="G45" i="6" s="1"/>
  <c r="G42" i="6"/>
  <c r="F42" i="6"/>
  <c r="E42" i="6"/>
  <c r="H41" i="6"/>
  <c r="G39" i="6"/>
  <c r="F39" i="6"/>
  <c r="E39" i="6"/>
  <c r="H38" i="6"/>
  <c r="H37" i="6"/>
  <c r="G36" i="6"/>
  <c r="G30" i="6" s="1"/>
  <c r="F36" i="6"/>
  <c r="E36" i="6"/>
  <c r="E30" i="6" s="1"/>
  <c r="E29" i="6" s="1"/>
  <c r="H29" i="6" s="1"/>
  <c r="D36" i="6"/>
  <c r="D30" i="6" s="1"/>
  <c r="D29" i="6" s="1"/>
  <c r="H35" i="6"/>
  <c r="H34" i="6"/>
  <c r="G28" i="6"/>
  <c r="F28" i="6"/>
  <c r="E28" i="6"/>
  <c r="D28" i="6"/>
  <c r="G27" i="6"/>
  <c r="F27" i="6"/>
  <c r="E27" i="6"/>
  <c r="D27" i="6"/>
  <c r="H26" i="6"/>
  <c r="H25" i="6"/>
  <c r="G24" i="6"/>
  <c r="G21" i="6" s="1"/>
  <c r="F24" i="6"/>
  <c r="E24" i="6"/>
  <c r="D24" i="6"/>
  <c r="H23" i="6"/>
  <c r="H22" i="6"/>
  <c r="G19" i="6"/>
  <c r="G13" i="6" s="1"/>
  <c r="F19" i="6"/>
  <c r="H19" i="6" s="1"/>
  <c r="E19" i="6"/>
  <c r="D19" i="6"/>
  <c r="D13" i="6" s="1"/>
  <c r="D10" i="6" s="1"/>
  <c r="G18" i="6"/>
  <c r="F18" i="6"/>
  <c r="E18" i="6"/>
  <c r="D18" i="6"/>
  <c r="H17" i="6"/>
  <c r="H16" i="6"/>
  <c r="F13" i="6"/>
  <c r="E13" i="6"/>
  <c r="H97" i="5"/>
  <c r="G96" i="5"/>
  <c r="F96" i="5"/>
  <c r="H96" i="5" s="1"/>
  <c r="E96" i="5"/>
  <c r="D96" i="5"/>
  <c r="G94" i="5"/>
  <c r="F94" i="5"/>
  <c r="E94" i="5"/>
  <c r="D94" i="5"/>
  <c r="G93" i="5"/>
  <c r="E93" i="5"/>
  <c r="H93" i="5" s="1"/>
  <c r="G91" i="5"/>
  <c r="E91" i="5"/>
  <c r="H91" i="5" s="1"/>
  <c r="D91" i="5"/>
  <c r="G90" i="5"/>
  <c r="E90" i="5"/>
  <c r="H90" i="5" s="1"/>
  <c r="D90" i="5"/>
  <c r="D88" i="5" s="1"/>
  <c r="G89" i="5"/>
  <c r="E89" i="5"/>
  <c r="H89" i="5" s="1"/>
  <c r="F88" i="5"/>
  <c r="E88" i="5"/>
  <c r="H87" i="5"/>
  <c r="G83" i="5"/>
  <c r="G81" i="5" s="1"/>
  <c r="F83" i="5"/>
  <c r="F81" i="5" s="1"/>
  <c r="E83" i="5"/>
  <c r="D83" i="5"/>
  <c r="D81" i="5" s="1"/>
  <c r="H82" i="5"/>
  <c r="H77" i="5"/>
  <c r="G76" i="5"/>
  <c r="F76" i="5"/>
  <c r="F73" i="5" s="1"/>
  <c r="E76" i="5"/>
  <c r="D76" i="5"/>
  <c r="D75" i="5"/>
  <c r="G74" i="5"/>
  <c r="F74" i="5"/>
  <c r="G73" i="5"/>
  <c r="G72" i="5"/>
  <c r="F72" i="5"/>
  <c r="H70" i="5"/>
  <c r="D69" i="5"/>
  <c r="G68" i="5"/>
  <c r="F68" i="5"/>
  <c r="H65" i="5"/>
  <c r="G64" i="5"/>
  <c r="F64" i="5"/>
  <c r="H64" i="5" s="1"/>
  <c r="E64" i="5"/>
  <c r="D64" i="5"/>
  <c r="H63" i="5"/>
  <c r="H62" i="5"/>
  <c r="G61" i="5"/>
  <c r="F61" i="5"/>
  <c r="E61" i="5"/>
  <c r="D61" i="5"/>
  <c r="H60" i="5"/>
  <c r="H59" i="5"/>
  <c r="G58" i="5"/>
  <c r="G57" i="5" s="1"/>
  <c r="F58" i="5"/>
  <c r="E58" i="5"/>
  <c r="E57" i="5" s="1"/>
  <c r="D58" i="5"/>
  <c r="D57" i="5" s="1"/>
  <c r="D55" i="5" s="1"/>
  <c r="H53" i="5"/>
  <c r="D53" i="5"/>
  <c r="G52" i="5"/>
  <c r="F52" i="5"/>
  <c r="E52" i="5"/>
  <c r="D52" i="5"/>
  <c r="H50" i="5"/>
  <c r="G49" i="5"/>
  <c r="G47" i="5" s="1"/>
  <c r="F49" i="5"/>
  <c r="F47" i="5" s="1"/>
  <c r="E49" i="5"/>
  <c r="H49" i="5" s="1"/>
  <c r="D49" i="5"/>
  <c r="E48" i="5" s="1"/>
  <c r="D47" i="5"/>
  <c r="F45" i="5"/>
  <c r="H45" i="5" s="1"/>
  <c r="E45" i="5"/>
  <c r="D45" i="5"/>
  <c r="H44" i="5"/>
  <c r="H43" i="5"/>
  <c r="G43" i="5"/>
  <c r="G45" i="5" s="1"/>
  <c r="G42" i="5"/>
  <c r="F42" i="5"/>
  <c r="E42" i="5"/>
  <c r="H41" i="5"/>
  <c r="G39" i="5"/>
  <c r="F39" i="5"/>
  <c r="H39" i="5" s="1"/>
  <c r="E39" i="5"/>
  <c r="H38" i="5"/>
  <c r="H37" i="5"/>
  <c r="G36" i="5"/>
  <c r="G30" i="5" s="1"/>
  <c r="F36" i="5"/>
  <c r="E36" i="5"/>
  <c r="E30" i="5" s="1"/>
  <c r="D36" i="5"/>
  <c r="D30" i="5" s="1"/>
  <c r="H35" i="5"/>
  <c r="H34" i="5"/>
  <c r="G28" i="5"/>
  <c r="F28" i="5"/>
  <c r="E28" i="5"/>
  <c r="D28" i="5"/>
  <c r="G27" i="5"/>
  <c r="F27" i="5"/>
  <c r="E27" i="5"/>
  <c r="D27" i="5"/>
  <c r="H26" i="5"/>
  <c r="H25" i="5"/>
  <c r="G24" i="5"/>
  <c r="F24" i="5"/>
  <c r="H24" i="5" s="1"/>
  <c r="E24" i="5"/>
  <c r="D24" i="5"/>
  <c r="D21" i="5" s="1"/>
  <c r="H23" i="5"/>
  <c r="H22" i="5"/>
  <c r="G19" i="5"/>
  <c r="G13" i="5" s="1"/>
  <c r="G10" i="5" s="1"/>
  <c r="F19" i="5"/>
  <c r="E19" i="5"/>
  <c r="D19" i="5"/>
  <c r="D13" i="5" s="1"/>
  <c r="G18" i="5"/>
  <c r="F18" i="5"/>
  <c r="E18" i="5"/>
  <c r="D18" i="5"/>
  <c r="H17" i="5"/>
  <c r="H16" i="5"/>
  <c r="F13" i="5"/>
  <c r="H97" i="4"/>
  <c r="G96" i="4"/>
  <c r="F96" i="4"/>
  <c r="E96" i="4"/>
  <c r="H96" i="4" s="1"/>
  <c r="D96" i="4"/>
  <c r="G94" i="4"/>
  <c r="F94" i="4"/>
  <c r="E94" i="4"/>
  <c r="D94" i="4"/>
  <c r="G93" i="4"/>
  <c r="E93" i="4"/>
  <c r="H93" i="4" s="1"/>
  <c r="D93" i="4"/>
  <c r="D94" i="1" s="1"/>
  <c r="G91" i="4"/>
  <c r="E91" i="4"/>
  <c r="H91" i="4" s="1"/>
  <c r="D91" i="4"/>
  <c r="G90" i="4"/>
  <c r="E90" i="4"/>
  <c r="H90" i="4" s="1"/>
  <c r="G89" i="4"/>
  <c r="E89" i="4"/>
  <c r="H89" i="4" s="1"/>
  <c r="D89" i="4"/>
  <c r="D89" i="1" s="1"/>
  <c r="F88" i="4"/>
  <c r="H87" i="4"/>
  <c r="G83" i="4"/>
  <c r="F83" i="4"/>
  <c r="E83" i="4"/>
  <c r="E81" i="4" s="1"/>
  <c r="D83" i="4"/>
  <c r="D81" i="4" s="1"/>
  <c r="H82" i="4"/>
  <c r="G76" i="4"/>
  <c r="G74" i="4" s="1"/>
  <c r="F76" i="4"/>
  <c r="F74" i="4" s="1"/>
  <c r="E76" i="4"/>
  <c r="D76" i="4"/>
  <c r="D74" i="4" s="1"/>
  <c r="E75" i="4"/>
  <c r="H75" i="4" s="1"/>
  <c r="E73" i="4"/>
  <c r="D73" i="4"/>
  <c r="G72" i="4"/>
  <c r="F72" i="4"/>
  <c r="D72" i="4"/>
  <c r="G68" i="4"/>
  <c r="F68" i="4"/>
  <c r="E68" i="4"/>
  <c r="D68" i="4"/>
  <c r="G64" i="4"/>
  <c r="F64" i="4"/>
  <c r="E64" i="4"/>
  <c r="D64" i="4"/>
  <c r="H63" i="4"/>
  <c r="H62" i="4"/>
  <c r="G61" i="4"/>
  <c r="F61" i="4"/>
  <c r="E61" i="4"/>
  <c r="D61" i="4"/>
  <c r="H60" i="4"/>
  <c r="H59" i="4"/>
  <c r="G58" i="4"/>
  <c r="G57" i="4" s="1"/>
  <c r="G55" i="4" s="1"/>
  <c r="F58" i="4"/>
  <c r="F57" i="4" s="1"/>
  <c r="E58" i="4"/>
  <c r="D58" i="4"/>
  <c r="D57" i="4"/>
  <c r="D55" i="4" s="1"/>
  <c r="F56" i="4"/>
  <c r="F55" i="4" s="1"/>
  <c r="E53" i="4"/>
  <c r="E52" i="4" s="1"/>
  <c r="G52" i="4"/>
  <c r="F52" i="4"/>
  <c r="D52" i="4"/>
  <c r="E50" i="4"/>
  <c r="H50" i="4" s="1"/>
  <c r="G49" i="4"/>
  <c r="F49" i="4"/>
  <c r="F47" i="4" s="1"/>
  <c r="E49" i="4"/>
  <c r="H49" i="4" s="1"/>
  <c r="D49" i="4"/>
  <c r="G47" i="4"/>
  <c r="F45" i="4"/>
  <c r="E45" i="4"/>
  <c r="D45" i="4"/>
  <c r="H44" i="4"/>
  <c r="H43" i="4"/>
  <c r="G43" i="4"/>
  <c r="G45" i="4" s="1"/>
  <c r="G42" i="4"/>
  <c r="F42" i="4"/>
  <c r="E42" i="4"/>
  <c r="H41" i="4"/>
  <c r="G39" i="4"/>
  <c r="F39" i="4"/>
  <c r="E39" i="4"/>
  <c r="H38" i="4"/>
  <c r="H37" i="4"/>
  <c r="G36" i="4"/>
  <c r="G30" i="4" s="1"/>
  <c r="F36" i="4"/>
  <c r="H36" i="4" s="1"/>
  <c r="E36" i="4"/>
  <c r="E30" i="4" s="1"/>
  <c r="D36" i="4"/>
  <c r="D30" i="4" s="1"/>
  <c r="H35" i="4"/>
  <c r="H34" i="4"/>
  <c r="F30" i="4"/>
  <c r="G28" i="4"/>
  <c r="F28" i="4"/>
  <c r="E28" i="4"/>
  <c r="H28" i="4" s="1"/>
  <c r="D28" i="4"/>
  <c r="E27" i="4"/>
  <c r="D27" i="4"/>
  <c r="G24" i="4"/>
  <c r="G21" i="4" s="1"/>
  <c r="F24" i="4"/>
  <c r="D24" i="4"/>
  <c r="D21" i="4" s="1"/>
  <c r="H23" i="4"/>
  <c r="E22" i="4"/>
  <c r="G19" i="4"/>
  <c r="G13" i="4" s="1"/>
  <c r="G10" i="4" s="1"/>
  <c r="F19" i="4"/>
  <c r="F13" i="4" s="1"/>
  <c r="F10" i="4" s="1"/>
  <c r="D19" i="4"/>
  <c r="G18" i="4"/>
  <c r="F18" i="4"/>
  <c r="E18" i="4"/>
  <c r="D18" i="4"/>
  <c r="H17" i="4"/>
  <c r="H16" i="4"/>
  <c r="D13" i="4"/>
  <c r="E98" i="3"/>
  <c r="H98" i="3" s="1"/>
  <c r="G96" i="3"/>
  <c r="F96" i="3"/>
  <c r="E96" i="3"/>
  <c r="D96" i="3"/>
  <c r="G94" i="3"/>
  <c r="F94" i="3"/>
  <c r="E94" i="3"/>
  <c r="D94" i="3"/>
  <c r="G93" i="3"/>
  <c r="E93" i="3"/>
  <c r="H93" i="3" s="1"/>
  <c r="D93" i="3"/>
  <c r="G92" i="3"/>
  <c r="E92" i="3"/>
  <c r="H92" i="3" s="1"/>
  <c r="D92" i="3"/>
  <c r="G91" i="3"/>
  <c r="E91" i="3"/>
  <c r="H91" i="3" s="1"/>
  <c r="D91" i="3"/>
  <c r="G90" i="3"/>
  <c r="E90" i="3"/>
  <c r="D90" i="3"/>
  <c r="G89" i="3"/>
  <c r="E89" i="3"/>
  <c r="H89" i="3" s="1"/>
  <c r="D89" i="3"/>
  <c r="F88" i="3"/>
  <c r="H87" i="3"/>
  <c r="G83" i="3"/>
  <c r="G81" i="3" s="1"/>
  <c r="F83" i="3"/>
  <c r="E83" i="3"/>
  <c r="E81" i="3" s="1"/>
  <c r="D83" i="3"/>
  <c r="D81" i="3" s="1"/>
  <c r="H82" i="3"/>
  <c r="H77" i="3"/>
  <c r="G76" i="3"/>
  <c r="F76" i="3"/>
  <c r="E76" i="3"/>
  <c r="E74" i="3" s="1"/>
  <c r="D76" i="3"/>
  <c r="H75" i="3"/>
  <c r="G74" i="3"/>
  <c r="D74" i="3"/>
  <c r="E73" i="3"/>
  <c r="D73" i="3"/>
  <c r="G72" i="3"/>
  <c r="F72" i="3"/>
  <c r="E72" i="3"/>
  <c r="D72" i="3"/>
  <c r="H70" i="3"/>
  <c r="D69" i="3"/>
  <c r="G68" i="3"/>
  <c r="F68" i="3"/>
  <c r="D68" i="3"/>
  <c r="G64" i="3"/>
  <c r="F64" i="3"/>
  <c r="E64" i="3"/>
  <c r="D64" i="3"/>
  <c r="H63" i="3"/>
  <c r="H62" i="3"/>
  <c r="G61" i="3"/>
  <c r="F61" i="3"/>
  <c r="E61" i="3"/>
  <c r="D61" i="3"/>
  <c r="H60" i="3"/>
  <c r="H59" i="3"/>
  <c r="G58" i="3"/>
  <c r="F58" i="3"/>
  <c r="E58" i="3"/>
  <c r="D58" i="3"/>
  <c r="H56" i="3"/>
  <c r="G55" i="3"/>
  <c r="H53" i="3"/>
  <c r="D53" i="3"/>
  <c r="D52" i="3" s="1"/>
  <c r="G52" i="3"/>
  <c r="F52" i="3"/>
  <c r="H52" i="3" s="1"/>
  <c r="E52" i="3"/>
  <c r="H50" i="3"/>
  <c r="G49" i="3"/>
  <c r="G47" i="3" s="1"/>
  <c r="F49" i="3"/>
  <c r="E49" i="3"/>
  <c r="D49" i="3"/>
  <c r="E48" i="3"/>
  <c r="H48" i="3" s="1"/>
  <c r="F47" i="3"/>
  <c r="D47" i="3"/>
  <c r="F45" i="3"/>
  <c r="E45" i="3"/>
  <c r="D45" i="3"/>
  <c r="H44" i="3"/>
  <c r="H43" i="3"/>
  <c r="G43" i="3"/>
  <c r="G45" i="3" s="1"/>
  <c r="G42" i="3"/>
  <c r="F42" i="3"/>
  <c r="E42" i="3"/>
  <c r="H41" i="3"/>
  <c r="H40" i="3"/>
  <c r="G39" i="3"/>
  <c r="F39" i="3"/>
  <c r="E39" i="3"/>
  <c r="D39" i="3"/>
  <c r="H38" i="3"/>
  <c r="H37" i="3"/>
  <c r="G36" i="3"/>
  <c r="G30" i="3" s="1"/>
  <c r="F36" i="3"/>
  <c r="E36" i="3"/>
  <c r="D36" i="3"/>
  <c r="H35" i="3"/>
  <c r="H34" i="3"/>
  <c r="E30" i="3"/>
  <c r="D30" i="3"/>
  <c r="G28" i="3"/>
  <c r="F28" i="3"/>
  <c r="E28" i="3"/>
  <c r="D28" i="3"/>
  <c r="G27" i="3"/>
  <c r="F27" i="3"/>
  <c r="E27" i="3"/>
  <c r="D27" i="3"/>
  <c r="H26" i="3"/>
  <c r="G24" i="3"/>
  <c r="F24" i="3"/>
  <c r="H24" i="3" s="1"/>
  <c r="E24" i="3"/>
  <c r="D24" i="3"/>
  <c r="D21" i="3" s="1"/>
  <c r="H23" i="3"/>
  <c r="H22" i="3"/>
  <c r="G19" i="3"/>
  <c r="G13" i="3" s="1"/>
  <c r="G10" i="3" s="1"/>
  <c r="F19" i="3"/>
  <c r="F13" i="3" s="1"/>
  <c r="E19" i="3"/>
  <c r="E13" i="3" s="1"/>
  <c r="D19" i="3"/>
  <c r="D13" i="3" s="1"/>
  <c r="G18" i="3"/>
  <c r="F18" i="3"/>
  <c r="E18" i="3"/>
  <c r="D18" i="3"/>
  <c r="D15" i="3" s="1"/>
  <c r="H16" i="3"/>
  <c r="A5" i="3"/>
  <c r="A5" i="4" s="1"/>
  <c r="A5" i="5" s="1"/>
  <c r="A5" i="6" s="1"/>
  <c r="A5" i="7" s="1"/>
  <c r="A5" i="8" s="1"/>
  <c r="A5" i="9" s="1"/>
  <c r="A5" i="10" s="1"/>
  <c r="A5" i="11" s="1"/>
  <c r="A5" i="12" s="1"/>
  <c r="A5" i="13" s="1"/>
  <c r="A5" i="14" s="1"/>
  <c r="A5" i="15" s="1"/>
  <c r="A5" i="16" s="1"/>
  <c r="A5" i="17" s="1"/>
  <c r="A5" i="18" s="1"/>
  <c r="A5" i="19" s="1"/>
  <c r="G75" i="2"/>
  <c r="I75" i="2" s="1"/>
  <c r="F73" i="2"/>
  <c r="I73" i="2" s="1"/>
  <c r="F50" i="2"/>
  <c r="I30" i="2"/>
  <c r="E29" i="2"/>
  <c r="D29" i="2"/>
  <c r="P30" i="2" s="1"/>
  <c r="F28" i="2"/>
  <c r="I28" i="2" s="1"/>
  <c r="E27" i="2"/>
  <c r="I26" i="2"/>
  <c r="I25" i="2"/>
  <c r="D25" i="2"/>
  <c r="D27" i="2" s="1"/>
  <c r="I17" i="2"/>
  <c r="I15" i="2"/>
  <c r="I14" i="2"/>
  <c r="H13" i="2"/>
  <c r="G13" i="2"/>
  <c r="I13" i="2" s="1"/>
  <c r="D13" i="2"/>
  <c r="D22" i="2" s="1"/>
  <c r="I12" i="2"/>
  <c r="I9" i="2"/>
  <c r="I7" i="2"/>
  <c r="A3" i="2"/>
  <c r="H103" i="1"/>
  <c r="G103" i="1"/>
  <c r="F103" i="1"/>
  <c r="E103" i="1"/>
  <c r="D103" i="1"/>
  <c r="D102" i="1"/>
  <c r="H99" i="1"/>
  <c r="H98" i="1" s="1"/>
  <c r="G99" i="1"/>
  <c r="G98" i="1" s="1"/>
  <c r="F99" i="1"/>
  <c r="E98" i="1"/>
  <c r="D99" i="1"/>
  <c r="H95" i="1"/>
  <c r="G95" i="1"/>
  <c r="F95" i="1"/>
  <c r="D96" i="1"/>
  <c r="D95" i="1" s="1"/>
  <c r="G94" i="1"/>
  <c r="G93" i="1"/>
  <c r="D93" i="1"/>
  <c r="D92" i="1"/>
  <c r="I91" i="1"/>
  <c r="E88" i="1"/>
  <c r="H87" i="1"/>
  <c r="G87" i="1"/>
  <c r="F87" i="1"/>
  <c r="D87" i="1"/>
  <c r="D83" i="1" s="1"/>
  <c r="H86" i="1"/>
  <c r="G86" i="1"/>
  <c r="F86" i="1"/>
  <c r="H85" i="1"/>
  <c r="G85" i="1"/>
  <c r="F85" i="1"/>
  <c r="H84" i="1"/>
  <c r="G84" i="1"/>
  <c r="G83" i="1" s="1"/>
  <c r="F84" i="1"/>
  <c r="H82" i="1"/>
  <c r="G82" i="1"/>
  <c r="H80" i="1"/>
  <c r="G80" i="1"/>
  <c r="F80" i="1"/>
  <c r="D80" i="1"/>
  <c r="H79" i="1"/>
  <c r="G79" i="1"/>
  <c r="F79" i="1"/>
  <c r="D79" i="1"/>
  <c r="H78" i="1"/>
  <c r="G78" i="1"/>
  <c r="F78" i="1"/>
  <c r="D78" i="1"/>
  <c r="H77" i="1"/>
  <c r="H76" i="1" s="1"/>
  <c r="G77" i="1"/>
  <c r="F77" i="1"/>
  <c r="D77" i="1"/>
  <c r="D76" i="1" s="1"/>
  <c r="H75" i="1"/>
  <c r="G75" i="1"/>
  <c r="H70" i="1"/>
  <c r="F70" i="1"/>
  <c r="I70" i="1" s="1"/>
  <c r="D70" i="1"/>
  <c r="H69" i="1"/>
  <c r="G69" i="1"/>
  <c r="G68" i="1" s="1"/>
  <c r="E68" i="1"/>
  <c r="H66" i="1"/>
  <c r="G66" i="1"/>
  <c r="F66" i="1"/>
  <c r="D66" i="1"/>
  <c r="H65" i="1"/>
  <c r="H64" i="1" s="1"/>
  <c r="G65" i="1"/>
  <c r="F65" i="1"/>
  <c r="F64" i="1" s="1"/>
  <c r="D65" i="1"/>
  <c r="D64" i="1" s="1"/>
  <c r="H63" i="1"/>
  <c r="G63" i="1"/>
  <c r="F63" i="1"/>
  <c r="D63" i="1"/>
  <c r="H62" i="1"/>
  <c r="H61" i="1" s="1"/>
  <c r="F62" i="1"/>
  <c r="F61" i="1" s="1"/>
  <c r="D62" i="1"/>
  <c r="G61" i="1"/>
  <c r="H60" i="1"/>
  <c r="G60" i="1"/>
  <c r="F60" i="1"/>
  <c r="D60" i="1"/>
  <c r="H59" i="1"/>
  <c r="H58" i="1" s="1"/>
  <c r="G59" i="1"/>
  <c r="G58" i="1" s="1"/>
  <c r="F59" i="1"/>
  <c r="F58" i="1" s="1"/>
  <c r="F57" i="1" s="1"/>
  <c r="D59" i="1"/>
  <c r="D58" i="1" s="1"/>
  <c r="D56" i="1"/>
  <c r="H54" i="1"/>
  <c r="G54" i="1"/>
  <c r="F54" i="1"/>
  <c r="H53" i="1"/>
  <c r="H50" i="1" s="1"/>
  <c r="H52" i="1" s="1"/>
  <c r="G53" i="1"/>
  <c r="D53" i="1"/>
  <c r="D50" i="1" s="1"/>
  <c r="D52" i="1" s="1"/>
  <c r="G47" i="1"/>
  <c r="H47" i="1"/>
  <c r="H46" i="1"/>
  <c r="G46" i="1"/>
  <c r="D46" i="1"/>
  <c r="E43" i="1"/>
  <c r="F41" i="1"/>
  <c r="F43" i="1" s="1"/>
  <c r="D41" i="1"/>
  <c r="E40" i="1"/>
  <c r="H40" i="1"/>
  <c r="G40" i="1"/>
  <c r="F38" i="1"/>
  <c r="F40" i="1" s="1"/>
  <c r="D38" i="1"/>
  <c r="D40" i="1" s="1"/>
  <c r="H35" i="1"/>
  <c r="H37" i="1" s="1"/>
  <c r="G35" i="1"/>
  <c r="G37" i="1" s="1"/>
  <c r="F35" i="1"/>
  <c r="F37" i="1" s="1"/>
  <c r="D35" i="1"/>
  <c r="D37" i="1" s="1"/>
  <c r="H32" i="1"/>
  <c r="H34" i="1" s="1"/>
  <c r="H28" i="1" s="1"/>
  <c r="G32" i="1"/>
  <c r="F32" i="1"/>
  <c r="F34" i="1" s="1"/>
  <c r="F28" i="1" s="1"/>
  <c r="D32" i="1"/>
  <c r="D34" i="1" s="1"/>
  <c r="D28" i="1" s="1"/>
  <c r="H29" i="1"/>
  <c r="G29" i="1"/>
  <c r="G26" i="1" s="1"/>
  <c r="F29" i="1"/>
  <c r="F26" i="1" s="1"/>
  <c r="D29" i="1"/>
  <c r="D25" i="1"/>
  <c r="H25" i="1"/>
  <c r="G25" i="1"/>
  <c r="F23" i="1"/>
  <c r="D22" i="1"/>
  <c r="D19" i="1" s="1"/>
  <c r="G22" i="1"/>
  <c r="F20" i="1"/>
  <c r="D17" i="1"/>
  <c r="D11" i="1" s="1"/>
  <c r="D16" i="1"/>
  <c r="I15" i="1"/>
  <c r="H14" i="1"/>
  <c r="H16" i="1" s="1"/>
  <c r="G14" i="1"/>
  <c r="F14" i="1"/>
  <c r="F16" i="1" s="1"/>
  <c r="E9" i="1"/>
  <c r="M6" i="1"/>
  <c r="M5" i="1"/>
  <c r="H81" i="19" l="1"/>
  <c r="H64" i="19"/>
  <c r="H45" i="19"/>
  <c r="E30" i="19"/>
  <c r="D21" i="19"/>
  <c r="H58" i="18"/>
  <c r="H24" i="16"/>
  <c r="G57" i="15"/>
  <c r="G55" i="15" s="1"/>
  <c r="H36" i="14"/>
  <c r="E75" i="13"/>
  <c r="H45" i="18"/>
  <c r="E30" i="18"/>
  <c r="F21" i="18"/>
  <c r="D71" i="17"/>
  <c r="D67" i="17" s="1"/>
  <c r="G57" i="17"/>
  <c r="G55" i="17" s="1"/>
  <c r="G46" i="17" s="1"/>
  <c r="H42" i="17"/>
  <c r="H39" i="17"/>
  <c r="H29" i="17"/>
  <c r="E73" i="16"/>
  <c r="E57" i="15"/>
  <c r="H18" i="15"/>
  <c r="D73" i="13"/>
  <c r="D57" i="16"/>
  <c r="D55" i="16" s="1"/>
  <c r="H52" i="16"/>
  <c r="H36" i="16"/>
  <c r="H94" i="14"/>
  <c r="H36" i="13"/>
  <c r="G30" i="13"/>
  <c r="H29" i="13"/>
  <c r="D30" i="13"/>
  <c r="D88" i="12"/>
  <c r="G46" i="12"/>
  <c r="H45" i="12"/>
  <c r="H28" i="12"/>
  <c r="H18" i="10"/>
  <c r="E29" i="7"/>
  <c r="H28" i="7"/>
  <c r="D21" i="7"/>
  <c r="H61" i="6"/>
  <c r="D29" i="5"/>
  <c r="F21" i="5"/>
  <c r="F15" i="5" s="1"/>
  <c r="D71" i="4"/>
  <c r="D67" i="4" s="1"/>
  <c r="H39" i="11"/>
  <c r="H20" i="11"/>
  <c r="G88" i="10"/>
  <c r="H88" i="10"/>
  <c r="G71" i="10"/>
  <c r="G67" i="10" s="1"/>
  <c r="H45" i="10"/>
  <c r="H42" i="10"/>
  <c r="H36" i="10"/>
  <c r="H29" i="10"/>
  <c r="H49" i="6"/>
  <c r="H36" i="5"/>
  <c r="E29" i="5"/>
  <c r="H29" i="5" s="1"/>
  <c r="E21" i="5"/>
  <c r="D15" i="5"/>
  <c r="D12" i="5" s="1"/>
  <c r="G57" i="9"/>
  <c r="G55" i="9" s="1"/>
  <c r="H61" i="9"/>
  <c r="H49" i="9"/>
  <c r="H36" i="9"/>
  <c r="H29" i="9"/>
  <c r="H24" i="9"/>
  <c r="H18" i="9"/>
  <c r="G88" i="8"/>
  <c r="H39" i="8"/>
  <c r="D57" i="7"/>
  <c r="D55" i="7" s="1"/>
  <c r="D46" i="7" s="1"/>
  <c r="D9" i="7" s="1"/>
  <c r="G72" i="1"/>
  <c r="H74" i="1"/>
  <c r="E21" i="6"/>
  <c r="D21" i="6"/>
  <c r="D15" i="6" s="1"/>
  <c r="D12" i="6" s="1"/>
  <c r="D11" i="6" s="1"/>
  <c r="H45" i="4"/>
  <c r="G29" i="4"/>
  <c r="D71" i="3"/>
  <c r="D67" i="3" s="1"/>
  <c r="H61" i="3"/>
  <c r="E57" i="3"/>
  <c r="E55" i="3" s="1"/>
  <c r="D57" i="3"/>
  <c r="D55" i="3" s="1"/>
  <c r="H39" i="3"/>
  <c r="E29" i="3"/>
  <c r="H29" i="3" s="1"/>
  <c r="D29" i="3"/>
  <c r="G21" i="3"/>
  <c r="G15" i="3" s="1"/>
  <c r="F21" i="3"/>
  <c r="F15" i="3" s="1"/>
  <c r="E13" i="15"/>
  <c r="E15" i="15" s="1"/>
  <c r="E12" i="15" s="1"/>
  <c r="E21" i="15"/>
  <c r="E52" i="14"/>
  <c r="H52" i="14" s="1"/>
  <c r="H53" i="14"/>
  <c r="D72" i="11"/>
  <c r="E75" i="11"/>
  <c r="E56" i="11"/>
  <c r="E57" i="11"/>
  <c r="E55" i="11" s="1"/>
  <c r="G81" i="9"/>
  <c r="G73" i="9"/>
  <c r="G71" i="9" s="1"/>
  <c r="E73" i="9"/>
  <c r="E81" i="9"/>
  <c r="E68" i="6"/>
  <c r="H70" i="6"/>
  <c r="I95" i="1"/>
  <c r="D61" i="1"/>
  <c r="F76" i="1"/>
  <c r="F50" i="1"/>
  <c r="F52" i="1" s="1"/>
  <c r="F17" i="1"/>
  <c r="F11" i="1" s="1"/>
  <c r="F8" i="1" s="1"/>
  <c r="I20" i="1"/>
  <c r="G76" i="1"/>
  <c r="G73" i="1" s="1"/>
  <c r="G71" i="1" s="1"/>
  <c r="G67" i="1" s="1"/>
  <c r="D98" i="1"/>
  <c r="H91" i="7"/>
  <c r="F92" i="1"/>
  <c r="I92" i="1" s="1"/>
  <c r="E48" i="4"/>
  <c r="D47" i="4"/>
  <c r="D46" i="4" s="1"/>
  <c r="D9" i="4" s="1"/>
  <c r="G46" i="15"/>
  <c r="H42" i="15"/>
  <c r="F74" i="18"/>
  <c r="H74" i="18" s="1"/>
  <c r="F73" i="18"/>
  <c r="H73" i="18" s="1"/>
  <c r="H21" i="5"/>
  <c r="G45" i="7"/>
  <c r="H43" i="1"/>
  <c r="F30" i="8"/>
  <c r="H30" i="8" s="1"/>
  <c r="H36" i="8"/>
  <c r="G74" i="11"/>
  <c r="G73" i="11"/>
  <c r="G71" i="11" s="1"/>
  <c r="F14" i="13"/>
  <c r="H20" i="13"/>
  <c r="F21" i="13"/>
  <c r="H90" i="3"/>
  <c r="E88" i="3"/>
  <c r="H88" i="3" s="1"/>
  <c r="F90" i="1"/>
  <c r="I90" i="1" s="1"/>
  <c r="H20" i="14"/>
  <c r="F14" i="14"/>
  <c r="E57" i="8"/>
  <c r="E56" i="8"/>
  <c r="F21" i="11"/>
  <c r="H19" i="11"/>
  <c r="H61" i="10"/>
  <c r="F57" i="10"/>
  <c r="D47" i="14"/>
  <c r="D46" i="14" s="1"/>
  <c r="E48" i="14"/>
  <c r="E88" i="19"/>
  <c r="H88" i="19" s="1"/>
  <c r="H91" i="19"/>
  <c r="H57" i="7"/>
  <c r="F55" i="7"/>
  <c r="F46" i="7" s="1"/>
  <c r="F47" i="15"/>
  <c r="F46" i="15" s="1"/>
  <c r="H49" i="15"/>
  <c r="H96" i="9"/>
  <c r="I41" i="1"/>
  <c r="G43" i="1"/>
  <c r="H56" i="11"/>
  <c r="E13" i="16"/>
  <c r="E15" i="16" s="1"/>
  <c r="E12" i="16" s="1"/>
  <c r="E21" i="16"/>
  <c r="H83" i="7"/>
  <c r="F81" i="7"/>
  <c r="H81" i="7" s="1"/>
  <c r="H57" i="1"/>
  <c r="E21" i="11"/>
  <c r="E13" i="11"/>
  <c r="G64" i="1"/>
  <c r="I64" i="1" s="1"/>
  <c r="I65" i="1"/>
  <c r="F13" i="16"/>
  <c r="H19" i="16"/>
  <c r="D15" i="4"/>
  <c r="D71" i="13"/>
  <c r="D67" i="13" s="1"/>
  <c r="H81" i="6"/>
  <c r="G88" i="7"/>
  <c r="H36" i="11"/>
  <c r="H20" i="18"/>
  <c r="H94" i="18"/>
  <c r="G81" i="19"/>
  <c r="G73" i="19"/>
  <c r="G71" i="19" s="1"/>
  <c r="G67" i="19" s="1"/>
  <c r="H27" i="5"/>
  <c r="D88" i="8"/>
  <c r="E47" i="3"/>
  <c r="E69" i="3"/>
  <c r="D69" i="1"/>
  <c r="D68" i="1" s="1"/>
  <c r="F13" i="9"/>
  <c r="F10" i="9" s="1"/>
  <c r="G46" i="19"/>
  <c r="H45" i="16"/>
  <c r="H27" i="19"/>
  <c r="E55" i="10"/>
  <c r="E46" i="10" s="1"/>
  <c r="H49" i="11"/>
  <c r="H36" i="12"/>
  <c r="H36" i="15"/>
  <c r="G14" i="18"/>
  <c r="G15" i="18" s="1"/>
  <c r="G12" i="18" s="1"/>
  <c r="G21" i="18"/>
  <c r="H29" i="18"/>
  <c r="H96" i="19"/>
  <c r="D57" i="1"/>
  <c r="D55" i="1" s="1"/>
  <c r="F73" i="6"/>
  <c r="H98" i="6"/>
  <c r="E96" i="6"/>
  <c r="H96" i="6" s="1"/>
  <c r="E55" i="14"/>
  <c r="G50" i="1"/>
  <c r="I50" i="1" s="1"/>
  <c r="I53" i="1"/>
  <c r="G74" i="1"/>
  <c r="H13" i="7"/>
  <c r="H19" i="8"/>
  <c r="E21" i="12"/>
  <c r="E13" i="12"/>
  <c r="E10" i="12" s="1"/>
  <c r="H56" i="13"/>
  <c r="E55" i="13"/>
  <c r="H14" i="16"/>
  <c r="H83" i="19"/>
  <c r="E73" i="7"/>
  <c r="H68" i="8"/>
  <c r="E81" i="11"/>
  <c r="E73" i="11"/>
  <c r="H96" i="3"/>
  <c r="G57" i="6"/>
  <c r="G55" i="6" s="1"/>
  <c r="G46" i="6" s="1"/>
  <c r="F73" i="7"/>
  <c r="F71" i="7" s="1"/>
  <c r="F21" i="10"/>
  <c r="F13" i="10"/>
  <c r="H58" i="10"/>
  <c r="G88" i="14"/>
  <c r="D13" i="17"/>
  <c r="G73" i="18"/>
  <c r="G71" i="18" s="1"/>
  <c r="G67" i="18" s="1"/>
  <c r="D88" i="3"/>
  <c r="H96" i="10"/>
  <c r="D13" i="12"/>
  <c r="H26" i="1"/>
  <c r="H8" i="1" s="1"/>
  <c r="H83" i="1"/>
  <c r="F89" i="1"/>
  <c r="I89" i="1" s="1"/>
  <c r="F94" i="1"/>
  <c r="I94" i="1" s="1"/>
  <c r="G73" i="3"/>
  <c r="G71" i="3" s="1"/>
  <c r="G67" i="3" s="1"/>
  <c r="G9" i="3" s="1"/>
  <c r="F102" i="1"/>
  <c r="H27" i="6"/>
  <c r="H36" i="6"/>
  <c r="F30" i="6"/>
  <c r="H30" i="6" s="1"/>
  <c r="E73" i="6"/>
  <c r="D21" i="8"/>
  <c r="D15" i="8" s="1"/>
  <c r="D12" i="8" s="1"/>
  <c r="D11" i="8" s="1"/>
  <c r="H14" i="10"/>
  <c r="H39" i="12"/>
  <c r="E73" i="12"/>
  <c r="E21" i="13"/>
  <c r="E13" i="13"/>
  <c r="E10" i="13" s="1"/>
  <c r="F21" i="14"/>
  <c r="H96" i="15"/>
  <c r="H18" i="19"/>
  <c r="E74" i="4"/>
  <c r="H74" i="4" s="1"/>
  <c r="H61" i="5"/>
  <c r="E88" i="6"/>
  <c r="H88" i="6" s="1"/>
  <c r="H61" i="8"/>
  <c r="H30" i="9"/>
  <c r="G57" i="10"/>
  <c r="G55" i="10" s="1"/>
  <c r="G46" i="10" s="1"/>
  <c r="H19" i="15"/>
  <c r="F57" i="16"/>
  <c r="F55" i="16" s="1"/>
  <c r="H55" i="16" s="1"/>
  <c r="H58" i="16"/>
  <c r="H64" i="18"/>
  <c r="H51" i="19"/>
  <c r="F49" i="1"/>
  <c r="H68" i="1"/>
  <c r="H58" i="3"/>
  <c r="F57" i="3"/>
  <c r="F55" i="3" s="1"/>
  <c r="G88" i="3"/>
  <c r="E24" i="4"/>
  <c r="E19" i="4"/>
  <c r="E13" i="4" s="1"/>
  <c r="G88" i="4"/>
  <c r="G21" i="5"/>
  <c r="F30" i="5"/>
  <c r="H30" i="5" s="1"/>
  <c r="D46" i="5"/>
  <c r="E21" i="8"/>
  <c r="E20" i="8" s="1"/>
  <c r="E21" i="9"/>
  <c r="H21" i="9" s="1"/>
  <c r="H28" i="9"/>
  <c r="G67" i="12"/>
  <c r="G9" i="12" s="1"/>
  <c r="E75" i="14"/>
  <c r="D73" i="14"/>
  <c r="E47" i="10"/>
  <c r="H47" i="10" s="1"/>
  <c r="H42" i="12"/>
  <c r="D71" i="14"/>
  <c r="D67" i="14" s="1"/>
  <c r="E75" i="17"/>
  <c r="D74" i="17"/>
  <c r="H39" i="18"/>
  <c r="I26" i="1"/>
  <c r="H18" i="4"/>
  <c r="H58" i="7"/>
  <c r="F81" i="12"/>
  <c r="H81" i="12" s="1"/>
  <c r="H83" i="12"/>
  <c r="H42" i="3"/>
  <c r="H88" i="5"/>
  <c r="I96" i="1"/>
  <c r="H36" i="3"/>
  <c r="F30" i="3"/>
  <c r="H30" i="3" s="1"/>
  <c r="F93" i="1"/>
  <c r="I93" i="1" s="1"/>
  <c r="D11" i="5"/>
  <c r="D49" i="9"/>
  <c r="E48" i="9" s="1"/>
  <c r="D48" i="1"/>
  <c r="G57" i="11"/>
  <c r="G55" i="11" s="1"/>
  <c r="G46" i="11" s="1"/>
  <c r="G10" i="12"/>
  <c r="E30" i="14"/>
  <c r="H49" i="17"/>
  <c r="G88" i="5"/>
  <c r="H81" i="8"/>
  <c r="E30" i="15"/>
  <c r="D30" i="18"/>
  <c r="H22" i="1"/>
  <c r="H19" i="1" s="1"/>
  <c r="H13" i="1" s="1"/>
  <c r="H17" i="1"/>
  <c r="H11" i="1" s="1"/>
  <c r="D73" i="1"/>
  <c r="D71" i="1" s="1"/>
  <c r="D18" i="1"/>
  <c r="F27" i="1"/>
  <c r="F48" i="1"/>
  <c r="H28" i="3"/>
  <c r="D43" i="1"/>
  <c r="H22" i="4"/>
  <c r="H39" i="4"/>
  <c r="H53" i="4"/>
  <c r="H61" i="4"/>
  <c r="D88" i="4"/>
  <c r="G71" i="5"/>
  <c r="G67" i="5" s="1"/>
  <c r="G88" i="6"/>
  <c r="F21" i="7"/>
  <c r="F15" i="7" s="1"/>
  <c r="F14" i="7" s="1"/>
  <c r="F47" i="7"/>
  <c r="H53" i="7"/>
  <c r="H24" i="8"/>
  <c r="H49" i="8"/>
  <c r="F73" i="8"/>
  <c r="H20" i="10"/>
  <c r="F47" i="11"/>
  <c r="D73" i="11"/>
  <c r="D71" i="11" s="1"/>
  <c r="D67" i="11" s="1"/>
  <c r="H53" i="12"/>
  <c r="E52" i="12"/>
  <c r="H52" i="12" s="1"/>
  <c r="H61" i="12"/>
  <c r="H45" i="13"/>
  <c r="H19" i="14"/>
  <c r="H61" i="17"/>
  <c r="D49" i="18"/>
  <c r="D49" i="1"/>
  <c r="H39" i="19"/>
  <c r="G15" i="6"/>
  <c r="D81" i="1"/>
  <c r="E55" i="6"/>
  <c r="E11" i="15"/>
  <c r="E75" i="15"/>
  <c r="D74" i="15"/>
  <c r="G88" i="1"/>
  <c r="E55" i="9"/>
  <c r="H13" i="15"/>
  <c r="F73" i="16"/>
  <c r="H28" i="10"/>
  <c r="F46" i="16"/>
  <c r="G29" i="8"/>
  <c r="E75" i="12"/>
  <c r="H75" i="12" s="1"/>
  <c r="D73" i="12"/>
  <c r="D71" i="12" s="1"/>
  <c r="D67" i="12" s="1"/>
  <c r="H24" i="14"/>
  <c r="H29" i="14"/>
  <c r="D13" i="15"/>
  <c r="G30" i="17"/>
  <c r="F25" i="1"/>
  <c r="I23" i="1"/>
  <c r="G34" i="1"/>
  <c r="G28" i="1" s="1"/>
  <c r="I32" i="1"/>
  <c r="D90" i="1"/>
  <c r="D88" i="1" s="1"/>
  <c r="E72" i="4"/>
  <c r="E71" i="4" s="1"/>
  <c r="E67" i="4" s="1"/>
  <c r="G21" i="7"/>
  <c r="G15" i="7" s="1"/>
  <c r="E55" i="7"/>
  <c r="E46" i="7" s="1"/>
  <c r="G15" i="8"/>
  <c r="G88" i="9"/>
  <c r="G74" i="13"/>
  <c r="G73" i="13"/>
  <c r="G71" i="13" s="1"/>
  <c r="G67" i="13" s="1"/>
  <c r="D21" i="16"/>
  <c r="D13" i="16"/>
  <c r="H39" i="16"/>
  <c r="H74" i="16"/>
  <c r="H18" i="18"/>
  <c r="G46" i="3"/>
  <c r="E29" i="4"/>
  <c r="H29" i="4" s="1"/>
  <c r="H28" i="5"/>
  <c r="H52" i="5"/>
  <c r="D73" i="5"/>
  <c r="E29" i="8"/>
  <c r="H29" i="8" s="1"/>
  <c r="F30" i="11"/>
  <c r="H30" i="11" s="1"/>
  <c r="F73" i="12"/>
  <c r="G88" i="13"/>
  <c r="H39" i="14"/>
  <c r="F73" i="14"/>
  <c r="F71" i="14" s="1"/>
  <c r="F67" i="14" s="1"/>
  <c r="H24" i="15"/>
  <c r="G30" i="15"/>
  <c r="D47" i="16"/>
  <c r="G15" i="17"/>
  <c r="G12" i="17" s="1"/>
  <c r="E52" i="18"/>
  <c r="H52" i="18" s="1"/>
  <c r="G88" i="18"/>
  <c r="H61" i="19"/>
  <c r="H45" i="1"/>
  <c r="D13" i="1"/>
  <c r="D12" i="1" s="1"/>
  <c r="H39" i="6"/>
  <c r="D21" i="9"/>
  <c r="H39" i="9"/>
  <c r="H45" i="9"/>
  <c r="E52" i="10"/>
  <c r="H52" i="10" s="1"/>
  <c r="D57" i="10"/>
  <c r="D55" i="10" s="1"/>
  <c r="D46" i="10" s="1"/>
  <c r="D9" i="10" s="1"/>
  <c r="G73" i="12"/>
  <c r="G71" i="12" s="1"/>
  <c r="E30" i="13"/>
  <c r="G73" i="14"/>
  <c r="G71" i="14" s="1"/>
  <c r="G67" i="14" s="1"/>
  <c r="H36" i="17"/>
  <c r="H36" i="19"/>
  <c r="D73" i="9"/>
  <c r="D71" i="9" s="1"/>
  <c r="D67" i="9" s="1"/>
  <c r="G88" i="11"/>
  <c r="H42" i="13"/>
  <c r="H52" i="15"/>
  <c r="H96" i="18"/>
  <c r="G30" i="19"/>
  <c r="D26" i="1"/>
  <c r="D27" i="1" s="1"/>
  <c r="H45" i="3"/>
  <c r="E71" i="3"/>
  <c r="H58" i="4"/>
  <c r="H83" i="8"/>
  <c r="D21" i="10"/>
  <c r="H18" i="11"/>
  <c r="H29" i="11"/>
  <c r="D74" i="13"/>
  <c r="G57" i="14"/>
  <c r="G55" i="14" s="1"/>
  <c r="H36" i="18"/>
  <c r="D73" i="18"/>
  <c r="G88" i="19"/>
  <c r="H94" i="11"/>
  <c r="F57" i="14"/>
  <c r="H29" i="15"/>
  <c r="H42" i="16"/>
  <c r="H94" i="19"/>
  <c r="H72" i="1"/>
  <c r="F83" i="1"/>
  <c r="E21" i="3"/>
  <c r="E30" i="10"/>
  <c r="H30" i="10" s="1"/>
  <c r="E47" i="13"/>
  <c r="G57" i="13"/>
  <c r="G55" i="13" s="1"/>
  <c r="G46" i="13" s="1"/>
  <c r="H58" i="14"/>
  <c r="H94" i="15"/>
  <c r="E72" i="18"/>
  <c r="E71" i="18" s="1"/>
  <c r="E67" i="18" s="1"/>
  <c r="E57" i="19"/>
  <c r="E55" i="19" s="1"/>
  <c r="G19" i="1"/>
  <c r="D15" i="2"/>
  <c r="G45" i="1"/>
  <c r="G81" i="1"/>
  <c r="D12" i="3"/>
  <c r="D11" i="3"/>
  <c r="E10" i="3"/>
  <c r="D10" i="3"/>
  <c r="F10" i="3"/>
  <c r="H13" i="3"/>
  <c r="F22" i="1"/>
  <c r="D74" i="1"/>
  <c r="I14" i="1"/>
  <c r="G16" i="1"/>
  <c r="I35" i="1"/>
  <c r="I48" i="1"/>
  <c r="H76" i="3"/>
  <c r="F74" i="3"/>
  <c r="H74" i="3" s="1"/>
  <c r="F73" i="3"/>
  <c r="G81" i="4"/>
  <c r="G73" i="4"/>
  <c r="G71" i="4" s="1"/>
  <c r="G67" i="4" s="1"/>
  <c r="F10" i="5"/>
  <c r="H18" i="5"/>
  <c r="H48" i="5"/>
  <c r="E47" i="5"/>
  <c r="H13" i="6"/>
  <c r="E10" i="6"/>
  <c r="H18" i="6"/>
  <c r="H28" i="6"/>
  <c r="D30" i="9"/>
  <c r="D73" i="10"/>
  <c r="D71" i="10" s="1"/>
  <c r="D67" i="10" s="1"/>
  <c r="E75" i="10"/>
  <c r="D74" i="10"/>
  <c r="E52" i="11"/>
  <c r="H52" i="11" s="1"/>
  <c r="H53" i="11"/>
  <c r="H47" i="12"/>
  <c r="E57" i="12"/>
  <c r="E56" i="12"/>
  <c r="F73" i="19"/>
  <c r="F74" i="19"/>
  <c r="G17" i="1"/>
  <c r="H49" i="3"/>
  <c r="H72" i="3"/>
  <c r="H83" i="3"/>
  <c r="F81" i="3"/>
  <c r="H81" i="3" s="1"/>
  <c r="H19" i="4"/>
  <c r="H52" i="4"/>
  <c r="G15" i="5"/>
  <c r="D74" i="5"/>
  <c r="E75" i="5"/>
  <c r="D72" i="5"/>
  <c r="F10" i="6"/>
  <c r="D74" i="6"/>
  <c r="E75" i="6"/>
  <c r="D72" i="6"/>
  <c r="D71" i="6" s="1"/>
  <c r="D67" i="6" s="1"/>
  <c r="G81" i="6"/>
  <c r="G73" i="6"/>
  <c r="G71" i="6" s="1"/>
  <c r="G67" i="6" s="1"/>
  <c r="F10" i="7"/>
  <c r="H10" i="7" s="1"/>
  <c r="H24" i="7"/>
  <c r="E21" i="7"/>
  <c r="E20" i="7" s="1"/>
  <c r="H20" i="7" s="1"/>
  <c r="D29" i="7"/>
  <c r="H90" i="7"/>
  <c r="E88" i="7"/>
  <c r="H88" i="7" s="1"/>
  <c r="E52" i="8"/>
  <c r="H52" i="8" s="1"/>
  <c r="H53" i="8"/>
  <c r="H53" i="9"/>
  <c r="E52" i="9"/>
  <c r="E74" i="12"/>
  <c r="H74" i="12" s="1"/>
  <c r="H73" i="2"/>
  <c r="H75" i="2"/>
  <c r="H19" i="3"/>
  <c r="D46" i="3"/>
  <c r="D9" i="3" s="1"/>
  <c r="E10" i="4"/>
  <c r="D10" i="4"/>
  <c r="G15" i="4"/>
  <c r="F21" i="4"/>
  <c r="E57" i="4"/>
  <c r="H57" i="4" s="1"/>
  <c r="E56" i="4"/>
  <c r="H56" i="4" s="1"/>
  <c r="D10" i="5"/>
  <c r="F57" i="5"/>
  <c r="H57" i="5" s="1"/>
  <c r="H58" i="5"/>
  <c r="D68" i="5"/>
  <c r="E69" i="5"/>
  <c r="F71" i="5"/>
  <c r="G10" i="6"/>
  <c r="H24" i="6"/>
  <c r="F21" i="6"/>
  <c r="H21" i="6" s="1"/>
  <c r="E48" i="6"/>
  <c r="D47" i="6"/>
  <c r="D46" i="6" s="1"/>
  <c r="D9" i="6" s="1"/>
  <c r="D15" i="7"/>
  <c r="D12" i="7" s="1"/>
  <c r="D11" i="7" s="1"/>
  <c r="H47" i="7"/>
  <c r="D74" i="7"/>
  <c r="E75" i="7"/>
  <c r="D72" i="7"/>
  <c r="D71" i="7" s="1"/>
  <c r="G81" i="7"/>
  <c r="G73" i="7"/>
  <c r="G46" i="9"/>
  <c r="H10" i="4"/>
  <c r="H13" i="4"/>
  <c r="E15" i="4"/>
  <c r="H30" i="4"/>
  <c r="D29" i="4"/>
  <c r="G46" i="4"/>
  <c r="G9" i="4" s="1"/>
  <c r="F46" i="4"/>
  <c r="H83" i="4"/>
  <c r="F81" i="4"/>
  <c r="H81" i="4" s="1"/>
  <c r="F73" i="4"/>
  <c r="E88" i="4"/>
  <c r="H88" i="4" s="1"/>
  <c r="E12" i="5"/>
  <c r="E11" i="5" s="1"/>
  <c r="H19" i="5"/>
  <c r="E13" i="5"/>
  <c r="H76" i="5"/>
  <c r="E73" i="5"/>
  <c r="H73" i="5" s="1"/>
  <c r="H83" i="5"/>
  <c r="E81" i="5"/>
  <c r="H81" i="5" s="1"/>
  <c r="G14" i="6"/>
  <c r="G12" i="6"/>
  <c r="G11" i="6" s="1"/>
  <c r="E52" i="6"/>
  <c r="H52" i="6" s="1"/>
  <c r="H53" i="6"/>
  <c r="F57" i="6"/>
  <c r="H58" i="6"/>
  <c r="D10" i="7"/>
  <c r="H36" i="7"/>
  <c r="F30" i="7"/>
  <c r="H30" i="7" s="1"/>
  <c r="G45" i="8"/>
  <c r="D10" i="9"/>
  <c r="F73" i="11"/>
  <c r="H76" i="11"/>
  <c r="F74" i="11"/>
  <c r="E52" i="13"/>
  <c r="H53" i="13"/>
  <c r="E56" i="5"/>
  <c r="H68" i="6"/>
  <c r="H83" i="6"/>
  <c r="H19" i="7"/>
  <c r="H21" i="8"/>
  <c r="F15" i="8"/>
  <c r="D29" i="8"/>
  <c r="H45" i="8"/>
  <c r="G46" i="8"/>
  <c r="H73" i="8"/>
  <c r="F71" i="8"/>
  <c r="D74" i="8"/>
  <c r="E75" i="8"/>
  <c r="D72" i="8"/>
  <c r="D71" i="8" s="1"/>
  <c r="D67" i="8" s="1"/>
  <c r="G81" i="8"/>
  <c r="G73" i="8"/>
  <c r="G71" i="8" s="1"/>
  <c r="G67" i="8" s="1"/>
  <c r="G9" i="8" s="1"/>
  <c r="D15" i="9"/>
  <c r="D12" i="9" s="1"/>
  <c r="D74" i="9"/>
  <c r="E75" i="9"/>
  <c r="H83" i="9"/>
  <c r="F81" i="9"/>
  <c r="H81" i="9" s="1"/>
  <c r="F73" i="9"/>
  <c r="H73" i="9" s="1"/>
  <c r="H90" i="9"/>
  <c r="E88" i="9"/>
  <c r="H88" i="9" s="1"/>
  <c r="D15" i="10"/>
  <c r="D12" i="10" s="1"/>
  <c r="G30" i="10"/>
  <c r="H49" i="10"/>
  <c r="F15" i="11"/>
  <c r="H13" i="11"/>
  <c r="F10" i="11"/>
  <c r="H14" i="11"/>
  <c r="G30" i="11"/>
  <c r="G10" i="11"/>
  <c r="H45" i="11"/>
  <c r="E74" i="11"/>
  <c r="H75" i="11"/>
  <c r="E72" i="11"/>
  <c r="H83" i="11"/>
  <c r="F81" i="11"/>
  <c r="H90" i="11"/>
  <c r="E88" i="11"/>
  <c r="H88" i="11" s="1"/>
  <c r="G15" i="12"/>
  <c r="G12" i="12" s="1"/>
  <c r="G11" i="12" s="1"/>
  <c r="F13" i="12"/>
  <c r="F21" i="12"/>
  <c r="H20" i="12"/>
  <c r="F14" i="12"/>
  <c r="H14" i="12" s="1"/>
  <c r="H29" i="12"/>
  <c r="F30" i="12"/>
  <c r="H30" i="12" s="1"/>
  <c r="H48" i="12"/>
  <c r="F57" i="12"/>
  <c r="H58" i="12"/>
  <c r="G74" i="12"/>
  <c r="G74" i="15"/>
  <c r="G73" i="15"/>
  <c r="G71" i="15" s="1"/>
  <c r="G67" i="15" s="1"/>
  <c r="H83" i="15"/>
  <c r="F81" i="15"/>
  <c r="F73" i="15"/>
  <c r="H73" i="15" s="1"/>
  <c r="G71" i="7"/>
  <c r="G67" i="7" s="1"/>
  <c r="G9" i="7" s="1"/>
  <c r="H13" i="8"/>
  <c r="E10" i="8"/>
  <c r="H10" i="8" s="1"/>
  <c r="E48" i="8"/>
  <c r="D47" i="8"/>
  <c r="D46" i="8" s="1"/>
  <c r="E15" i="9"/>
  <c r="E12" i="9" s="1"/>
  <c r="E11" i="9" s="1"/>
  <c r="E10" i="9"/>
  <c r="H20" i="9"/>
  <c r="F14" i="9"/>
  <c r="H14" i="9" s="1"/>
  <c r="H52" i="9"/>
  <c r="G67" i="9"/>
  <c r="D30" i="10"/>
  <c r="D10" i="10"/>
  <c r="D21" i="11"/>
  <c r="D13" i="11"/>
  <c r="H42" i="11"/>
  <c r="E48" i="11"/>
  <c r="D47" i="11"/>
  <c r="D46" i="11" s="1"/>
  <c r="F57" i="11"/>
  <c r="H58" i="11"/>
  <c r="G67" i="11"/>
  <c r="H68" i="12"/>
  <c r="H89" i="12"/>
  <c r="E88" i="12"/>
  <c r="H88" i="12" s="1"/>
  <c r="D13" i="13"/>
  <c r="D21" i="13"/>
  <c r="H90" i="13"/>
  <c r="E88" i="13"/>
  <c r="H88" i="13" s="1"/>
  <c r="F30" i="15"/>
  <c r="H30" i="15" s="1"/>
  <c r="H28" i="15"/>
  <c r="H53" i="17"/>
  <c r="E52" i="17"/>
  <c r="H52" i="17" s="1"/>
  <c r="D67" i="7"/>
  <c r="H18" i="8"/>
  <c r="G14" i="8"/>
  <c r="G12" i="8"/>
  <c r="G11" i="8" s="1"/>
  <c r="F57" i="8"/>
  <c r="H58" i="8"/>
  <c r="G21" i="9"/>
  <c r="G13" i="9"/>
  <c r="F57" i="9"/>
  <c r="H58" i="9"/>
  <c r="G15" i="10"/>
  <c r="G12" i="10" s="1"/>
  <c r="G10" i="10"/>
  <c r="E21" i="10"/>
  <c r="E13" i="10"/>
  <c r="H83" i="10"/>
  <c r="F81" i="10"/>
  <c r="H81" i="10" s="1"/>
  <c r="F73" i="10"/>
  <c r="H73" i="10" s="1"/>
  <c r="G11" i="11"/>
  <c r="H21" i="11"/>
  <c r="E74" i="13"/>
  <c r="H74" i="13" s="1"/>
  <c r="H75" i="13"/>
  <c r="E72" i="13"/>
  <c r="H83" i="13"/>
  <c r="F81" i="13"/>
  <c r="H81" i="13" s="1"/>
  <c r="H49" i="14"/>
  <c r="F47" i="14"/>
  <c r="E74" i="14"/>
  <c r="H74" i="14" s="1"/>
  <c r="H75" i="14"/>
  <c r="E72" i="14"/>
  <c r="E81" i="14"/>
  <c r="E73" i="14"/>
  <c r="D15" i="16"/>
  <c r="D12" i="16" s="1"/>
  <c r="D10" i="16"/>
  <c r="D47" i="18"/>
  <c r="D46" i="18" s="1"/>
  <c r="E48" i="18"/>
  <c r="H19" i="9"/>
  <c r="H28" i="11"/>
  <c r="G88" i="12"/>
  <c r="H52" i="13"/>
  <c r="H18" i="14"/>
  <c r="H21" i="14"/>
  <c r="G46" i="14"/>
  <c r="G9" i="14" s="1"/>
  <c r="H83" i="14"/>
  <c r="F10" i="15"/>
  <c r="H10" i="15" s="1"/>
  <c r="H82" i="15"/>
  <c r="E81" i="15"/>
  <c r="H89" i="15"/>
  <c r="E88" i="15"/>
  <c r="H88" i="15" s="1"/>
  <c r="E82" i="16"/>
  <c r="D73" i="16"/>
  <c r="D71" i="16" s="1"/>
  <c r="D67" i="16" s="1"/>
  <c r="D81" i="16"/>
  <c r="E21" i="17"/>
  <c r="E13" i="17"/>
  <c r="H20" i="17"/>
  <c r="E14" i="17"/>
  <c r="H14" i="17" s="1"/>
  <c r="G21" i="19"/>
  <c r="G13" i="19"/>
  <c r="G21" i="12"/>
  <c r="D47" i="12"/>
  <c r="D46" i="12" s="1"/>
  <c r="F10" i="13"/>
  <c r="G21" i="13"/>
  <c r="F30" i="13"/>
  <c r="H28" i="13"/>
  <c r="H39" i="13"/>
  <c r="D46" i="13"/>
  <c r="F57" i="13"/>
  <c r="H58" i="13"/>
  <c r="G13" i="15"/>
  <c r="G21" i="15"/>
  <c r="F14" i="15"/>
  <c r="H20" i="15"/>
  <c r="F21" i="15"/>
  <c r="H45" i="15"/>
  <c r="H19" i="10"/>
  <c r="G15" i="13"/>
  <c r="G12" i="13" s="1"/>
  <c r="F73" i="13"/>
  <c r="H76" i="13"/>
  <c r="H13" i="14"/>
  <c r="F10" i="14"/>
  <c r="D21" i="14"/>
  <c r="D13" i="14"/>
  <c r="G14" i="14"/>
  <c r="G15" i="14" s="1"/>
  <c r="G12" i="14" s="1"/>
  <c r="G11" i="14" s="1"/>
  <c r="G21" i="14"/>
  <c r="F30" i="14"/>
  <c r="H30" i="14" s="1"/>
  <c r="H28" i="14"/>
  <c r="E48" i="15"/>
  <c r="D47" i="15"/>
  <c r="D46" i="15" s="1"/>
  <c r="E55" i="15"/>
  <c r="H55" i="15" s="1"/>
  <c r="G74" i="16"/>
  <c r="G73" i="16"/>
  <c r="G71" i="16" s="1"/>
  <c r="G67" i="16" s="1"/>
  <c r="G88" i="15"/>
  <c r="G46" i="16"/>
  <c r="H18" i="17"/>
  <c r="F21" i="17"/>
  <c r="H21" i="17" s="1"/>
  <c r="H19" i="17"/>
  <c r="F13" i="17"/>
  <c r="E57" i="17"/>
  <c r="E56" i="17"/>
  <c r="H83" i="17"/>
  <c r="F81" i="17"/>
  <c r="H81" i="17" s="1"/>
  <c r="F73" i="17"/>
  <c r="E57" i="18"/>
  <c r="H61" i="18"/>
  <c r="F57" i="18"/>
  <c r="H75" i="19"/>
  <c r="E72" i="19"/>
  <c r="E74" i="19"/>
  <c r="D73" i="19"/>
  <c r="D71" i="19" s="1"/>
  <c r="D67" i="19" s="1"/>
  <c r="D81" i="19"/>
  <c r="F47" i="13"/>
  <c r="G10" i="14"/>
  <c r="E88" i="14"/>
  <c r="H88" i="14" s="1"/>
  <c r="E10" i="15"/>
  <c r="H61" i="15"/>
  <c r="D81" i="15"/>
  <c r="D73" i="15"/>
  <c r="D71" i="15" s="1"/>
  <c r="D67" i="15" s="1"/>
  <c r="F21" i="16"/>
  <c r="D30" i="16"/>
  <c r="H57" i="16"/>
  <c r="G88" i="16"/>
  <c r="F30" i="17"/>
  <c r="H30" i="17" s="1"/>
  <c r="H58" i="17"/>
  <c r="F15" i="18"/>
  <c r="F10" i="18"/>
  <c r="F81" i="18"/>
  <c r="H81" i="18" s="1"/>
  <c r="H83" i="18"/>
  <c r="E13" i="14"/>
  <c r="F81" i="14"/>
  <c r="H57" i="15"/>
  <c r="G15" i="16"/>
  <c r="G12" i="16" s="1"/>
  <c r="G11" i="16" s="1"/>
  <c r="G21" i="16"/>
  <c r="E30" i="16"/>
  <c r="H48" i="16"/>
  <c r="E47" i="16"/>
  <c r="E88" i="16"/>
  <c r="H88" i="16" s="1"/>
  <c r="F57" i="17"/>
  <c r="G46" i="18"/>
  <c r="E56" i="18"/>
  <c r="D74" i="18"/>
  <c r="D47" i="19"/>
  <c r="D46" i="19" s="1"/>
  <c r="E48" i="19"/>
  <c r="D47" i="17"/>
  <c r="D46" i="17" s="1"/>
  <c r="E48" i="17"/>
  <c r="G81" i="17"/>
  <c r="G73" i="17"/>
  <c r="G71" i="17" s="1"/>
  <c r="G67" i="17" s="1"/>
  <c r="G9" i="17" s="1"/>
  <c r="G10" i="18"/>
  <c r="D21" i="18"/>
  <c r="D13" i="18"/>
  <c r="F30" i="18"/>
  <c r="H30" i="18" s="1"/>
  <c r="E88" i="18"/>
  <c r="H88" i="18" s="1"/>
  <c r="H90" i="18"/>
  <c r="D15" i="19"/>
  <c r="D12" i="19" s="1"/>
  <c r="D11" i="19" s="1"/>
  <c r="E21" i="19"/>
  <c r="G88" i="17"/>
  <c r="E21" i="18"/>
  <c r="H21" i="18" s="1"/>
  <c r="E13" i="18"/>
  <c r="G30" i="18"/>
  <c r="D72" i="18"/>
  <c r="D10" i="19"/>
  <c r="E10" i="19"/>
  <c r="E15" i="19"/>
  <c r="E12" i="19" s="1"/>
  <c r="E11" i="19" s="1"/>
  <c r="F21" i="19"/>
  <c r="H19" i="19"/>
  <c r="F13" i="19"/>
  <c r="H20" i="19"/>
  <c r="F14" i="19"/>
  <c r="H14" i="19" s="1"/>
  <c r="F30" i="19"/>
  <c r="H30" i="19" s="1"/>
  <c r="H28" i="19"/>
  <c r="H29" i="19"/>
  <c r="F57" i="19"/>
  <c r="H58" i="19"/>
  <c r="E49" i="19"/>
  <c r="H49" i="19" s="1"/>
  <c r="G9" i="10" l="1"/>
  <c r="H55" i="3"/>
  <c r="E20" i="4"/>
  <c r="H20" i="4" s="1"/>
  <c r="G9" i="11"/>
  <c r="D67" i="1"/>
  <c r="H81" i="11"/>
  <c r="D46" i="16"/>
  <c r="D9" i="16" s="1"/>
  <c r="G11" i="17"/>
  <c r="F73" i="1"/>
  <c r="E46" i="13"/>
  <c r="G9" i="13"/>
  <c r="F19" i="1"/>
  <c r="H30" i="13"/>
  <c r="H21" i="15"/>
  <c r="G11" i="13"/>
  <c r="H81" i="14"/>
  <c r="D9" i="17"/>
  <c r="H73" i="7"/>
  <c r="E15" i="5"/>
  <c r="E20" i="5"/>
  <c r="H20" i="5" s="1"/>
  <c r="E20" i="6"/>
  <c r="H20" i="6" s="1"/>
  <c r="E15" i="6"/>
  <c r="G12" i="3"/>
  <c r="G11" i="3"/>
  <c r="G14" i="3"/>
  <c r="E47" i="4"/>
  <c r="H48" i="4"/>
  <c r="H14" i="13"/>
  <c r="F15" i="13"/>
  <c r="F12" i="13" s="1"/>
  <c r="F11" i="13" s="1"/>
  <c r="H11" i="13" s="1"/>
  <c r="F15" i="14"/>
  <c r="F12" i="14" s="1"/>
  <c r="H14" i="14"/>
  <c r="E46" i="3"/>
  <c r="H47" i="3"/>
  <c r="H73" i="6"/>
  <c r="F71" i="6"/>
  <c r="F67" i="6" s="1"/>
  <c r="D15" i="12"/>
  <c r="D12" i="12" s="1"/>
  <c r="D11" i="12" s="1"/>
  <c r="D10" i="12"/>
  <c r="H81" i="1"/>
  <c r="H73" i="1"/>
  <c r="H71" i="1" s="1"/>
  <c r="H67" i="1" s="1"/>
  <c r="E21" i="4"/>
  <c r="H24" i="4"/>
  <c r="E72" i="17"/>
  <c r="E74" i="17"/>
  <c r="H74" i="17" s="1"/>
  <c r="H75" i="17"/>
  <c r="H73" i="16"/>
  <c r="F71" i="16"/>
  <c r="F67" i="16" s="1"/>
  <c r="D15" i="15"/>
  <c r="D12" i="15" s="1"/>
  <c r="D11" i="15" s="1"/>
  <c r="D10" i="15"/>
  <c r="E20" i="3"/>
  <c r="H20" i="3" s="1"/>
  <c r="E15" i="3"/>
  <c r="D47" i="1"/>
  <c r="D45" i="1" s="1"/>
  <c r="F98" i="1"/>
  <c r="I102" i="1"/>
  <c r="I17" i="1"/>
  <c r="D8" i="1"/>
  <c r="H88" i="1"/>
  <c r="D44" i="1"/>
  <c r="D7" i="1" s="1"/>
  <c r="G14" i="7"/>
  <c r="G12" i="7"/>
  <c r="G11" i="7" s="1"/>
  <c r="H73" i="12"/>
  <c r="E15" i="13"/>
  <c r="E12" i="13" s="1"/>
  <c r="E11" i="13" s="1"/>
  <c r="E11" i="3"/>
  <c r="E11" i="16"/>
  <c r="H13" i="9"/>
  <c r="D9" i="12"/>
  <c r="H46" i="7"/>
  <c r="G52" i="1"/>
  <c r="I52" i="1" s="1"/>
  <c r="H21" i="3"/>
  <c r="E15" i="11"/>
  <c r="E10" i="11"/>
  <c r="E55" i="8"/>
  <c r="H56" i="8"/>
  <c r="F55" i="14"/>
  <c r="H57" i="14"/>
  <c r="H48" i="14"/>
  <c r="E47" i="14"/>
  <c r="E46" i="14" s="1"/>
  <c r="F15" i="10"/>
  <c r="F12" i="10" s="1"/>
  <c r="F11" i="10" s="1"/>
  <c r="F10" i="10"/>
  <c r="F15" i="9"/>
  <c r="D71" i="18"/>
  <c r="D67" i="18" s="1"/>
  <c r="D9" i="18" s="1"/>
  <c r="F47" i="1"/>
  <c r="I47" i="1" s="1"/>
  <c r="I49" i="1"/>
  <c r="E68" i="3"/>
  <c r="H69" i="3"/>
  <c r="F71" i="18"/>
  <c r="H13" i="10"/>
  <c r="H10" i="11"/>
  <c r="F12" i="7"/>
  <c r="F11" i="7" s="1"/>
  <c r="H72" i="4"/>
  <c r="G9" i="18"/>
  <c r="H75" i="15"/>
  <c r="E74" i="15"/>
  <c r="H74" i="15" s="1"/>
  <c r="F10" i="16"/>
  <c r="H13" i="16"/>
  <c r="F15" i="16"/>
  <c r="H10" i="13"/>
  <c r="H10" i="9"/>
  <c r="G11" i="18"/>
  <c r="H72" i="18"/>
  <c r="F9" i="16"/>
  <c r="E15" i="12"/>
  <c r="E12" i="12" s="1"/>
  <c r="E11" i="12" s="1"/>
  <c r="H21" i="10"/>
  <c r="D9" i="8"/>
  <c r="D47" i="9"/>
  <c r="D46" i="9" s="1"/>
  <c r="D9" i="9" s="1"/>
  <c r="E72" i="12"/>
  <c r="H10" i="6"/>
  <c r="D10" i="1"/>
  <c r="D9" i="1" s="1"/>
  <c r="D11" i="4"/>
  <c r="D12" i="4"/>
  <c r="H55" i="7"/>
  <c r="H21" i="16"/>
  <c r="H73" i="14"/>
  <c r="F71" i="12"/>
  <c r="F67" i="12" s="1"/>
  <c r="F88" i="1"/>
  <c r="I88" i="1" s="1"/>
  <c r="H57" i="10"/>
  <c r="F55" i="10"/>
  <c r="E71" i="14"/>
  <c r="H71" i="14" s="1"/>
  <c r="E10" i="16"/>
  <c r="E72" i="15"/>
  <c r="E71" i="15" s="1"/>
  <c r="E67" i="15" s="1"/>
  <c r="E15" i="8"/>
  <c r="D71" i="5"/>
  <c r="D67" i="5" s="1"/>
  <c r="D9" i="5" s="1"/>
  <c r="H57" i="3"/>
  <c r="D10" i="17"/>
  <c r="D15" i="17"/>
  <c r="D12" i="17" s="1"/>
  <c r="D11" i="17" s="1"/>
  <c r="F46" i="3"/>
  <c r="H46" i="3" s="1"/>
  <c r="H10" i="1"/>
  <c r="H9" i="1" s="1"/>
  <c r="H12" i="1"/>
  <c r="D9" i="15"/>
  <c r="G9" i="6"/>
  <c r="E15" i="18"/>
  <c r="E12" i="18" s="1"/>
  <c r="E11" i="18" s="1"/>
  <c r="E10" i="18"/>
  <c r="F55" i="18"/>
  <c r="H57" i="18"/>
  <c r="H48" i="15"/>
  <c r="E47" i="15"/>
  <c r="E81" i="16"/>
  <c r="H81" i="16" s="1"/>
  <c r="E72" i="16"/>
  <c r="H82" i="16"/>
  <c r="F82" i="1"/>
  <c r="F81" i="1" s="1"/>
  <c r="E47" i="18"/>
  <c r="H48" i="18"/>
  <c r="H57" i="8"/>
  <c r="F55" i="8"/>
  <c r="E10" i="5"/>
  <c r="H10" i="5" s="1"/>
  <c r="H75" i="7"/>
  <c r="E72" i="7"/>
  <c r="E74" i="7"/>
  <c r="H74" i="7" s="1"/>
  <c r="G11" i="4"/>
  <c r="G14" i="4"/>
  <c r="G12" i="4"/>
  <c r="H75" i="5"/>
  <c r="E72" i="5"/>
  <c r="F75" i="1"/>
  <c r="E74" i="5"/>
  <c r="H74" i="5" s="1"/>
  <c r="H47" i="5"/>
  <c r="D9" i="19"/>
  <c r="H47" i="13"/>
  <c r="H72" i="19"/>
  <c r="E71" i="19"/>
  <c r="E67" i="19" s="1"/>
  <c r="D10" i="14"/>
  <c r="D9" i="14"/>
  <c r="D15" i="14"/>
  <c r="D12" i="14" s="1"/>
  <c r="D11" i="14" s="1"/>
  <c r="H14" i="15"/>
  <c r="F15" i="15"/>
  <c r="H57" i="13"/>
  <c r="F55" i="13"/>
  <c r="H55" i="13" s="1"/>
  <c r="H30" i="16"/>
  <c r="F71" i="10"/>
  <c r="H57" i="11"/>
  <c r="F55" i="11"/>
  <c r="D10" i="11"/>
  <c r="D9" i="11"/>
  <c r="D15" i="11"/>
  <c r="D12" i="11" s="1"/>
  <c r="D11" i="11" s="1"/>
  <c r="H81" i="15"/>
  <c r="D11" i="10"/>
  <c r="H48" i="9"/>
  <c r="E47" i="9"/>
  <c r="H69" i="5"/>
  <c r="E68" i="5"/>
  <c r="F69" i="1"/>
  <c r="E55" i="4"/>
  <c r="H55" i="4" s="1"/>
  <c r="F56" i="1"/>
  <c r="F55" i="1" s="1"/>
  <c r="F15" i="6"/>
  <c r="H73" i="19"/>
  <c r="F71" i="19"/>
  <c r="H13" i="5"/>
  <c r="H10" i="3"/>
  <c r="F10" i="19"/>
  <c r="H10" i="19" s="1"/>
  <c r="H13" i="19"/>
  <c r="F15" i="19"/>
  <c r="E10" i="17"/>
  <c r="E15" i="17"/>
  <c r="E12" i="17" s="1"/>
  <c r="E11" i="17" s="1"/>
  <c r="D11" i="16"/>
  <c r="H57" i="9"/>
  <c r="F55" i="9"/>
  <c r="D9" i="13"/>
  <c r="D10" i="13"/>
  <c r="D15" i="13"/>
  <c r="D12" i="13" s="1"/>
  <c r="D11" i="13" s="1"/>
  <c r="H57" i="12"/>
  <c r="F55" i="12"/>
  <c r="F15" i="12"/>
  <c r="F12" i="12" s="1"/>
  <c r="F11" i="12" s="1"/>
  <c r="F10" i="12"/>
  <c r="H10" i="12" s="1"/>
  <c r="H75" i="6"/>
  <c r="E72" i="6"/>
  <c r="E74" i="6"/>
  <c r="H74" i="6" s="1"/>
  <c r="D10" i="18"/>
  <c r="D15" i="18"/>
  <c r="D12" i="18" s="1"/>
  <c r="D11" i="18" s="1"/>
  <c r="E47" i="17"/>
  <c r="H48" i="17"/>
  <c r="H56" i="18"/>
  <c r="E55" i="18"/>
  <c r="H47" i="16"/>
  <c r="E46" i="16"/>
  <c r="E15" i="14"/>
  <c r="E12" i="14" s="1"/>
  <c r="E11" i="14" s="1"/>
  <c r="E10" i="14"/>
  <c r="H10" i="14" s="1"/>
  <c r="H13" i="18"/>
  <c r="H56" i="17"/>
  <c r="E55" i="17"/>
  <c r="F71" i="15"/>
  <c r="E67" i="14"/>
  <c r="G11" i="10"/>
  <c r="G10" i="9"/>
  <c r="G9" i="9"/>
  <c r="G15" i="9"/>
  <c r="G12" i="9" s="1"/>
  <c r="G11" i="9" s="1"/>
  <c r="H48" i="8"/>
  <c r="E47" i="8"/>
  <c r="H72" i="11"/>
  <c r="E71" i="11"/>
  <c r="E67" i="11" s="1"/>
  <c r="F12" i="11"/>
  <c r="D11" i="9"/>
  <c r="H75" i="8"/>
  <c r="E72" i="8"/>
  <c r="E74" i="8"/>
  <c r="H74" i="8" s="1"/>
  <c r="F14" i="8"/>
  <c r="F12" i="8"/>
  <c r="H74" i="11"/>
  <c r="F67" i="7"/>
  <c r="F9" i="7" s="1"/>
  <c r="E15" i="7"/>
  <c r="H73" i="4"/>
  <c r="F71" i="4"/>
  <c r="E14" i="4"/>
  <c r="E12" i="4"/>
  <c r="E11" i="4"/>
  <c r="H21" i="7"/>
  <c r="H75" i="10"/>
  <c r="E72" i="10"/>
  <c r="E74" i="10"/>
  <c r="H74" i="10" s="1"/>
  <c r="H15" i="5"/>
  <c r="F12" i="5"/>
  <c r="F14" i="5"/>
  <c r="G13" i="1"/>
  <c r="I16" i="1"/>
  <c r="F14" i="3"/>
  <c r="F12" i="3"/>
  <c r="F11" i="3"/>
  <c r="H48" i="19"/>
  <c r="E47" i="19"/>
  <c r="H10" i="18"/>
  <c r="F15" i="17"/>
  <c r="F10" i="17"/>
  <c r="H13" i="17"/>
  <c r="H75" i="9"/>
  <c r="E72" i="9"/>
  <c r="E74" i="9"/>
  <c r="H74" i="9" s="1"/>
  <c r="F67" i="8"/>
  <c r="H73" i="11"/>
  <c r="F71" i="11"/>
  <c r="F67" i="5"/>
  <c r="H74" i="19"/>
  <c r="H57" i="19"/>
  <c r="F55" i="19"/>
  <c r="H21" i="19"/>
  <c r="H57" i="17"/>
  <c r="F55" i="17"/>
  <c r="F12" i="18"/>
  <c r="H73" i="17"/>
  <c r="F71" i="17"/>
  <c r="G9" i="16"/>
  <c r="H72" i="14"/>
  <c r="H73" i="13"/>
  <c r="F71" i="13"/>
  <c r="G9" i="15"/>
  <c r="G15" i="15"/>
  <c r="G12" i="15" s="1"/>
  <c r="G11" i="15" s="1"/>
  <c r="G10" i="15"/>
  <c r="G9" i="19"/>
  <c r="G10" i="19"/>
  <c r="G15" i="19"/>
  <c r="G12" i="19" s="1"/>
  <c r="G11" i="19" s="1"/>
  <c r="H72" i="13"/>
  <c r="E71" i="13"/>
  <c r="E67" i="13" s="1"/>
  <c r="E10" i="10"/>
  <c r="E15" i="10"/>
  <c r="H48" i="11"/>
  <c r="E47" i="11"/>
  <c r="F71" i="9"/>
  <c r="F56" i="5"/>
  <c r="E55" i="5"/>
  <c r="E46" i="5" s="1"/>
  <c r="H57" i="6"/>
  <c r="F55" i="6"/>
  <c r="E14" i="5"/>
  <c r="H48" i="6"/>
  <c r="E47" i="6"/>
  <c r="F46" i="1"/>
  <c r="H21" i="4"/>
  <c r="F15" i="4"/>
  <c r="G14" i="5"/>
  <c r="G12" i="5"/>
  <c r="G11" i="5" s="1"/>
  <c r="H56" i="12"/>
  <c r="E55" i="12"/>
  <c r="E46" i="12" s="1"/>
  <c r="H73" i="3"/>
  <c r="F71" i="3"/>
  <c r="G11" i="1"/>
  <c r="H72" i="17" l="1"/>
  <c r="E71" i="17"/>
  <c r="H11" i="12"/>
  <c r="E9" i="13"/>
  <c r="F18" i="1"/>
  <c r="F13" i="1"/>
  <c r="E12" i="6"/>
  <c r="E11" i="6" s="1"/>
  <c r="E14" i="6"/>
  <c r="H47" i="4"/>
  <c r="E46" i="4"/>
  <c r="E9" i="4" s="1"/>
  <c r="E14" i="3"/>
  <c r="E12" i="3"/>
  <c r="E12" i="11"/>
  <c r="E11" i="11" s="1"/>
  <c r="H15" i="11"/>
  <c r="H55" i="14"/>
  <c r="F46" i="14"/>
  <c r="H15" i="9"/>
  <c r="F12" i="9"/>
  <c r="F67" i="18"/>
  <c r="H67" i="18" s="1"/>
  <c r="H71" i="18"/>
  <c r="H15" i="16"/>
  <c r="F12" i="16"/>
  <c r="E71" i="12"/>
  <c r="E67" i="12" s="1"/>
  <c r="H72" i="12"/>
  <c r="E14" i="8"/>
  <c r="E12" i="8"/>
  <c r="H10" i="10"/>
  <c r="H47" i="14"/>
  <c r="H15" i="18"/>
  <c r="H68" i="3"/>
  <c r="E67" i="3"/>
  <c r="E9" i="3" s="1"/>
  <c r="H72" i="15"/>
  <c r="H10" i="16"/>
  <c r="H15" i="8"/>
  <c r="H71" i="12"/>
  <c r="H55" i="10"/>
  <c r="F46" i="10"/>
  <c r="H46" i="10" s="1"/>
  <c r="E9" i="14"/>
  <c r="F11" i="8"/>
  <c r="H11" i="8" s="1"/>
  <c r="F11" i="11"/>
  <c r="H11" i="11" s="1"/>
  <c r="H12" i="11"/>
  <c r="H46" i="16"/>
  <c r="F14" i="6"/>
  <c r="H14" i="6" s="1"/>
  <c r="F12" i="6"/>
  <c r="H15" i="6"/>
  <c r="E71" i="7"/>
  <c r="H72" i="7"/>
  <c r="H55" i="8"/>
  <c r="F46" i="8"/>
  <c r="H46" i="14"/>
  <c r="F9" i="14"/>
  <c r="H71" i="13"/>
  <c r="F67" i="13"/>
  <c r="H67" i="13" s="1"/>
  <c r="F11" i="18"/>
  <c r="H11" i="18" s="1"/>
  <c r="H12" i="18"/>
  <c r="H55" i="19"/>
  <c r="F46" i="19"/>
  <c r="H10" i="17"/>
  <c r="E46" i="19"/>
  <c r="E9" i="19" s="1"/>
  <c r="H47" i="19"/>
  <c r="H46" i="4"/>
  <c r="H71" i="15"/>
  <c r="F67" i="15"/>
  <c r="H12" i="16"/>
  <c r="F11" i="16"/>
  <c r="H11" i="16" s="1"/>
  <c r="E46" i="17"/>
  <c r="E9" i="17" s="1"/>
  <c r="H47" i="17"/>
  <c r="H67" i="14"/>
  <c r="H55" i="11"/>
  <c r="F46" i="11"/>
  <c r="H15" i="15"/>
  <c r="F12" i="15"/>
  <c r="F74" i="1"/>
  <c r="F72" i="1"/>
  <c r="H47" i="15"/>
  <c r="E46" i="15"/>
  <c r="H15" i="4"/>
  <c r="F12" i="4"/>
  <c r="H12" i="4" s="1"/>
  <c r="F11" i="4"/>
  <c r="H11" i="4" s="1"/>
  <c r="F14" i="4"/>
  <c r="H14" i="4" s="1"/>
  <c r="E12" i="10"/>
  <c r="H15" i="10"/>
  <c r="E71" i="9"/>
  <c r="H72" i="9"/>
  <c r="F11" i="5"/>
  <c r="H11" i="5" s="1"/>
  <c r="H12" i="5"/>
  <c r="E14" i="7"/>
  <c r="H14" i="7" s="1"/>
  <c r="E12" i="7"/>
  <c r="H15" i="7"/>
  <c r="E71" i="8"/>
  <c r="H72" i="8"/>
  <c r="H68" i="5"/>
  <c r="E67" i="5"/>
  <c r="E9" i="5" s="1"/>
  <c r="H55" i="18"/>
  <c r="F46" i="18"/>
  <c r="G56" i="5"/>
  <c r="F55" i="5"/>
  <c r="G56" i="1"/>
  <c r="H56" i="5"/>
  <c r="H71" i="3"/>
  <c r="F67" i="3"/>
  <c r="F45" i="1"/>
  <c r="I46" i="1"/>
  <c r="H55" i="6"/>
  <c r="F46" i="6"/>
  <c r="F67" i="9"/>
  <c r="F67" i="17"/>
  <c r="H55" i="17"/>
  <c r="F46" i="17"/>
  <c r="G12" i="1"/>
  <c r="G10" i="1"/>
  <c r="H71" i="4"/>
  <c r="F67" i="4"/>
  <c r="H14" i="8"/>
  <c r="H55" i="12"/>
  <c r="F46" i="12"/>
  <c r="H15" i="19"/>
  <c r="F12" i="19"/>
  <c r="H71" i="19"/>
  <c r="F67" i="19"/>
  <c r="H67" i="19" s="1"/>
  <c r="E46" i="9"/>
  <c r="H47" i="9"/>
  <c r="E71" i="5"/>
  <c r="H71" i="5" s="1"/>
  <c r="H72" i="5"/>
  <c r="E71" i="16"/>
  <c r="H72" i="16"/>
  <c r="F67" i="10"/>
  <c r="F11" i="14"/>
  <c r="H11" i="14" s="1"/>
  <c r="H12" i="14"/>
  <c r="G8" i="1"/>
  <c r="I8" i="1" s="1"/>
  <c r="I11" i="1"/>
  <c r="E46" i="6"/>
  <c r="H47" i="6"/>
  <c r="H47" i="11"/>
  <c r="E46" i="11"/>
  <c r="E9" i="11" s="1"/>
  <c r="H71" i="11"/>
  <c r="F67" i="11"/>
  <c r="H67" i="11" s="1"/>
  <c r="F12" i="17"/>
  <c r="H15" i="17"/>
  <c r="H14" i="5"/>
  <c r="E71" i="10"/>
  <c r="E67" i="10" s="1"/>
  <c r="E9" i="10" s="1"/>
  <c r="H72" i="10"/>
  <c r="E46" i="8"/>
  <c r="H47" i="8"/>
  <c r="E71" i="6"/>
  <c r="H72" i="6"/>
  <c r="H55" i="9"/>
  <c r="F46" i="9"/>
  <c r="F12" i="1"/>
  <c r="F10" i="1"/>
  <c r="F9" i="1" s="1"/>
  <c r="I69" i="1"/>
  <c r="F68" i="1"/>
  <c r="H15" i="14"/>
  <c r="F46" i="13"/>
  <c r="E46" i="18"/>
  <c r="E9" i="18" s="1"/>
  <c r="H47" i="18"/>
  <c r="E9" i="12" l="1"/>
  <c r="H67" i="12"/>
  <c r="E67" i="17"/>
  <c r="H67" i="17" s="1"/>
  <c r="H71" i="17"/>
  <c r="F11" i="9"/>
  <c r="H11" i="9" s="1"/>
  <c r="H12" i="9"/>
  <c r="E11" i="8"/>
  <c r="H12" i="8"/>
  <c r="E67" i="9"/>
  <c r="H71" i="9"/>
  <c r="H67" i="9"/>
  <c r="E9" i="9"/>
  <c r="H9" i="14"/>
  <c r="H12" i="19"/>
  <c r="F11" i="19"/>
  <c r="H11" i="19" s="1"/>
  <c r="I56" i="1"/>
  <c r="G55" i="1"/>
  <c r="E67" i="8"/>
  <c r="H67" i="8" s="1"/>
  <c r="H71" i="8"/>
  <c r="H46" i="11"/>
  <c r="F9" i="11"/>
  <c r="H9" i="11" s="1"/>
  <c r="H46" i="13"/>
  <c r="F9" i="13"/>
  <c r="H9" i="13" s="1"/>
  <c r="F11" i="17"/>
  <c r="H11" i="17" s="1"/>
  <c r="H12" i="17"/>
  <c r="H67" i="3"/>
  <c r="F9" i="3"/>
  <c r="H9" i="3" s="1"/>
  <c r="E11" i="10"/>
  <c r="H11" i="10" s="1"/>
  <c r="H12" i="10"/>
  <c r="E67" i="7"/>
  <c r="H71" i="7"/>
  <c r="H67" i="10"/>
  <c r="F9" i="10"/>
  <c r="H9" i="10" s="1"/>
  <c r="H46" i="12"/>
  <c r="F9" i="12"/>
  <c r="H9" i="12" s="1"/>
  <c r="H67" i="5"/>
  <c r="G55" i="5"/>
  <c r="G46" i="5" s="1"/>
  <c r="G9" i="5" s="1"/>
  <c r="H56" i="1"/>
  <c r="H55" i="1" s="1"/>
  <c r="H44" i="1" s="1"/>
  <c r="H7" i="1" s="1"/>
  <c r="E11" i="7"/>
  <c r="H11" i="7" s="1"/>
  <c r="H12" i="7"/>
  <c r="E9" i="15"/>
  <c r="H46" i="15"/>
  <c r="H12" i="15"/>
  <c r="F11" i="15"/>
  <c r="H11" i="15" s="1"/>
  <c r="H46" i="19"/>
  <c r="F9" i="19"/>
  <c r="H9" i="19" s="1"/>
  <c r="F9" i="8"/>
  <c r="H46" i="8"/>
  <c r="F44" i="1"/>
  <c r="I45" i="1"/>
  <c r="F71" i="1"/>
  <c r="I71" i="1" s="1"/>
  <c r="I72" i="1"/>
  <c r="H67" i="15"/>
  <c r="F9" i="15"/>
  <c r="E67" i="16"/>
  <c r="H71" i="16"/>
  <c r="I10" i="1"/>
  <c r="G9" i="1"/>
  <c r="I9" i="1" s="1"/>
  <c r="H46" i="6"/>
  <c r="F9" i="6"/>
  <c r="F46" i="5"/>
  <c r="H55" i="5"/>
  <c r="E67" i="6"/>
  <c r="H67" i="6" s="1"/>
  <c r="H71" i="6"/>
  <c r="I68" i="1"/>
  <c r="F9" i="9"/>
  <c r="H9" i="9" s="1"/>
  <c r="H46" i="9"/>
  <c r="H71" i="10"/>
  <c r="H67" i="4"/>
  <c r="F9" i="4"/>
  <c r="H9" i="4" s="1"/>
  <c r="H46" i="17"/>
  <c r="F9" i="17"/>
  <c r="H9" i="17" s="1"/>
  <c r="H46" i="18"/>
  <c r="F9" i="18"/>
  <c r="H9" i="18" s="1"/>
  <c r="F11" i="6"/>
  <c r="H11" i="6" s="1"/>
  <c r="H12" i="6"/>
  <c r="H9" i="15" l="1"/>
  <c r="E9" i="7"/>
  <c r="H9" i="7" s="1"/>
  <c r="H67" i="7"/>
  <c r="H67" i="16"/>
  <c r="E9" i="16"/>
  <c r="H9" i="16" s="1"/>
  <c r="E9" i="6"/>
  <c r="H9" i="6" s="1"/>
  <c r="F67" i="1"/>
  <c r="I67" i="1" s="1"/>
  <c r="H46" i="5"/>
  <c r="F9" i="5"/>
  <c r="H9" i="5" s="1"/>
  <c r="I55" i="1"/>
  <c r="G44" i="1"/>
  <c r="E9" i="8"/>
  <c r="H9" i="8" s="1"/>
  <c r="F7" i="1" l="1"/>
  <c r="M7" i="1" s="1"/>
  <c r="I44" i="1"/>
  <c r="G7" i="1"/>
  <c r="I7" i="1" s="1"/>
  <c r="I124" i="2"/>
  <c r="H124" i="2"/>
  <c r="F124" i="2"/>
</calcChain>
</file>

<file path=xl/sharedStrings.xml><?xml version="1.0" encoding="utf-8"?>
<sst xmlns="http://schemas.openxmlformats.org/spreadsheetml/2006/main" count="4802" uniqueCount="289">
  <si>
    <t>Phụ biểu số 01</t>
  </si>
  <si>
    <t>TÌNH HÌNH THỰC HIỆN SẢN XUẤT NÔNG NGHIỆP - THỦY SẢN TRÊN ĐỊA BÀN XÃ TU MƠ RÔNG 6 THÁNG ĐẦU NĂM 2026</t>
  </si>
  <si>
    <t>(Kèm theo Báo cáo số        /BC-UBND, Ngày      tháng 6 năm 2026 của UBND xã Tu Mơ Rông)</t>
  </si>
  <si>
    <t>STT</t>
  </si>
  <si>
    <t>Chỉ tiêu</t>
  </si>
  <si>
    <t>ĐVT</t>
  </si>
  <si>
    <t>Thực hiện 
năm 2025</t>
  </si>
  <si>
    <t>Kế hoạch Tỉnh Giao năm 2026</t>
  </si>
  <si>
    <t>Năm 2026</t>
  </si>
  <si>
    <t>Ghi Chú</t>
  </si>
  <si>
    <t>Tổng số hộ</t>
  </si>
  <si>
    <t>Kế hoạch</t>
  </si>
  <si>
    <t>Ước thực hiện
 6 tháng đầu năm</t>
  </si>
  <si>
    <t>Ước thực hiện 06 tháng cuối năm</t>
  </si>
  <si>
    <t>So với 
Kế hoạch (%)</t>
  </si>
  <si>
    <t>Tổng số nhân khẩu</t>
  </si>
  <si>
    <t>A</t>
  </si>
  <si>
    <t>TRỒNG TRỌT</t>
  </si>
  <si>
    <t>Ha</t>
  </si>
  <si>
    <t>Cây lương thực</t>
  </si>
  <si>
    <t>Tổng sản lượng lương thực có hạt</t>
  </si>
  <si>
    <t>Tấn</t>
  </si>
  <si>
    <t>Trong đó: Lúa</t>
  </si>
  <si>
    <t>1.1</t>
  </si>
  <si>
    <t>Lúa cả năm</t>
  </si>
  <si>
    <t xml:space="preserve">   Năng suất</t>
  </si>
  <si>
    <t>Tạ/ha</t>
  </si>
  <si>
    <t xml:space="preserve">   Sản lượng</t>
  </si>
  <si>
    <t>a</t>
  </si>
  <si>
    <t>Lúa Đông Xuân</t>
  </si>
  <si>
    <t>b</t>
  </si>
  <si>
    <t>Lúa mùa</t>
  </si>
  <si>
    <t>*</t>
  </si>
  <si>
    <t>Lúa ruộng</t>
  </si>
  <si>
    <t>Lúa rẫy</t>
  </si>
  <si>
    <t>1.2</t>
  </si>
  <si>
    <t>Ngô cả năm</t>
  </si>
  <si>
    <t>Ngô vụ Đông xuân</t>
  </si>
  <si>
    <t>Ngô vụ mùa</t>
  </si>
  <si>
    <t>Sắn</t>
  </si>
  <si>
    <t>Đậu</t>
  </si>
  <si>
    <t>Cây rau các loại</t>
  </si>
  <si>
    <t>Cây lâu năm</t>
  </si>
  <si>
    <t>5.1</t>
  </si>
  <si>
    <t>Cà phê</t>
  </si>
  <si>
    <t xml:space="preserve">Diện tích hiện có </t>
  </si>
  <si>
    <t>Diện trồng mới</t>
  </si>
  <si>
    <t>-</t>
  </si>
  <si>
    <t>Trồng mới cà phê xứ lạnh</t>
  </si>
  <si>
    <t>Trồng mới cà phê Vối</t>
  </si>
  <si>
    <t>Diện tích cho thu hoạch</t>
  </si>
  <si>
    <t>Cà phê xứ lạnh</t>
  </si>
  <si>
    <t>Cà phê Vối</t>
  </si>
  <si>
    <t>5.2</t>
  </si>
  <si>
    <t>Cây ăn quả</t>
  </si>
  <si>
    <t>Diện tích cho thu hoạch (Hiện có)</t>
  </si>
  <si>
    <t>Diện tích dự kiến trồng mới</t>
  </si>
  <si>
    <t>Trồng mới cây ăn quả lâu năm</t>
  </si>
  <si>
    <t>DT trồng mới sầu riêng, mít, riêng, bơ, xoài…...</t>
  </si>
  <si>
    <t>DT trồng mới cây Cây có múi (Cam, chanh, bưởi …..)</t>
  </si>
  <si>
    <t>Trồng mới cây ăn quả hằng năm</t>
  </si>
  <si>
    <t>Diện tích trồng mới cây Dứa, Chuối, …....</t>
  </si>
  <si>
    <t>Các loại cây trồng hằng năm khác …</t>
  </si>
  <si>
    <t>5.3</t>
  </si>
  <si>
    <t>Cây Mắc ca</t>
  </si>
  <si>
    <t>Trồng mới</t>
  </si>
  <si>
    <t>Dược liệu</t>
  </si>
  <si>
    <t>6.1</t>
  </si>
  <si>
    <t>Sâm Ngọc Linh</t>
  </si>
  <si>
    <t xml:space="preserve">Tổng diện tích Sâm Ngọc Linh hiện có </t>
  </si>
  <si>
    <t>Trong đó: dự kiến Trồng mới</t>
  </si>
  <si>
    <t>(Thôn Tu Mơ Rông trồng 0,25ha; Thôn Đăk Chum I trồng 2,99ha)</t>
  </si>
  <si>
    <t>6.2</t>
  </si>
  <si>
    <t>Tổng diện tích dược liệu khác</t>
  </si>
  <si>
    <t xml:space="preserve">Tổng diện tích dược liệu khác hiện có </t>
  </si>
  <si>
    <t>Giảm do thu hoạch</t>
  </si>
  <si>
    <t>Cây Dược liệu khác trồng mới</t>
  </si>
  <si>
    <t>Cây Dược liệu lâu năm</t>
  </si>
  <si>
    <t>+</t>
  </si>
  <si>
    <t>Dự kiến Trồng mới</t>
  </si>
  <si>
    <t>Cây Đảng sâm (Sâm Dây)</t>
  </si>
  <si>
    <t>Sơn Tra</t>
  </si>
  <si>
    <t xml:space="preserve">Ngũ vị tử </t>
  </si>
  <si>
    <t>Dược liệu khác lâu năm ……..</t>
  </si>
  <si>
    <t>Cây Dược liệu hàng năm khác</t>
  </si>
  <si>
    <t>Diện tích hiện có cuối năm</t>
  </si>
  <si>
    <t xml:space="preserve">Gừng </t>
  </si>
  <si>
    <t>Sả</t>
  </si>
  <si>
    <t>Nghệ</t>
  </si>
  <si>
    <t>Dược liệu khác hằng năm……..</t>
  </si>
  <si>
    <t>B</t>
  </si>
  <si>
    <t>CHĂN NUÔI 
(Trâu, bò, lợn)</t>
  </si>
  <si>
    <t>Trâu</t>
  </si>
  <si>
    <t>Con</t>
  </si>
  <si>
    <t>Bò</t>
  </si>
  <si>
    <t>Tỷ trọng bò lai</t>
  </si>
  <si>
    <t>%</t>
  </si>
  <si>
    <t>Lợn</t>
  </si>
  <si>
    <t>Dê</t>
  </si>
  <si>
    <t>Gia cầm</t>
  </si>
  <si>
    <t>C</t>
  </si>
  <si>
    <t>THỦY SẢN</t>
  </si>
  <si>
    <t>Diện tích nuôi ao hồ nhỏ</t>
  </si>
  <si>
    <t xml:space="preserve">Sản lượng </t>
  </si>
  <si>
    <t>D</t>
  </si>
  <si>
    <t>LÂM NGHIỆP</t>
  </si>
  <si>
    <t>Diện tích trồng mới rừng tập trung</t>
  </si>
  <si>
    <t>- Rừng phòng hộ</t>
  </si>
  <si>
    <t>- Rừng sản xuất</t>
  </si>
  <si>
    <t>Trồng rừng phân tán</t>
  </si>
  <si>
    <t>Diện tích quy hoạch 03 loại rừng</t>
  </si>
  <si>
    <t>"</t>
  </si>
  <si>
    <t xml:space="preserve">CHỈ TIÊU, KẾ HOẠCH PHÁT TRIỂN VĂN HÓA - XÃ HỘI, QUỐC PHÒNG - AN NINH  TRÊN ĐỊA BÀN XÃ TU MƠ RÔNG 6 THÁNG ĐẦU NĂM 2026                   </t>
  </si>
  <si>
    <t>TT</t>
  </si>
  <si>
    <t>Đơn vị tính</t>
  </si>
  <si>
    <t>Kế hoạch Tỉnh Giao 2026</t>
  </si>
  <si>
    <t xml:space="preserve">Ghi chú
</t>
  </si>
  <si>
    <t>Tổng thu ngân sách nhà nước trên địa bàn</t>
  </si>
  <si>
    <t>Triệu đồng</t>
  </si>
  <si>
    <t xml:space="preserve">Tốc độ tăng tổng thu ngân sách nhà nước trên địa bàn bình quân </t>
  </si>
  <si>
    <t>2-3%</t>
  </si>
  <si>
    <t>Tốc độ tăng tổng giá trị sản phẩm hằng năm</t>
  </si>
  <si>
    <t>Dân số, Lương thực bình quân</t>
  </si>
  <si>
    <t>Dân số có mặt đầu năm</t>
  </si>
  <si>
    <t>Người</t>
  </si>
  <si>
    <t>Dân số có mặt cuối năm</t>
  </si>
  <si>
    <t xml:space="preserve">Dân số trung bình trong năm </t>
  </si>
  <si>
    <t>Lương thực bình quân đầu người</t>
  </si>
  <si>
    <t>Kg</t>
  </si>
  <si>
    <t>Tuổi thọ trung bình</t>
  </si>
  <si>
    <t>Tuổi</t>
  </si>
  <si>
    <t>Tỷ lệ giới tính của trẻ em mới sinh, số bé trai/100 bé gái</t>
  </si>
  <si>
    <t>Lao động và việc làm</t>
  </si>
  <si>
    <t xml:space="preserve">Tỷ lệ lao động qua đào tạo </t>
  </si>
  <si>
    <t xml:space="preserve">Trong đó, tỷ lệ lao động được đào tạo nghề </t>
  </si>
  <si>
    <t>Số người trong độ tuổi lao động</t>
  </si>
  <si>
    <t>Tỷ lệ lao động từ 15 tuổi trở lên đang làm việc so với tổng dân số</t>
  </si>
  <si>
    <r>
      <rPr>
        <b/>
        <sz val="11"/>
        <color theme="1"/>
        <rFont val="Times New Roman"/>
        <family val="1"/>
      </rPr>
      <t xml:space="preserve">Giảm nghèo </t>
    </r>
    <r>
      <rPr>
        <b/>
        <i/>
        <sz val="11"/>
        <color theme="1"/>
        <rFont val="Times New Roman"/>
        <family val="1"/>
      </rPr>
      <t>(theo chuẩn nghèo tiếp cận đa chiều)</t>
    </r>
  </si>
  <si>
    <t>Hộ</t>
  </si>
  <si>
    <t>Số hộ nghèo</t>
  </si>
  <si>
    <t xml:space="preserve">Số hộ Nghèo giảm </t>
  </si>
  <si>
    <t>Tỷ lệ hộ nghèo</t>
  </si>
  <si>
    <t>Giáo dục và Đào tạo</t>
  </si>
  <si>
    <t>Tổng số học sinh có mặt từ đầu năm</t>
  </si>
  <si>
    <t>Học sinh</t>
  </si>
  <si>
    <t>Nhà trẻ</t>
  </si>
  <si>
    <t>Mẫu giáo</t>
  </si>
  <si>
    <t>Tiểu học</t>
  </si>
  <si>
    <t>Trung học cơ sở</t>
  </si>
  <si>
    <t>Tỷ lệ học sinh đi học đúng độ tuổi</t>
  </si>
  <si>
    <t>Trung học phổ thông</t>
  </si>
  <si>
    <t>Tỷ lệ học sinh tốt nghiệp THCS, THPT chuyển sang học nghề</t>
  </si>
  <si>
    <t>Tỷ lệ trường đạt chuẩn quốc gia</t>
  </si>
  <si>
    <t>Tỷ lệ huy động học sinh ra lớp ở các cấp</t>
  </si>
  <si>
    <t>Mầm non</t>
  </si>
  <si>
    <t>Giáo viên đạt chuẩn về trình độ đào tạo, không có giáo viên năng lực yếu, kém</t>
  </si>
  <si>
    <t>Giáo viên</t>
  </si>
  <si>
    <t>Y tế</t>
  </si>
  <si>
    <t>Tỷ lệ bao phủ y tế /dân số trung bình</t>
  </si>
  <si>
    <t>Tỷ lệ bao phủ bảo hiểm xã hội so với lực lượng lao động</t>
  </si>
  <si>
    <t>Trong đó: Tỷ lệ bao phủ bảo hiểm tự nguyện/LLLĐ tham gia</t>
  </si>
  <si>
    <t>Tỷ lệ bao phủ bảo hiểm thất nghiệp so với lực lượng lao động</t>
  </si>
  <si>
    <t>Tổng số giường bệnh</t>
  </si>
  <si>
    <t>Giường</t>
  </si>
  <si>
    <t>Trung tâm y tế</t>
  </si>
  <si>
    <t>Trạm y tế</t>
  </si>
  <si>
    <t>Tỷ lệ Trạm y tế xã đạt chuẩn quốc gia, có bác sỹ</t>
  </si>
  <si>
    <t>Số bác sỹ/10.000 dân</t>
  </si>
  <si>
    <t xml:space="preserve">Số giường bệnh công lập/10.000 dân </t>
  </si>
  <si>
    <t>Tỷ lệ xã đạt bộ tiêu chí quốc gia về y tế xã</t>
  </si>
  <si>
    <t>Tỷ lệ trạm y tế xã có bác sỹ làm việc</t>
  </si>
  <si>
    <t>Tỷ lệ trẻ em &lt; 5 tuổi suy dinh dưỡng thể thấp còi</t>
  </si>
  <si>
    <t>30,7</t>
  </si>
  <si>
    <t>30,9</t>
  </si>
  <si>
    <t>Tỷ lệ trẻ em dưới 5 tuổi suy dinh dưỡng thể nhẹ cân</t>
  </si>
  <si>
    <t>16,6</t>
  </si>
  <si>
    <t>16,7</t>
  </si>
  <si>
    <t>Số ca ngộ độc thực phẩm cấp tỉnh trong vụ ngộ độc ghi nhận/100.000 dân</t>
  </si>
  <si>
    <t>Ca</t>
  </si>
  <si>
    <t>Tỷ lệ phụ nữ đẻ được khám thai ít nhất 4 lần trong 3 thời kì</t>
  </si>
  <si>
    <t>Tỷ lệ thôn, làng có cô đỡ</t>
  </si>
  <si>
    <t>Tỷ lệ bà mẹ và trẻ sơ sinh được chăm sóc sau sinh</t>
  </si>
  <si>
    <t>Tỷ lệ phụ nữ đẻ được cán bộ có kỹ năng đỡ</t>
  </si>
  <si>
    <t>Tỷ lệ phụ nữ DTTS đẻ được cán bộ y tế đỡ</t>
  </si>
  <si>
    <t>Tỷ lệ hộ gia đình ở nông thôn có nhà tiêu hợp vệ sinh</t>
  </si>
  <si>
    <t>Tỷ lệ hộ gia đình có nhà tiêu hợp vệ sinh</t>
  </si>
  <si>
    <t>Tỷ suất mắc bệnh truyền nhiễm gây dịch được báo cáo trong năm trên 100.000 dân</t>
  </si>
  <si>
    <t>Tỷ lệ phụ nữ có thai được tiêm phòng đủ Vắc xin phòng uốn ván</t>
  </si>
  <si>
    <t>Tỷ lệ trẻ dưới 1 tuổi được tiêm chủng đầy đủ</t>
  </si>
  <si>
    <t>Du lịch, Văn hoá, thể thao, thông tin</t>
  </si>
  <si>
    <t>Tổng lượt khách</t>
  </si>
  <si>
    <t>L/Khách</t>
  </si>
  <si>
    <t>Khách quốc tế</t>
  </si>
  <si>
    <t>Khách Nội Địa</t>
  </si>
  <si>
    <t>Doanh Thu</t>
  </si>
  <si>
    <t>Tỷ đồng</t>
  </si>
  <si>
    <t>Điểm du lịch văn hoá</t>
  </si>
  <si>
    <t>Điểm</t>
  </si>
  <si>
    <t>Làng bảo tồn văn hoá truyền thống</t>
  </si>
  <si>
    <t>Làng</t>
  </si>
  <si>
    <t>Làng du lịch đạt chuẩn quốc gia</t>
  </si>
  <si>
    <t>Tỷ lệ xã có nhà văn hóa</t>
  </si>
  <si>
    <t>Tỷ lệ thôn, làng đạt danh hiệu văn hóa</t>
  </si>
  <si>
    <t>Tỷ lệ gia đình đạt danh hiệu gia đình văn hoá</t>
  </si>
  <si>
    <t>Tỷ lệ gia đình đạt tiêu chuẩn gia đình thể thao</t>
  </si>
  <si>
    <t>Số thôn triển khai chương trình hành động vì trẻ em</t>
  </si>
  <si>
    <t>Thôn</t>
  </si>
  <si>
    <t>Tỷ lệ nhà ở kiên cố, bán kiên cố</t>
  </si>
  <si>
    <t>Hợp tác xã</t>
  </si>
  <si>
    <t>Tổng số hợp tác xã</t>
  </si>
  <si>
    <t>HTX</t>
  </si>
  <si>
    <t>+ Số hợp tác xã thành lập mới</t>
  </si>
  <si>
    <t>+ Số hợp tác xã giải thể</t>
  </si>
  <si>
    <t>Tổng số lao động trong hợp tác xã</t>
  </si>
  <si>
    <t>Tỷ lệ hộ dân tộc thiểu số tham gia vào hợp tác xã</t>
  </si>
  <si>
    <t xml:space="preserve">Tổ hợp tác </t>
  </si>
  <si>
    <t>Tổng số tổ hợp tác</t>
  </si>
  <si>
    <t>THT</t>
  </si>
  <si>
    <t xml:space="preserve">Tổng số thành viên tổ hợp tác </t>
  </si>
  <si>
    <t>Công nghiệp</t>
  </si>
  <si>
    <t>Khai thác đá, cát, sỏi các loại</t>
  </si>
  <si>
    <t>M3</t>
  </si>
  <si>
    <t>Điện Thương Phẩm</t>
  </si>
  <si>
    <t>Triệu KW/H</t>
  </si>
  <si>
    <t>Tổng mức bán lẻ hàng hoá và doanh thu dịch vụ</t>
  </si>
  <si>
    <t>Xây dựng Nông Thôn Mới</t>
  </si>
  <si>
    <t>Tiêu chí đạt chuẩn NTM</t>
  </si>
  <si>
    <t>tiêu chí</t>
  </si>
  <si>
    <t>Tỷ lệ xã đạt chuẩn NTM</t>
  </si>
  <si>
    <t>Tỷ lệ hộ dân được sử dụng điện</t>
  </si>
  <si>
    <t>Tỷ lệ hộ dân tộc thiểu số có đất ở</t>
  </si>
  <si>
    <t>Tỷ lệ hộ dân tộc thiểu số có đất sản xuất</t>
  </si>
  <si>
    <t>Chỉ tiêu về môi trường</t>
  </si>
  <si>
    <t>Tỷ lệ rác thải sinh hoạt ở nông thôn được thu gom và xử lý</t>
  </si>
  <si>
    <t>Tỷ lệ thu gom chất thải rắn sinh hoạt</t>
  </si>
  <si>
    <t>Tỷ lệ hộ gia đình ở khu vực nông thôn sử dụng nước hợp vệ sinh</t>
  </si>
  <si>
    <t>Tỷ lệ dân số được sử dụng nước sạch</t>
  </si>
  <si>
    <t>Diện tích tưới tiêu</t>
  </si>
  <si>
    <t>ha</t>
  </si>
  <si>
    <t>- Trong đó: Tưới bằng công trình kiên cố</t>
  </si>
  <si>
    <t>Chỉ tiêu Quốc phòng, an ninh</t>
  </si>
  <si>
    <t>Tỷ lệ giao quân, tuyển chọn gọi công dân nhập ngũ hằng năm</t>
  </si>
  <si>
    <t>Tỷ lệ giải quyết tố giác, tin báo về tội phạm, kiến nghị khởi tố</t>
  </si>
  <si>
    <t>Tỷ lệ điều tra, khám phá án</t>
  </si>
  <si>
    <t>Trong đó: án đặc biệt nghiêm trọng</t>
  </si>
  <si>
    <t>Tỷ lệ xã mạnh về phong trào toàn dân bảo vệ an ninh Tổ quốc</t>
  </si>
  <si>
    <t>Tỷ lệ xã, khu dân cư, cơ quan, trường học đạt tiêu chuẩn an toàn về an ninh trật tự</t>
  </si>
  <si>
    <t>Tỷ lệ giải quyết tin báo, tin tố giác tội phạm, kiến nghị khởi tố hằng năm</t>
  </si>
  <si>
    <t>Tỷ lệ xã mạnh về phong trào toàn dân bảo vệ an ninh tổ quốc; xã khu dân cư, cơ quan trường học đạt tiêu chuẩn an toàn về an ninh trật tự</t>
  </si>
  <si>
    <t xml:space="preserve">Tỷ lệ Đảng viên trong lực lượng dân quân tự vệ </t>
  </si>
  <si>
    <t>Xã Có thao trường bắn, huấn luyện</t>
  </si>
  <si>
    <t>Thao trường</t>
  </si>
  <si>
    <t>Chỉ tiêu về xây dựng Đảng và hệ thống chính trị</t>
  </si>
  <si>
    <t>Kết nạp Đảng viên mới</t>
  </si>
  <si>
    <t>Đảng viên</t>
  </si>
  <si>
    <t>Tỷ lệ TCCS Đảng hoàn thành tốt nhiệm vụ</t>
  </si>
  <si>
    <t>Quần chúng được tập hợp vào các đoàn thể chính trị-xã hội</t>
  </si>
  <si>
    <t>Tỷ lệ thôn trưởng là đảng viên</t>
  </si>
  <si>
    <t>Tỷ lệ Bí thư chi bộ kiểm thôn trưởng</t>
  </si>
  <si>
    <t xml:space="preserve">TÌNH HÌNH THỰC HIỆN SẢN XUẤT NÔNG NGHIỆP - THỦY SẢN </t>
  </si>
  <si>
    <t>THÔN TU MƠ RÔNG</t>
  </si>
  <si>
    <t>Thực hiện
 Tháng 03</t>
  </si>
  <si>
    <t>Ước thực hiện 
Tháng 04</t>
  </si>
  <si>
    <t>Diện tích trồng mới rừng</t>
  </si>
  <si>
    <t>THÔN LONG LEO</t>
  </si>
  <si>
    <t>Ghi chú</t>
  </si>
  <si>
    <t>Thực hiện
 Tháng 05</t>
  </si>
  <si>
    <t>Ước thực hiện 
Tháng 06</t>
  </si>
  <si>
    <t>THÔN ĐĂK CHUM I</t>
  </si>
  <si>
    <t>THÔN ĐĂK CHUM II</t>
  </si>
  <si>
    <t>THÔN TU CẤP</t>
  </si>
  <si>
    <t>THÔN ĐĂK KA</t>
  </si>
  <si>
    <t>THÔN VĂN SANG</t>
  </si>
  <si>
    <t>THÔN ĐĂK NEANG</t>
  </si>
  <si>
    <t>THÔN NGỌC LEANG</t>
  </si>
  <si>
    <t>THÔN ĐĂK SIÊNG</t>
  </si>
  <si>
    <t>THÔN KON TUN</t>
  </si>
  <si>
    <t>THÔN MÔ PẢ</t>
  </si>
  <si>
    <t>THÔN TY TU</t>
  </si>
  <si>
    <t>THÔN KON LING</t>
  </si>
  <si>
    <t>THÔN ĐĂK PỜ TRANG</t>
  </si>
  <si>
    <t>THÔN KON PIA</t>
  </si>
  <si>
    <t xml:space="preserve"> </t>
  </si>
  <si>
    <t>THÔN ĐĂK HÀ</t>
  </si>
  <si>
    <t>Đánh giá cuối năm</t>
  </si>
  <si>
    <t>Thuộc Sở GD&amp;ĐT theo dõi</t>
  </si>
  <si>
    <t>Chưa đánh giá</t>
  </si>
  <si>
    <t>Trồng mới cà phê xứ lạnh (Catimo)</t>
  </si>
  <si>
    <t>Trong đó: có 3 HTX 
đang tạm ngưng hoạt động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</si>
</sst>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_-;\-* #,##0_-;_-* &quot;-&quot;??_-;_-@"/>
    <numFmt numFmtId="165" formatCode="_-* #,##0.00_-;\-* #,##0.00_-;_-* &quot;-&quot;??_-;_-@"/>
    <numFmt numFmtId="166" formatCode="_-* #,##0.00\ _₫_-;\-* #,##0.00\ _₫_-;_-* &quot;-&quot;??\ _₫_-;_-@"/>
    <numFmt numFmtId="167" formatCode="0.0000000000"/>
    <numFmt numFmtId="168" formatCode="_-* #,##0.0_-;\-* #,##0.0_-;_-* &quot;-&quot;??_-;_-@"/>
    <numFmt numFmtId="169" formatCode="_(* #,##0_);_(* \(#,##0\);_(* &quot;-&quot;??_);_(@_)"/>
    <numFmt numFmtId="170" formatCode="#,###&quot;  &quot;"/>
    <numFmt numFmtId="171" formatCode="_-* #,##0\ _₫_-;\-* #,##0\ _₫_-;_-* &quot;-&quot;??\ _₫_-;_-@"/>
    <numFmt numFmtId="173" formatCode="_-* #,##0.00_k_r_._-;\-* #,##0.00_k_r_._-;_-* &quot;-&quot;??_k_r_._-;_-@"/>
    <numFmt numFmtId="174" formatCode="_-* #,##0_k_r_._-;\-* #,##0_k_r_._-;_-* &quot;-&quot;??_k_r_._-;_-@"/>
  </numFmts>
  <fonts count="38" x14ac:knownFonts="1">
    <font>
      <sz val="13"/>
      <color rgb="FF000000"/>
      <name val="Times New Roman"/>
      <scheme val="min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name val="Times New Roman"/>
      <family val="1"/>
    </font>
    <font>
      <b/>
      <sz val="14"/>
      <color rgb="FFFF0000"/>
      <name val="Times New Roman"/>
      <family val="1"/>
    </font>
    <font>
      <b/>
      <sz val="13"/>
      <color rgb="FFFF0000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3"/>
      <color rgb="FFFF0000"/>
      <name val="Times New Roman"/>
      <family val="1"/>
    </font>
    <font>
      <sz val="12"/>
      <color rgb="FF0000CC"/>
      <name val="Times New Roman"/>
      <family val="1"/>
    </font>
    <font>
      <sz val="13"/>
      <color rgb="FF0000CC"/>
      <name val="Times New Roman"/>
      <family val="1"/>
    </font>
    <font>
      <b/>
      <sz val="13"/>
      <color rgb="FF0000CC"/>
      <name val="Times New Roman"/>
      <family val="1"/>
    </font>
    <font>
      <sz val="8"/>
      <color theme="1"/>
      <name val="Times New Roman"/>
      <family val="1"/>
    </font>
    <font>
      <b/>
      <sz val="12"/>
      <color rgb="FF0000CC"/>
      <name val="Times New Roman"/>
      <family val="1"/>
    </font>
    <font>
      <b/>
      <i/>
      <sz val="13"/>
      <color theme="1"/>
      <name val="Times New Roman"/>
      <family val="1"/>
    </font>
    <font>
      <i/>
      <sz val="12"/>
      <color rgb="FF0000CC"/>
      <name val="Times New Roman"/>
      <family val="1"/>
    </font>
    <font>
      <i/>
      <sz val="13"/>
      <color rgb="FF0000CC"/>
      <name val="Times New Roman"/>
      <family val="1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3"/>
      <color rgb="FFFF0000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i/>
      <sz val="8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2" borderId="6" xfId="0" applyNumberFormat="1" applyFont="1" applyFill="1" applyBorder="1" applyAlignment="1">
      <alignment horizontal="right" vertical="center" wrapText="1"/>
    </xf>
    <xf numFmtId="164" fontId="1" fillId="0" borderId="0" xfId="0" applyNumberFormat="1" applyFont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65" fontId="5" fillId="0" borderId="6" xfId="0" applyNumberFormat="1" applyFont="1" applyBorder="1" applyAlignment="1">
      <alignment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5" fillId="0" borderId="6" xfId="0" applyFont="1" applyBorder="1" applyAlignment="1">
      <alignment vertical="center" wrapText="1"/>
    </xf>
    <xf numFmtId="165" fontId="9" fillId="0" borderId="0" xfId="0" applyNumberFormat="1" applyFont="1"/>
    <xf numFmtId="166" fontId="9" fillId="0" borderId="0" xfId="0" applyNumberFormat="1" applyFont="1"/>
    <xf numFmtId="0" fontId="10" fillId="0" borderId="6" xfId="0" applyFont="1" applyBorder="1" applyAlignment="1">
      <alignment vertical="center"/>
    </xf>
    <xf numFmtId="0" fontId="10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center" vertical="center"/>
    </xf>
    <xf numFmtId="165" fontId="10" fillId="0" borderId="6" xfId="0" applyNumberFormat="1" applyFont="1" applyBorder="1" applyAlignment="1">
      <alignment vertical="center" wrapText="1"/>
    </xf>
    <xf numFmtId="166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6" fontId="5" fillId="0" borderId="6" xfId="0" applyNumberFormat="1" applyFont="1" applyBorder="1" applyAlignment="1">
      <alignment vertical="center"/>
    </xf>
    <xf numFmtId="166" fontId="10" fillId="0" borderId="0" xfId="0" applyNumberFormat="1" applyFont="1" applyAlignment="1">
      <alignment vertical="center"/>
    </xf>
    <xf numFmtId="164" fontId="11" fillId="0" borderId="6" xfId="0" applyNumberFormat="1" applyFont="1" applyBorder="1" applyAlignment="1">
      <alignment vertical="center" wrapText="1"/>
    </xf>
    <xf numFmtId="166" fontId="10" fillId="0" borderId="6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166" fontId="1" fillId="0" borderId="0" xfId="0" applyNumberFormat="1" applyFont="1"/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6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2" fontId="1" fillId="0" borderId="0" xfId="0" applyNumberFormat="1" applyFont="1"/>
    <xf numFmtId="0" fontId="11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vertical="center" wrapText="1"/>
    </xf>
    <xf numFmtId="166" fontId="10" fillId="0" borderId="6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5" fontId="10" fillId="0" borderId="6" xfId="0" applyNumberFormat="1" applyFont="1" applyBorder="1" applyAlignment="1">
      <alignment vertical="center"/>
    </xf>
    <xf numFmtId="165" fontId="10" fillId="0" borderId="0" xfId="0" applyNumberFormat="1" applyFont="1" applyAlignment="1">
      <alignment vertical="center"/>
    </xf>
    <xf numFmtId="0" fontId="5" fillId="0" borderId="6" xfId="0" quotePrefix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0" fillId="0" borderId="6" xfId="0" quotePrefix="1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horizontal="center" vertical="center"/>
    </xf>
    <xf numFmtId="165" fontId="10" fillId="0" borderId="6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vertical="center" wrapText="1"/>
    </xf>
    <xf numFmtId="2" fontId="10" fillId="0" borderId="6" xfId="0" applyNumberFormat="1" applyFont="1" applyBorder="1" applyAlignment="1">
      <alignment vertical="center" wrapText="1"/>
    </xf>
    <xf numFmtId="166" fontId="5" fillId="0" borderId="0" xfId="0" applyNumberFormat="1" applyFont="1" applyAlignment="1">
      <alignment vertical="center"/>
    </xf>
    <xf numFmtId="0" fontId="10" fillId="0" borderId="6" xfId="0" quotePrefix="1" applyFont="1" applyBorder="1" applyAlignment="1">
      <alignment horizontal="center" vertical="center" wrapText="1"/>
    </xf>
    <xf numFmtId="166" fontId="15" fillId="0" borderId="0" xfId="0" applyNumberFormat="1" applyFont="1" applyAlignment="1">
      <alignment vertical="center"/>
    </xf>
    <xf numFmtId="165" fontId="10" fillId="0" borderId="6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165" fontId="11" fillId="0" borderId="6" xfId="0" applyNumberFormat="1" applyFont="1" applyBorder="1" applyAlignment="1">
      <alignment vertical="center" wrapText="1"/>
    </xf>
    <xf numFmtId="166" fontId="11" fillId="0" borderId="6" xfId="0" applyNumberFormat="1" applyFont="1" applyBorder="1" applyAlignment="1">
      <alignment vertical="center"/>
    </xf>
    <xf numFmtId="166" fontId="1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1" fillId="0" borderId="6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166" fontId="16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0" fillId="0" borderId="6" xfId="0" applyNumberFormat="1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2" fillId="0" borderId="6" xfId="0" quotePrefix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6" fontId="12" fillId="0" borderId="0" xfId="0" applyNumberFormat="1" applyFont="1" applyAlignment="1">
      <alignment vertical="center"/>
    </xf>
    <xf numFmtId="0" fontId="10" fillId="0" borderId="6" xfId="0" quotePrefix="1" applyFont="1" applyBorder="1" applyAlignment="1">
      <alignment vertical="center" wrapText="1"/>
    </xf>
    <xf numFmtId="0" fontId="11" fillId="0" borderId="6" xfId="0" quotePrefix="1" applyFont="1" applyBorder="1" applyAlignment="1">
      <alignment vertical="center" wrapText="1"/>
    </xf>
    <xf numFmtId="2" fontId="2" fillId="0" borderId="0" xfId="0" applyNumberFormat="1" applyFont="1" applyAlignment="1">
      <alignment vertical="center"/>
    </xf>
    <xf numFmtId="165" fontId="12" fillId="0" borderId="6" xfId="0" applyNumberFormat="1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166" fontId="19" fillId="0" borderId="0" xfId="0" applyNumberFormat="1" applyFont="1"/>
    <xf numFmtId="166" fontId="11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166" fontId="2" fillId="0" borderId="0" xfId="0" applyNumberFormat="1" applyFont="1"/>
    <xf numFmtId="167" fontId="11" fillId="0" borderId="6" xfId="0" applyNumberFormat="1" applyFont="1" applyBorder="1" applyAlignment="1">
      <alignment vertical="center"/>
    </xf>
    <xf numFmtId="167" fontId="11" fillId="0" borderId="0" xfId="0" applyNumberFormat="1" applyFont="1" applyAlignment="1">
      <alignment vertical="center"/>
    </xf>
    <xf numFmtId="0" fontId="11" fillId="0" borderId="6" xfId="0" quotePrefix="1" applyFont="1" applyBorder="1" applyAlignment="1">
      <alignment horizontal="center" vertical="center"/>
    </xf>
    <xf numFmtId="165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center"/>
    </xf>
    <xf numFmtId="168" fontId="14" fillId="0" borderId="0" xfId="0" applyNumberFormat="1" applyFont="1" applyAlignment="1">
      <alignment horizontal="right" vertical="center"/>
    </xf>
    <xf numFmtId="2" fontId="16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5" fontId="21" fillId="0" borderId="0" xfId="0" applyNumberFormat="1" applyFont="1" applyAlignment="1">
      <alignment vertical="center"/>
    </xf>
    <xf numFmtId="2" fontId="21" fillId="0" borderId="0" xfId="0" applyNumberFormat="1" applyFont="1"/>
    <xf numFmtId="0" fontId="21" fillId="0" borderId="0" xfId="0" applyFont="1"/>
    <xf numFmtId="164" fontId="1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11" fillId="0" borderId="6" xfId="0" quotePrefix="1" applyFont="1" applyBorder="1" applyAlignment="1">
      <alignment vertical="center"/>
    </xf>
    <xf numFmtId="169" fontId="10" fillId="0" borderId="6" xfId="0" applyNumberFormat="1" applyFont="1" applyBorder="1" applyAlignment="1">
      <alignment horizontal="center" vertical="center"/>
    </xf>
    <xf numFmtId="166" fontId="10" fillId="0" borderId="6" xfId="0" applyNumberFormat="1" applyFont="1" applyBorder="1" applyAlignment="1">
      <alignment vertical="center" wrapText="1"/>
    </xf>
    <xf numFmtId="169" fontId="11" fillId="0" borderId="6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vertical="center" wrapText="1"/>
    </xf>
    <xf numFmtId="165" fontId="5" fillId="0" borderId="15" xfId="0" applyNumberFormat="1" applyFont="1" applyBorder="1" applyAlignment="1">
      <alignment vertical="center" wrapText="1"/>
    </xf>
    <xf numFmtId="0" fontId="5" fillId="0" borderId="0" xfId="0" applyFont="1"/>
    <xf numFmtId="166" fontId="1" fillId="0" borderId="0" xfId="0" applyNumberFormat="1" applyFont="1" applyAlignment="1">
      <alignment horizontal="center" vertical="center"/>
    </xf>
    <xf numFmtId="166" fontId="10" fillId="0" borderId="0" xfId="0" applyNumberFormat="1" applyFont="1"/>
    <xf numFmtId="165" fontId="10" fillId="0" borderId="15" xfId="0" applyNumberFormat="1" applyFont="1" applyBorder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0" fontId="11" fillId="0" borderId="0" xfId="0" applyFont="1"/>
    <xf numFmtId="165" fontId="12" fillId="0" borderId="15" xfId="0" applyNumberFormat="1" applyFont="1" applyBorder="1" applyAlignment="1">
      <alignment vertical="center" wrapText="1"/>
    </xf>
    <xf numFmtId="0" fontId="12" fillId="0" borderId="0" xfId="0" applyFont="1"/>
    <xf numFmtId="165" fontId="11" fillId="0" borderId="6" xfId="0" applyNumberFormat="1" applyFont="1" applyBorder="1" applyAlignment="1">
      <alignment horizontal="center" vertical="center"/>
    </xf>
    <xf numFmtId="166" fontId="11" fillId="0" borderId="0" xfId="0" applyNumberFormat="1" applyFont="1"/>
    <xf numFmtId="2" fontId="11" fillId="0" borderId="0" xfId="0" applyNumberFormat="1" applyFont="1" applyAlignment="1">
      <alignment vertical="center"/>
    </xf>
    <xf numFmtId="0" fontId="11" fillId="0" borderId="2" xfId="0" quotePrefix="1" applyFont="1" applyBorder="1" applyAlignment="1">
      <alignment vertical="center" wrapText="1"/>
    </xf>
    <xf numFmtId="166" fontId="15" fillId="0" borderId="0" xfId="0" applyNumberFormat="1" applyFont="1"/>
    <xf numFmtId="165" fontId="15" fillId="0" borderId="0" xfId="0" applyNumberFormat="1" applyFont="1"/>
    <xf numFmtId="164" fontId="10" fillId="0" borderId="0" xfId="0" applyNumberFormat="1" applyFont="1" applyAlignment="1">
      <alignment vertical="center"/>
    </xf>
    <xf numFmtId="173" fontId="10" fillId="0" borderId="0" xfId="0" applyNumberFormat="1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2" fontId="27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/>
    <xf numFmtId="165" fontId="10" fillId="0" borderId="0" xfId="0" applyNumberFormat="1" applyFont="1"/>
    <xf numFmtId="165" fontId="28" fillId="0" borderId="0" xfId="0" applyNumberFormat="1" applyFont="1" applyAlignment="1">
      <alignment vertical="center" wrapText="1"/>
    </xf>
    <xf numFmtId="165" fontId="5" fillId="0" borderId="0" xfId="0" applyNumberFormat="1" applyFont="1" applyAlignment="1">
      <alignment vertical="center"/>
    </xf>
    <xf numFmtId="165" fontId="5" fillId="0" borderId="2" xfId="0" applyNumberFormat="1" applyFont="1" applyBorder="1" applyAlignment="1">
      <alignment vertical="center" wrapText="1"/>
    </xf>
    <xf numFmtId="166" fontId="28" fillId="0" borderId="0" xfId="0" applyNumberFormat="1" applyFont="1"/>
    <xf numFmtId="2" fontId="11" fillId="0" borderId="0" xfId="0" applyNumberFormat="1" applyFont="1"/>
    <xf numFmtId="0" fontId="7" fillId="0" borderId="0" xfId="0" applyFont="1" applyAlignment="1">
      <alignment horizontal="center" vertical="center"/>
    </xf>
    <xf numFmtId="165" fontId="5" fillId="0" borderId="3" xfId="0" applyNumberFormat="1" applyFont="1" applyBorder="1" applyAlignment="1">
      <alignment vertical="center" wrapText="1"/>
    </xf>
    <xf numFmtId="165" fontId="10" fillId="0" borderId="3" xfId="0" applyNumberFormat="1" applyFont="1" applyBorder="1" applyAlignment="1">
      <alignment vertical="center" wrapText="1"/>
    </xf>
    <xf numFmtId="165" fontId="5" fillId="0" borderId="5" xfId="0" applyNumberFormat="1" applyFont="1" applyBorder="1" applyAlignment="1">
      <alignment vertical="center" wrapText="1"/>
    </xf>
    <xf numFmtId="165" fontId="10" fillId="0" borderId="5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165" fontId="12" fillId="0" borderId="3" xfId="0" applyNumberFormat="1" applyFont="1" applyBorder="1" applyAlignment="1">
      <alignment vertical="center" wrapText="1"/>
    </xf>
    <xf numFmtId="165" fontId="11" fillId="0" borderId="3" xfId="0" applyNumberFormat="1" applyFont="1" applyBorder="1" applyAlignment="1">
      <alignment vertical="center" wrapText="1"/>
    </xf>
    <xf numFmtId="165" fontId="10" fillId="0" borderId="7" xfId="0" applyNumberFormat="1" applyFont="1" applyBorder="1" applyAlignment="1">
      <alignment vertical="center" wrapText="1"/>
    </xf>
    <xf numFmtId="2" fontId="28" fillId="0" borderId="0" xfId="0" applyNumberFormat="1" applyFont="1" applyAlignment="1">
      <alignment vertical="center"/>
    </xf>
    <xf numFmtId="165" fontId="12" fillId="0" borderId="7" xfId="0" applyNumberFormat="1" applyFont="1" applyBorder="1" applyAlignment="1">
      <alignment vertical="center" wrapText="1"/>
    </xf>
    <xf numFmtId="166" fontId="16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vertical="center"/>
    </xf>
    <xf numFmtId="165" fontId="16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5" fontId="28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0" fontId="27" fillId="0" borderId="0" xfId="0" applyFont="1"/>
    <xf numFmtId="0" fontId="8" fillId="0" borderId="0" xfId="0" applyFont="1"/>
    <xf numFmtId="0" fontId="28" fillId="0" borderId="0" xfId="0" applyFont="1"/>
    <xf numFmtId="0" fontId="29" fillId="0" borderId="0" xfId="0" applyFont="1"/>
    <xf numFmtId="166" fontId="28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165" fontId="28" fillId="0" borderId="0" xfId="0" applyNumberFormat="1" applyFont="1" applyAlignment="1">
      <alignment vertical="center"/>
    </xf>
    <xf numFmtId="165" fontId="28" fillId="0" borderId="0" xfId="0" applyNumberFormat="1" applyFont="1" applyAlignment="1">
      <alignment horizontal="center" vertical="center"/>
    </xf>
    <xf numFmtId="165" fontId="29" fillId="0" borderId="0" xfId="0" applyNumberFormat="1" applyFont="1" applyAlignment="1">
      <alignment horizontal="center" vertical="center"/>
    </xf>
    <xf numFmtId="165" fontId="28" fillId="0" borderId="0" xfId="0" applyNumberFormat="1" applyFont="1"/>
    <xf numFmtId="165" fontId="29" fillId="0" borderId="0" xfId="0" applyNumberFormat="1" applyFont="1"/>
    <xf numFmtId="165" fontId="5" fillId="0" borderId="0" xfId="0" applyNumberFormat="1" applyFont="1" applyAlignment="1">
      <alignment horizontal="center" vertical="center"/>
    </xf>
    <xf numFmtId="165" fontId="29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71" fontId="14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" fontId="14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center" wrapText="1"/>
    </xf>
    <xf numFmtId="3" fontId="10" fillId="0" borderId="0" xfId="0" applyNumberFormat="1" applyFont="1" applyAlignment="1">
      <alignment wrapText="1"/>
    </xf>
    <xf numFmtId="3" fontId="11" fillId="0" borderId="0" xfId="0" applyNumberFormat="1" applyFont="1" applyAlignment="1">
      <alignment horizontal="center" vertical="top" wrapText="1"/>
    </xf>
    <xf numFmtId="3" fontId="11" fillId="0" borderId="1" xfId="0" applyNumberFormat="1" applyFont="1" applyBorder="1" applyAlignment="1">
      <alignment horizontal="center" vertical="top" wrapText="1"/>
    </xf>
    <xf numFmtId="3" fontId="17" fillId="0" borderId="0" xfId="0" applyNumberFormat="1" applyFont="1" applyAlignment="1">
      <alignment wrapText="1"/>
    </xf>
    <xf numFmtId="0" fontId="23" fillId="0" borderId="6" xfId="0" applyFont="1" applyBorder="1" applyAlignment="1">
      <alignment horizontal="center" vertical="center"/>
    </xf>
    <xf numFmtId="0" fontId="23" fillId="0" borderId="6" xfId="0" applyFont="1" applyBorder="1" applyAlignment="1">
      <alignment vertical="center"/>
    </xf>
    <xf numFmtId="3" fontId="23" fillId="0" borderId="6" xfId="0" applyNumberFormat="1" applyFont="1" applyBorder="1" applyAlignment="1">
      <alignment horizontal="center" vertical="center" wrapText="1"/>
    </xf>
    <xf numFmtId="164" fontId="23" fillId="0" borderId="6" xfId="0" applyNumberFormat="1" applyFont="1" applyBorder="1" applyAlignment="1">
      <alignment vertical="center" wrapText="1"/>
    </xf>
    <xf numFmtId="3" fontId="23" fillId="0" borderId="6" xfId="0" applyNumberFormat="1" applyFont="1" applyBorder="1" applyAlignment="1">
      <alignment vertical="center" wrapText="1"/>
    </xf>
    <xf numFmtId="3" fontId="23" fillId="0" borderId="0" xfId="0" applyNumberFormat="1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vertical="center" wrapText="1"/>
    </xf>
    <xf numFmtId="9" fontId="24" fillId="0" borderId="6" xfId="0" applyNumberFormat="1" applyFont="1" applyBorder="1" applyAlignment="1">
      <alignment horizontal="center" vertical="center" wrapText="1"/>
    </xf>
    <xf numFmtId="16" fontId="24" fillId="0" borderId="6" xfId="0" quotePrefix="1" applyNumberFormat="1" applyFont="1" applyBorder="1" applyAlignment="1">
      <alignment horizontal="center" vertical="center" wrapText="1"/>
    </xf>
    <xf numFmtId="3" fontId="25" fillId="0" borderId="6" xfId="0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3" fontId="26" fillId="0" borderId="6" xfId="0" applyNumberFormat="1" applyFont="1" applyBorder="1" applyAlignment="1">
      <alignment horizontal="center" vertical="center" wrapText="1"/>
    </xf>
    <xf numFmtId="3" fontId="30" fillId="0" borderId="6" xfId="0" applyNumberFormat="1" applyFont="1" applyBorder="1" applyAlignment="1">
      <alignment horizontal="center" vertical="center" wrapText="1"/>
    </xf>
    <xf numFmtId="3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vertical="center"/>
    </xf>
    <xf numFmtId="0" fontId="23" fillId="0" borderId="6" xfId="0" applyFont="1" applyBorder="1" applyAlignment="1">
      <alignment horizontal="center"/>
    </xf>
    <xf numFmtId="0" fontId="23" fillId="0" borderId="6" xfId="0" applyFont="1" applyBorder="1"/>
    <xf numFmtId="9" fontId="23" fillId="0" borderId="6" xfId="0" applyNumberFormat="1" applyFont="1" applyBorder="1" applyAlignment="1">
      <alignment horizontal="center" vertical="center" wrapText="1"/>
    </xf>
    <xf numFmtId="3" fontId="23" fillId="0" borderId="0" xfId="0" applyNumberFormat="1" applyFont="1" applyAlignment="1">
      <alignment wrapText="1"/>
    </xf>
    <xf numFmtId="0" fontId="23" fillId="0" borderId="0" xfId="0" applyFont="1"/>
    <xf numFmtId="0" fontId="23" fillId="0" borderId="6" xfId="0" applyFont="1" applyBorder="1" applyAlignment="1">
      <alignment horizontal="left" vertical="center" wrapText="1"/>
    </xf>
    <xf numFmtId="170" fontId="23" fillId="0" borderId="6" xfId="0" applyNumberFormat="1" applyFont="1" applyBorder="1" applyAlignment="1">
      <alignment horizontal="center" vertical="center"/>
    </xf>
    <xf numFmtId="166" fontId="26" fillId="0" borderId="6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3" fontId="23" fillId="0" borderId="6" xfId="0" applyNumberFormat="1" applyFont="1" applyBorder="1" applyAlignment="1">
      <alignment horizontal="center" vertical="center"/>
    </xf>
    <xf numFmtId="3" fontId="26" fillId="0" borderId="6" xfId="0" applyNumberFormat="1" applyFont="1" applyBorder="1" applyAlignment="1">
      <alignment horizontal="center" vertical="center"/>
    </xf>
    <xf numFmtId="0" fontId="26" fillId="0" borderId="0" xfId="0" applyFont="1"/>
    <xf numFmtId="0" fontId="26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center" vertical="center" wrapText="1"/>
    </xf>
    <xf numFmtId="171" fontId="26" fillId="0" borderId="6" xfId="0" applyNumberFormat="1" applyFont="1" applyBorder="1" applyAlignment="1">
      <alignment horizontal="center" vertical="center"/>
    </xf>
    <xf numFmtId="171" fontId="26" fillId="0" borderId="6" xfId="0" applyNumberFormat="1" applyFont="1" applyBorder="1" applyAlignment="1">
      <alignment horizontal="center" vertical="center" wrapText="1"/>
    </xf>
    <xf numFmtId="3" fontId="26" fillId="0" borderId="6" xfId="0" applyNumberFormat="1" applyFont="1" applyBorder="1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171" fontId="26" fillId="0" borderId="0" xfId="0" applyNumberFormat="1" applyFont="1"/>
    <xf numFmtId="164" fontId="26" fillId="0" borderId="0" xfId="0" applyNumberFormat="1" applyFont="1"/>
    <xf numFmtId="3" fontId="26" fillId="0" borderId="10" xfId="0" applyNumberFormat="1" applyFont="1" applyBorder="1" applyAlignment="1">
      <alignment vertical="center" wrapText="1"/>
    </xf>
    <xf numFmtId="0" fontId="26" fillId="0" borderId="10" xfId="0" applyFont="1" applyBorder="1"/>
    <xf numFmtId="0" fontId="23" fillId="0" borderId="10" xfId="0" applyFont="1" applyBorder="1"/>
    <xf numFmtId="0" fontId="23" fillId="0" borderId="6" xfId="0" quotePrefix="1" applyFont="1" applyBorder="1" applyAlignment="1">
      <alignment horizontal="left" vertical="center" wrapText="1"/>
    </xf>
    <xf numFmtId="49" fontId="26" fillId="0" borderId="6" xfId="0" quotePrefix="1" applyNumberFormat="1" applyFont="1" applyBorder="1" applyAlignment="1">
      <alignment horizontal="left" vertical="center" wrapText="1"/>
    </xf>
    <xf numFmtId="49" fontId="26" fillId="0" borderId="6" xfId="0" applyNumberFormat="1" applyFont="1" applyBorder="1" applyAlignment="1">
      <alignment horizontal="left" vertical="center" wrapText="1"/>
    </xf>
    <xf numFmtId="49" fontId="24" fillId="0" borderId="6" xfId="0" applyNumberFormat="1" applyFont="1" applyBorder="1" applyAlignment="1">
      <alignment horizontal="left" vertical="center" wrapText="1"/>
    </xf>
    <xf numFmtId="0" fontId="26" fillId="0" borderId="6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49" fontId="23" fillId="0" borderId="6" xfId="0" applyNumberFormat="1" applyFont="1" applyBorder="1" applyAlignment="1">
      <alignment horizontal="left" vertical="center" wrapText="1"/>
    </xf>
    <xf numFmtId="171" fontId="23" fillId="0" borderId="6" xfId="0" applyNumberFormat="1" applyFont="1" applyBorder="1" applyAlignment="1">
      <alignment horizontal="center" vertical="center"/>
    </xf>
    <xf numFmtId="171" fontId="26" fillId="0" borderId="6" xfId="0" applyNumberFormat="1" applyFont="1" applyBorder="1"/>
    <xf numFmtId="0" fontId="26" fillId="0" borderId="6" xfId="0" applyFont="1" applyBorder="1" applyAlignment="1">
      <alignment horizontal="center" vertical="top"/>
    </xf>
    <xf numFmtId="166" fontId="26" fillId="0" borderId="11" xfId="0" applyNumberFormat="1" applyFont="1" applyBorder="1" applyAlignment="1">
      <alignment horizontal="center" vertical="center"/>
    </xf>
    <xf numFmtId="166" fontId="26" fillId="0" borderId="0" xfId="0" applyNumberFormat="1" applyFont="1"/>
    <xf numFmtId="171" fontId="23" fillId="0" borderId="6" xfId="0" applyNumberFormat="1" applyFont="1" applyBorder="1" applyAlignment="1">
      <alignment horizontal="right" vertical="center"/>
    </xf>
    <xf numFmtId="3" fontId="25" fillId="0" borderId="0" xfId="0" applyNumberFormat="1" applyFont="1" applyAlignment="1">
      <alignment vertical="center" wrapText="1"/>
    </xf>
    <xf numFmtId="49" fontId="24" fillId="0" borderId="6" xfId="0" quotePrefix="1" applyNumberFormat="1" applyFont="1" applyBorder="1" applyAlignment="1">
      <alignment horizontal="left" vertical="center" wrapText="1"/>
    </xf>
    <xf numFmtId="171" fontId="26" fillId="0" borderId="6" xfId="0" quotePrefix="1" applyNumberFormat="1" applyFont="1" applyBorder="1" applyAlignment="1">
      <alignment horizontal="center" vertical="center"/>
    </xf>
    <xf numFmtId="0" fontId="26" fillId="0" borderId="6" xfId="0" quotePrefix="1" applyFont="1" applyBorder="1" applyAlignment="1">
      <alignment horizontal="center" vertical="center"/>
    </xf>
    <xf numFmtId="171" fontId="24" fillId="0" borderId="6" xfId="0" applyNumberFormat="1" applyFont="1" applyBorder="1" applyAlignment="1">
      <alignment horizontal="center" vertical="center"/>
    </xf>
    <xf numFmtId="0" fontId="24" fillId="0" borderId="0" xfId="0" applyFont="1"/>
    <xf numFmtId="2" fontId="26" fillId="0" borderId="0" xfId="0" applyNumberFormat="1" applyFont="1"/>
    <xf numFmtId="0" fontId="24" fillId="0" borderId="6" xfId="0" applyFont="1" applyBorder="1" applyAlignment="1">
      <alignment horizontal="center" vertical="center" wrapText="1"/>
    </xf>
    <xf numFmtId="0" fontId="24" fillId="0" borderId="6" xfId="0" quotePrefix="1" applyFont="1" applyBorder="1" applyAlignment="1">
      <alignment horizontal="left" vertical="center" wrapText="1"/>
    </xf>
    <xf numFmtId="4" fontId="26" fillId="0" borderId="6" xfId="0" applyNumberFormat="1" applyFont="1" applyBorder="1" applyAlignment="1">
      <alignment horizontal="center" vertical="center"/>
    </xf>
    <xf numFmtId="173" fontId="26" fillId="0" borderId="6" xfId="0" applyNumberFormat="1" applyFont="1" applyBorder="1" applyAlignment="1">
      <alignment horizontal="center" vertical="center" wrapText="1"/>
    </xf>
    <xf numFmtId="164" fontId="26" fillId="0" borderId="6" xfId="0" applyNumberFormat="1" applyFont="1" applyBorder="1" applyAlignment="1">
      <alignment horizontal="center" vertical="center"/>
    </xf>
    <xf numFmtId="4" fontId="23" fillId="0" borderId="6" xfId="0" applyNumberFormat="1" applyFont="1" applyBorder="1" applyAlignment="1">
      <alignment horizontal="center" vertical="center"/>
    </xf>
    <xf numFmtId="3" fontId="24" fillId="0" borderId="6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left"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166" fontId="26" fillId="0" borderId="9" xfId="0" applyNumberFormat="1" applyFont="1" applyBorder="1" applyAlignment="1">
      <alignment horizontal="center" vertical="center"/>
    </xf>
    <xf numFmtId="3" fontId="26" fillId="0" borderId="9" xfId="0" applyNumberFormat="1" applyFont="1" applyBorder="1" applyAlignment="1">
      <alignment horizontal="center" vertical="center"/>
    </xf>
    <xf numFmtId="0" fontId="26" fillId="0" borderId="11" xfId="0" quotePrefix="1" applyFont="1" applyBorder="1" applyAlignment="1">
      <alignment horizontal="center" vertical="center" wrapText="1"/>
    </xf>
    <xf numFmtId="0" fontId="26" fillId="0" borderId="11" xfId="0" applyFont="1" applyBorder="1" applyAlignment="1">
      <alignment horizontal="left" vertical="center" wrapText="1"/>
    </xf>
    <xf numFmtId="3" fontId="26" fillId="0" borderId="11" xfId="0" applyNumberFormat="1" applyFont="1" applyBorder="1" applyAlignment="1">
      <alignment horizontal="center" vertical="center" wrapText="1"/>
    </xf>
    <xf numFmtId="174" fontId="26" fillId="0" borderId="12" xfId="0" applyNumberFormat="1" applyFont="1" applyBorder="1" applyAlignment="1">
      <alignment horizontal="center" vertical="center" wrapText="1"/>
    </xf>
    <xf numFmtId="3" fontId="26" fillId="0" borderId="12" xfId="0" applyNumberFormat="1" applyFont="1" applyBorder="1" applyAlignment="1">
      <alignment horizontal="center" vertical="center" wrapText="1"/>
    </xf>
    <xf numFmtId="0" fontId="26" fillId="0" borderId="13" xfId="0" quotePrefix="1" applyFont="1" applyBorder="1" applyAlignment="1">
      <alignment horizontal="center" vertical="center" wrapText="1"/>
    </xf>
    <xf numFmtId="0" fontId="26" fillId="0" borderId="13" xfId="0" applyFont="1" applyBorder="1" applyAlignment="1">
      <alignment horizontal="left" vertical="center" wrapText="1"/>
    </xf>
    <xf numFmtId="3" fontId="26" fillId="0" borderId="13" xfId="0" applyNumberFormat="1" applyFont="1" applyBorder="1" applyAlignment="1">
      <alignment horizontal="center" wrapText="1"/>
    </xf>
    <xf numFmtId="166" fontId="26" fillId="0" borderId="13" xfId="0" applyNumberFormat="1" applyFont="1" applyBorder="1" applyAlignment="1">
      <alignment horizontal="center" vertical="center"/>
    </xf>
    <xf numFmtId="3" fontId="26" fillId="0" borderId="14" xfId="0" applyNumberFormat="1" applyFont="1" applyBorder="1" applyAlignment="1">
      <alignment horizontal="center" wrapText="1"/>
    </xf>
    <xf numFmtId="3" fontId="26" fillId="0" borderId="0" xfId="0" applyNumberFormat="1" applyFont="1" applyAlignment="1">
      <alignment wrapText="1"/>
    </xf>
    <xf numFmtId="0" fontId="26" fillId="0" borderId="0" xfId="0" applyFont="1" applyAlignment="1">
      <alignment horizontal="center" wrapText="1"/>
    </xf>
    <xf numFmtId="3" fontId="26" fillId="0" borderId="0" xfId="0" applyNumberFormat="1" applyFont="1" applyAlignment="1">
      <alignment horizontal="left" wrapText="1"/>
    </xf>
    <xf numFmtId="3" fontId="26" fillId="0" borderId="0" xfId="0" applyNumberFormat="1" applyFont="1" applyAlignment="1">
      <alignment horizontal="center" wrapText="1"/>
    </xf>
    <xf numFmtId="0" fontId="17" fillId="0" borderId="0" xfId="0" applyFont="1"/>
    <xf numFmtId="49" fontId="31" fillId="0" borderId="6" xfId="0" quotePrefix="1" applyNumberFormat="1" applyFont="1" applyBorder="1" applyAlignment="1">
      <alignment horizontal="left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vertical="center"/>
    </xf>
    <xf numFmtId="3" fontId="33" fillId="0" borderId="6" xfId="0" applyNumberFormat="1" applyFont="1" applyBorder="1" applyAlignment="1">
      <alignment horizontal="center" vertical="center" wrapText="1"/>
    </xf>
    <xf numFmtId="49" fontId="34" fillId="0" borderId="6" xfId="0" applyNumberFormat="1" applyFont="1" applyBorder="1"/>
    <xf numFmtId="0" fontId="30" fillId="0" borderId="6" xfId="0" applyFont="1" applyBorder="1" applyAlignment="1">
      <alignment vertical="center" wrapText="1"/>
    </xf>
    <xf numFmtId="0" fontId="30" fillId="0" borderId="6" xfId="0" applyFont="1" applyBorder="1" applyAlignment="1">
      <alignment horizontal="center" vertical="center" wrapText="1"/>
    </xf>
    <xf numFmtId="165" fontId="35" fillId="0" borderId="6" xfId="0" applyNumberFormat="1" applyFont="1" applyBorder="1" applyAlignment="1">
      <alignment vertical="center" wrapText="1"/>
    </xf>
    <xf numFmtId="165" fontId="30" fillId="0" borderId="6" xfId="0" applyNumberFormat="1" applyFont="1" applyBorder="1" applyAlignment="1">
      <alignment horizontal="center" vertical="center" wrapText="1"/>
    </xf>
    <xf numFmtId="165" fontId="36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/>
    </xf>
    <xf numFmtId="166" fontId="36" fillId="0" borderId="6" xfId="0" applyNumberFormat="1" applyFont="1" applyBorder="1" applyAlignment="1">
      <alignment vertical="center"/>
    </xf>
    <xf numFmtId="0" fontId="36" fillId="0" borderId="6" xfId="0" applyFont="1" applyBorder="1" applyAlignment="1">
      <alignment vertical="center"/>
    </xf>
    <xf numFmtId="0" fontId="36" fillId="0" borderId="6" xfId="0" applyFont="1" applyBorder="1" applyAlignment="1">
      <alignment horizontal="center" vertical="center" wrapText="1"/>
    </xf>
    <xf numFmtId="168" fontId="10" fillId="0" borderId="6" xfId="0" applyNumberFormat="1" applyFont="1" applyBorder="1" applyAlignment="1">
      <alignment vertical="center" wrapText="1"/>
    </xf>
    <xf numFmtId="166" fontId="17" fillId="0" borderId="6" xfId="0" applyNumberFormat="1" applyFont="1" applyBorder="1" applyAlignment="1">
      <alignment vertical="center"/>
    </xf>
    <xf numFmtId="165" fontId="37" fillId="0" borderId="6" xfId="0" applyNumberFormat="1" applyFont="1" applyBorder="1" applyAlignment="1">
      <alignment vertical="center" wrapText="1"/>
    </xf>
    <xf numFmtId="168" fontId="5" fillId="0" borderId="6" xfId="0" applyNumberFormat="1" applyFont="1" applyBorder="1" applyAlignment="1">
      <alignment vertical="center" wrapText="1"/>
    </xf>
    <xf numFmtId="164" fontId="5" fillId="0" borderId="6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/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0" fontId="2" fillId="0" borderId="0" xfId="0" applyFont="1" applyAlignment="1">
      <alignment horizontal="right"/>
    </xf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8" xfId="0" applyFont="1" applyBorder="1"/>
    <xf numFmtId="0" fontId="10" fillId="0" borderId="0" xfId="0" applyFont="1" applyAlignment="1">
      <alignment horizontal="left" wrapText="1"/>
    </xf>
    <xf numFmtId="3" fontId="11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22" fillId="0" borderId="2" xfId="0" applyNumberFormat="1" applyFont="1" applyBorder="1" applyAlignment="1">
      <alignment horizontal="center" vertical="center" wrapText="1"/>
    </xf>
    <xf numFmtId="0" fontId="6" fillId="0" borderId="9" xfId="0" applyFont="1" applyBorder="1"/>
    <xf numFmtId="3" fontId="26" fillId="0" borderId="2" xfId="0" applyNumberFormat="1" applyFont="1" applyBorder="1" applyAlignment="1">
      <alignment horizontal="center" vertical="center" wrapText="1"/>
    </xf>
    <xf numFmtId="3" fontId="31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6" fillId="0" borderId="17" xfId="0" applyFont="1" applyBorder="1"/>
    <xf numFmtId="0" fontId="6" fillId="0" borderId="18" xfId="0" applyFont="1" applyBorder="1"/>
    <xf numFmtId="0" fontId="6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1076325</xdr:colOff>
      <xdr:row>2</xdr:row>
      <xdr:rowOff>270510</xdr:rowOff>
    </xdr:from>
    <xdr:ext cx="1057275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553075" y="775335"/>
          <a:ext cx="1057275" cy="38100"/>
          <a:chOff x="4817363" y="3780000"/>
          <a:chExt cx="1057275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266700</xdr:colOff>
      <xdr:row>2</xdr:row>
      <xdr:rowOff>201930</xdr:rowOff>
    </xdr:from>
    <xdr:ext cx="1057275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4686300" y="611505"/>
          <a:ext cx="1057275" cy="38100"/>
          <a:chOff x="4817363" y="3780000"/>
          <a:chExt cx="1057275" cy="0"/>
        </a:xfrm>
      </xdr:grpSpPr>
      <xdr:cxnSp macro="">
        <xdr:nvCxnSpPr>
          <xdr:cNvPr id="4" name="Shap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/>
        </xdr:nvCxnSpPr>
        <xdr:spPr>
          <a:xfrm>
            <a:off x="4817363" y="3780000"/>
            <a:ext cx="10572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pane ySplit="6" topLeftCell="A86" activePane="bottomLeft" state="frozen"/>
      <selection pane="bottomLeft" activeCell="B91" sqref="B91"/>
    </sheetView>
  </sheetViews>
  <sheetFormatPr defaultColWidth="11.21875" defaultRowHeight="15" customHeight="1" x14ac:dyDescent="0.25"/>
  <cols>
    <col min="1" max="1" width="8.88671875" customWidth="1"/>
    <col min="2" max="2" width="33" customWidth="1"/>
    <col min="3" max="3" width="10.33203125" customWidth="1"/>
    <col min="4" max="5" width="16.77734375" customWidth="1"/>
    <col min="6" max="6" width="15.44140625" customWidth="1"/>
    <col min="7" max="7" width="11.6640625" customWidth="1"/>
    <col min="8" max="8" width="12.21875" customWidth="1"/>
    <col min="9" max="9" width="13.33203125" customWidth="1"/>
    <col min="10" max="10" width="11.77734375" customWidth="1"/>
    <col min="11" max="11" width="12.5546875" customWidth="1"/>
    <col min="12" max="12" width="18.33203125" hidden="1" customWidth="1"/>
    <col min="13" max="13" width="14.88671875" hidden="1" customWidth="1"/>
    <col min="14" max="14" width="20.6640625" customWidth="1"/>
    <col min="15" max="22" width="11.21875" customWidth="1"/>
  </cols>
  <sheetData>
    <row r="1" spans="1:26" ht="15" customHeight="1" x14ac:dyDescent="0.25">
      <c r="A1" s="1"/>
      <c r="B1" s="1"/>
      <c r="C1" s="1"/>
      <c r="D1" s="1"/>
      <c r="E1" s="1"/>
      <c r="F1" s="319" t="s">
        <v>0</v>
      </c>
      <c r="G1" s="320"/>
      <c r="H1" s="320"/>
      <c r="I1" s="320"/>
      <c r="J1" s="320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3">
      <c r="A2" s="321" t="s">
        <v>1</v>
      </c>
      <c r="B2" s="320"/>
      <c r="C2" s="320"/>
      <c r="D2" s="320"/>
      <c r="E2" s="320"/>
      <c r="F2" s="320"/>
      <c r="G2" s="320"/>
      <c r="H2" s="320"/>
      <c r="I2" s="320"/>
      <c r="J2" s="320"/>
      <c r="K2" s="3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2.5" customHeight="1" x14ac:dyDescent="0.25">
      <c r="A3" s="322" t="s">
        <v>2</v>
      </c>
      <c r="B3" s="320"/>
      <c r="C3" s="320"/>
      <c r="D3" s="320"/>
      <c r="E3" s="320"/>
      <c r="F3" s="320"/>
      <c r="G3" s="320"/>
      <c r="H3" s="320"/>
      <c r="I3" s="320"/>
      <c r="J3" s="320"/>
      <c r="K3" s="6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25">
      <c r="A4" s="7"/>
      <c r="B4" s="7"/>
      <c r="C4" s="7"/>
      <c r="D4" s="7"/>
      <c r="E4" s="6"/>
      <c r="F4" s="7"/>
      <c r="G4" s="7"/>
      <c r="H4" s="7"/>
      <c r="I4" s="7"/>
      <c r="J4" s="7"/>
      <c r="K4" s="6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25">
      <c r="A5" s="314" t="s">
        <v>3</v>
      </c>
      <c r="B5" s="314" t="s">
        <v>4</v>
      </c>
      <c r="C5" s="314" t="s">
        <v>5</v>
      </c>
      <c r="D5" s="314" t="s">
        <v>6</v>
      </c>
      <c r="E5" s="314" t="s">
        <v>7</v>
      </c>
      <c r="F5" s="316" t="s">
        <v>8</v>
      </c>
      <c r="G5" s="317"/>
      <c r="H5" s="317"/>
      <c r="I5" s="318"/>
      <c r="J5" s="323" t="s">
        <v>9</v>
      </c>
      <c r="K5" s="10"/>
      <c r="L5" s="11" t="s">
        <v>10</v>
      </c>
      <c r="M5" s="12">
        <f>'TUMO RONG (1)'!L7+'LONG LEO(2)'!L7+'ĐĂK CHUM 1(3)'!L7+'ĐĂK CHUM II(4)'!L7+'TU CẤP(5)'!L7+'ĐĂK KA(6)'!L7+'VĂN SANG(7)'!L7+'ĐĂK NEANG(8)'!L7+'NGỌC LEANG(9)'!L7+'ĐĂK SIÊNG(10)'!L7+'KON TUN(11)'!L7+'MÔ PẢ(12)'!L7+'TY TU(13)'!L7+'KON LING(14)'!L7+'ĐĂK PƠ TRANG(15)'!L7+'KON PIA(16)'!L7+'ĐĂK HÀ(17)'!L7</f>
        <v>1331</v>
      </c>
      <c r="N5" s="1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.75" customHeight="1" x14ac:dyDescent="0.25">
      <c r="A6" s="315"/>
      <c r="B6" s="315"/>
      <c r="C6" s="315"/>
      <c r="D6" s="315"/>
      <c r="E6" s="315"/>
      <c r="F6" s="14" t="s">
        <v>11</v>
      </c>
      <c r="G6" s="14" t="s">
        <v>12</v>
      </c>
      <c r="H6" s="14" t="s">
        <v>13</v>
      </c>
      <c r="I6" s="14" t="s">
        <v>14</v>
      </c>
      <c r="J6" s="315"/>
      <c r="K6" s="10"/>
      <c r="L6" s="11" t="s">
        <v>15</v>
      </c>
      <c r="M6" s="12">
        <f>'TUMO RONG (1)'!L8+'LONG LEO(2)'!L8+'ĐĂK CHUM 1(3)'!L8+'ĐĂK CHUM II(4)'!L8+'TU CẤP(5)'!L8+'ĐĂK KA(6)'!L8+'VĂN SANG(7)'!L8+'ĐĂK NEANG(8)'!L8+'NGỌC LEANG(9)'!L8+'ĐĂK SIÊNG(10)'!L8+'KON TUN(11)'!L8+'MÔ PẢ(12)'!L8+'TY TU(13)'!L8+'KON LING(14)'!L8+'ĐĂK PƠ TRANG(15)'!L8+'KON PIA(16)'!L8+'ĐĂK HÀ(17)'!L8</f>
        <v>6567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25">
      <c r="A7" s="15" t="s">
        <v>16</v>
      </c>
      <c r="B7" s="16" t="s">
        <v>17</v>
      </c>
      <c r="C7" s="15" t="s">
        <v>18</v>
      </c>
      <c r="D7" s="17">
        <f>D11+D26+D35+D41+D44+D67</f>
        <v>1778.52</v>
      </c>
      <c r="E7" s="17"/>
      <c r="F7" s="17">
        <f t="shared" ref="F7:H7" si="0">F11+F26+F35+F38+F41+F44+F67</f>
        <v>1877.5900000000001</v>
      </c>
      <c r="G7" s="17">
        <f t="shared" si="0"/>
        <v>1712.2591000000002</v>
      </c>
      <c r="H7" s="17">
        <f t="shared" si="0"/>
        <v>1826.83</v>
      </c>
      <c r="I7" s="18">
        <f t="shared" ref="I7:I11" si="1">G7/F7*100</f>
        <v>91.194515309519119</v>
      </c>
      <c r="J7" s="16"/>
      <c r="K7" s="19"/>
      <c r="L7" s="20">
        <v>1877.59</v>
      </c>
      <c r="M7" s="21">
        <f>F7-L7</f>
        <v>0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4" customHeight="1" x14ac:dyDescent="0.25">
      <c r="A8" s="15">
        <v>1</v>
      </c>
      <c r="B8" s="16" t="s">
        <v>19</v>
      </c>
      <c r="C8" s="15" t="s">
        <v>18</v>
      </c>
      <c r="D8" s="17">
        <f>D11+D26</f>
        <v>218.4</v>
      </c>
      <c r="E8" s="17"/>
      <c r="F8" s="17">
        <f t="shared" ref="F8:H8" si="2">F11+F26</f>
        <v>220.64000000000001</v>
      </c>
      <c r="G8" s="17">
        <f t="shared" si="2"/>
        <v>190.03</v>
      </c>
      <c r="H8" s="17">
        <f t="shared" si="2"/>
        <v>220.64000000000001</v>
      </c>
      <c r="I8" s="18">
        <f t="shared" si="1"/>
        <v>86.126722262509062</v>
      </c>
      <c r="J8" s="16"/>
      <c r="K8" s="19"/>
      <c r="L8" s="23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4" customHeight="1" x14ac:dyDescent="0.25">
      <c r="A9" s="15"/>
      <c r="B9" s="24" t="s">
        <v>20</v>
      </c>
      <c r="C9" s="15" t="s">
        <v>21</v>
      </c>
      <c r="D9" s="17">
        <f t="shared" ref="D9:H9" si="3">D10+D28</f>
        <v>776.39879999999994</v>
      </c>
      <c r="E9" s="17">
        <f t="shared" si="3"/>
        <v>780</v>
      </c>
      <c r="F9" s="17">
        <f t="shared" si="3"/>
        <v>814.40924000000007</v>
      </c>
      <c r="G9" s="17">
        <f t="shared" si="3"/>
        <v>72.125500000000002</v>
      </c>
      <c r="H9" s="17">
        <f t="shared" si="3"/>
        <v>72.125500000000002</v>
      </c>
      <c r="I9" s="18">
        <f t="shared" si="1"/>
        <v>8.8561740777891966</v>
      </c>
      <c r="J9" s="16"/>
      <c r="K9" s="19"/>
      <c r="L9" s="21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4" customHeight="1" x14ac:dyDescent="0.25">
      <c r="A10" s="15"/>
      <c r="B10" s="16" t="s">
        <v>22</v>
      </c>
      <c r="C10" s="15" t="s">
        <v>21</v>
      </c>
      <c r="D10" s="17">
        <f>D13</f>
        <v>703.3187999999999</v>
      </c>
      <c r="E10" s="17">
        <v>714</v>
      </c>
      <c r="F10" s="17">
        <f t="shared" ref="F10:H10" si="4">F13</f>
        <v>747.98924000000011</v>
      </c>
      <c r="G10" s="17">
        <f t="shared" si="4"/>
        <v>72.125500000000002</v>
      </c>
      <c r="H10" s="17">
        <f t="shared" si="4"/>
        <v>72.125500000000002</v>
      </c>
      <c r="I10" s="18">
        <f t="shared" si="1"/>
        <v>9.6425852329105677</v>
      </c>
      <c r="J10" s="16"/>
      <c r="K10" s="19"/>
      <c r="L10" s="21"/>
      <c r="M10" s="25"/>
      <c r="N10" s="26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24" customHeight="1" x14ac:dyDescent="0.25">
      <c r="A11" s="15" t="s">
        <v>23</v>
      </c>
      <c r="B11" s="16" t="s">
        <v>24</v>
      </c>
      <c r="C11" s="15" t="s">
        <v>18</v>
      </c>
      <c r="D11" s="17">
        <f>D14+D17</f>
        <v>200.4</v>
      </c>
      <c r="E11" s="17">
        <v>202</v>
      </c>
      <c r="F11" s="17">
        <f t="shared" ref="F11:H11" si="5">F14+F17</f>
        <v>202.64000000000001</v>
      </c>
      <c r="G11" s="17">
        <f t="shared" si="5"/>
        <v>172.03</v>
      </c>
      <c r="H11" s="17">
        <f t="shared" si="5"/>
        <v>202.64000000000001</v>
      </c>
      <c r="I11" s="18">
        <f t="shared" si="1"/>
        <v>84.894393999210422</v>
      </c>
      <c r="J11" s="27"/>
      <c r="K11" s="28"/>
      <c r="L11" s="23"/>
      <c r="M11" s="21"/>
      <c r="N11" s="22"/>
      <c r="O11" s="2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25">
      <c r="A12" s="15"/>
      <c r="B12" s="27" t="s">
        <v>25</v>
      </c>
      <c r="C12" s="30" t="s">
        <v>26</v>
      </c>
      <c r="D12" s="31">
        <f>D13/D11*10</f>
        <v>35.095748502994006</v>
      </c>
      <c r="E12" s="31">
        <v>35.700000000000003</v>
      </c>
      <c r="F12" s="31">
        <f t="shared" ref="F12:H12" si="6">F13/F11*10</f>
        <v>36.912220686932493</v>
      </c>
      <c r="G12" s="31">
        <f t="shared" si="6"/>
        <v>4.1926117537638783</v>
      </c>
      <c r="H12" s="31">
        <f t="shared" si="6"/>
        <v>3.5592923410975126</v>
      </c>
      <c r="I12" s="31"/>
      <c r="J12" s="27"/>
      <c r="K12" s="28"/>
      <c r="L12" s="21"/>
      <c r="M12" s="32"/>
      <c r="N12" s="1"/>
      <c r="O12" s="3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25">
      <c r="A13" s="15"/>
      <c r="B13" s="27" t="s">
        <v>27</v>
      </c>
      <c r="C13" s="30" t="s">
        <v>21</v>
      </c>
      <c r="D13" s="31">
        <f>D16+D19</f>
        <v>703.3187999999999</v>
      </c>
      <c r="E13" s="31">
        <v>714</v>
      </c>
      <c r="F13" s="31">
        <f t="shared" ref="F13:H13" si="7">F16+F19</f>
        <v>747.98924000000011</v>
      </c>
      <c r="G13" s="31">
        <f t="shared" si="7"/>
        <v>72.125500000000002</v>
      </c>
      <c r="H13" s="31">
        <f t="shared" si="7"/>
        <v>72.125500000000002</v>
      </c>
      <c r="I13" s="31"/>
      <c r="J13" s="27"/>
      <c r="K13" s="28"/>
      <c r="L13" s="21"/>
      <c r="M13" s="32"/>
      <c r="N13" s="33"/>
      <c r="O13" s="32"/>
      <c r="P13" s="2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25">
      <c r="A14" s="15" t="s">
        <v>28</v>
      </c>
      <c r="B14" s="16" t="s">
        <v>29</v>
      </c>
      <c r="C14" s="15" t="s">
        <v>18</v>
      </c>
      <c r="D14" s="17">
        <v>20.399999999999999</v>
      </c>
      <c r="E14" s="17"/>
      <c r="F14" s="17">
        <f>'TUMO RONG (1)'!E16+'LONG LEO(2)'!E16+'ĐĂK CHUM 1(3)'!E16+'ĐĂK CHUM II(4)'!E16+'TU CẤP(5)'!E16+'ĐĂK KA(6)'!E16+'VĂN SANG(7)'!E16+'ĐĂK NEANG(8)'!E16+'NGỌC LEANG(9)'!E16+'ĐĂK SIÊNG(10)'!E16+'KON TUN(11)'!E16+'MÔ PẢ(12)'!E16+'TY TU(13)'!E16+'KON LING(14)'!E16+'ĐĂK PƠ TRANG(15)'!E16+'KON PIA(16)'!E16+'ĐĂK HÀ(17)'!E16</f>
        <v>21.53</v>
      </c>
      <c r="G14" s="17">
        <f>'TUMO RONG (1)'!F16+'LONG LEO(2)'!F16+'ĐĂK CHUM 1(3)'!F16+'ĐĂK CHUM II(4)'!F16+'TU CẤP(5)'!F16+'ĐĂK KA(6)'!F16+'VĂN SANG(7)'!F16+'ĐĂK NEANG(8)'!F16+'NGỌC LEANG(9)'!F16+'ĐĂK SIÊNG(10)'!F16+'KON TUN(11)'!F16+'MÔ PẢ(12)'!F16+'TY TU(13)'!F16+'KON LING(14)'!F16+'ĐĂK PƠ TRANG(15)'!F16+'KON PIA(16)'!F16+'ĐĂK HÀ(17)'!F16</f>
        <v>21.53</v>
      </c>
      <c r="H14" s="17">
        <f>'TUMO RONG (1)'!G16+'LONG LEO(2)'!G16+'ĐĂK CHUM 1(3)'!G16+'ĐĂK CHUM II(4)'!G16+'TU CẤP(5)'!G16+'ĐĂK KA(6)'!G16+'VĂN SANG(7)'!G16+'ĐĂK NEANG(8)'!G16+'NGỌC LEANG(9)'!G16+'ĐĂK SIÊNG(10)'!G16+'KON TUN(11)'!G16+'MÔ PẢ(12)'!G16+'TY TU(13)'!G16+'KON LING(14)'!G16+'ĐĂK PƠ TRANG(15)'!G16+'KON PIA(16)'!G16+'ĐĂK HÀ(17)'!G16</f>
        <v>21.53</v>
      </c>
      <c r="I14" s="17">
        <f t="shared" ref="I14:I17" si="8">G14/F14*100</f>
        <v>100</v>
      </c>
      <c r="J14" s="34"/>
      <c r="K14" s="35"/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25">
      <c r="A15" s="15"/>
      <c r="B15" s="27" t="s">
        <v>25</v>
      </c>
      <c r="C15" s="30" t="s">
        <v>26</v>
      </c>
      <c r="D15" s="31">
        <v>29.47</v>
      </c>
      <c r="E15" s="31"/>
      <c r="F15" s="31">
        <v>33.5</v>
      </c>
      <c r="G15" s="31">
        <v>33.5</v>
      </c>
      <c r="H15" s="31">
        <v>33.5</v>
      </c>
      <c r="I15" s="36">
        <f t="shared" si="8"/>
        <v>100</v>
      </c>
      <c r="J15" s="37"/>
      <c r="K15" s="35"/>
      <c r="L15" s="38"/>
      <c r="M15" s="3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5">
      <c r="A16" s="15"/>
      <c r="B16" s="27" t="s">
        <v>27</v>
      </c>
      <c r="C16" s="30" t="s">
        <v>21</v>
      </c>
      <c r="D16" s="31">
        <f>D14*D15/10</f>
        <v>60.1188</v>
      </c>
      <c r="E16" s="31"/>
      <c r="F16" s="31">
        <f t="shared" ref="F16:H16" si="9">F14*F15/10</f>
        <v>72.125500000000002</v>
      </c>
      <c r="G16" s="31">
        <f t="shared" si="9"/>
        <v>72.125500000000002</v>
      </c>
      <c r="H16" s="31">
        <f t="shared" si="9"/>
        <v>72.125500000000002</v>
      </c>
      <c r="I16" s="36">
        <f t="shared" si="8"/>
        <v>100</v>
      </c>
      <c r="J16" s="37"/>
      <c r="K16" s="35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25">
      <c r="A17" s="40" t="s">
        <v>30</v>
      </c>
      <c r="B17" s="16" t="s">
        <v>31</v>
      </c>
      <c r="C17" s="40" t="s">
        <v>18</v>
      </c>
      <c r="D17" s="17">
        <f>D20+D23</f>
        <v>180</v>
      </c>
      <c r="E17" s="17"/>
      <c r="F17" s="17">
        <f t="shared" ref="F17:H17" si="10">F20+F23</f>
        <v>181.11</v>
      </c>
      <c r="G17" s="17">
        <f t="shared" si="10"/>
        <v>150.5</v>
      </c>
      <c r="H17" s="17">
        <f t="shared" si="10"/>
        <v>181.11</v>
      </c>
      <c r="I17" s="17">
        <f t="shared" si="8"/>
        <v>83.098669316989671</v>
      </c>
      <c r="J17" s="300"/>
      <c r="K17" s="28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25">
      <c r="A18" s="40"/>
      <c r="B18" s="27" t="s">
        <v>25</v>
      </c>
      <c r="C18" s="30" t="s">
        <v>26</v>
      </c>
      <c r="D18" s="31">
        <f>D19/D17*10</f>
        <v>35.733333333333327</v>
      </c>
      <c r="E18" s="31"/>
      <c r="F18" s="31">
        <f>F19/F17*10</f>
        <v>37.317858759869694</v>
      </c>
      <c r="G18" s="31">
        <v>0</v>
      </c>
      <c r="H18" s="31">
        <v>0</v>
      </c>
      <c r="I18" s="31"/>
      <c r="J18" s="27"/>
      <c r="K18" s="28"/>
      <c r="L18" s="2"/>
      <c r="M18" s="39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25">
      <c r="A19" s="40"/>
      <c r="B19" s="27" t="s">
        <v>27</v>
      </c>
      <c r="C19" s="30" t="s">
        <v>21</v>
      </c>
      <c r="D19" s="31">
        <f>D22+D25</f>
        <v>643.19999999999993</v>
      </c>
      <c r="E19" s="31"/>
      <c r="F19" s="31">
        <f t="shared" ref="F19:H19" si="11">F22+F25</f>
        <v>675.86374000000012</v>
      </c>
      <c r="G19" s="31">
        <f t="shared" si="11"/>
        <v>0</v>
      </c>
      <c r="H19" s="31">
        <f t="shared" si="11"/>
        <v>0</v>
      </c>
      <c r="I19" s="31"/>
      <c r="J19" s="27"/>
      <c r="K19" s="28"/>
      <c r="L19" s="3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25">
      <c r="A20" s="40" t="s">
        <v>32</v>
      </c>
      <c r="B20" s="41" t="s">
        <v>33</v>
      </c>
      <c r="C20" s="40" t="s">
        <v>18</v>
      </c>
      <c r="D20" s="17">
        <v>160</v>
      </c>
      <c r="E20" s="17"/>
      <c r="F20" s="17">
        <f>'TUMO RONG (1)'!E22+'LONG LEO(2)'!E22+'ĐĂK CHUM 1(3)'!E22+'ĐĂK CHUM II(4)'!E22+'TU CẤP(5)'!E22+'ĐĂK KA(6)'!E22+'VĂN SANG(7)'!E22+'ĐĂK NEANG(8)'!E22+'NGỌC LEANG(9)'!E22+'ĐĂK SIÊNG(10)'!E22+'KON TUN(11)'!E22+'MÔ PẢ(12)'!E22+'TY TU(13)'!E22+'KON LING(14)'!E22+'ĐĂK PƠ TRANG(15)'!E22+'KON PIA(16)'!E22+'ĐĂK HÀ(17)'!E22</f>
        <v>173.11</v>
      </c>
      <c r="G20" s="17">
        <v>142.5</v>
      </c>
      <c r="H20" s="17">
        <v>173.11</v>
      </c>
      <c r="I20" s="17">
        <f t="shared" ref="I20" si="12">G20/F20*100</f>
        <v>82.317601525041866</v>
      </c>
      <c r="J20" s="310"/>
      <c r="K20" s="35"/>
      <c r="L20" s="21"/>
      <c r="M20" s="21"/>
      <c r="N20" s="3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25">
      <c r="A21" s="40"/>
      <c r="B21" s="27" t="s">
        <v>25</v>
      </c>
      <c r="C21" s="30" t="s">
        <v>26</v>
      </c>
      <c r="D21" s="31">
        <v>38.299999999999997</v>
      </c>
      <c r="E21" s="31"/>
      <c r="F21" s="31">
        <v>38.340000000000003</v>
      </c>
      <c r="G21" s="31"/>
      <c r="H21" s="31"/>
      <c r="I21" s="31"/>
      <c r="J21" s="37"/>
      <c r="K21" s="35"/>
      <c r="L21" s="42"/>
      <c r="M21" s="39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25">
      <c r="A22" s="40"/>
      <c r="B22" s="27" t="s">
        <v>27</v>
      </c>
      <c r="C22" s="30" t="s">
        <v>21</v>
      </c>
      <c r="D22" s="31">
        <f>D20*D21/10</f>
        <v>612.79999999999995</v>
      </c>
      <c r="E22" s="31"/>
      <c r="F22" s="31">
        <f t="shared" ref="F22:H22" si="13">F20*F21/10</f>
        <v>663.70374000000015</v>
      </c>
      <c r="G22" s="31">
        <f t="shared" si="13"/>
        <v>0</v>
      </c>
      <c r="H22" s="31">
        <f t="shared" si="13"/>
        <v>0</v>
      </c>
      <c r="I22" s="31"/>
      <c r="J22" s="37"/>
      <c r="K22" s="35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25">
      <c r="A23" s="40" t="s">
        <v>32</v>
      </c>
      <c r="B23" s="41" t="s">
        <v>34</v>
      </c>
      <c r="C23" s="40" t="s">
        <v>18</v>
      </c>
      <c r="D23" s="17">
        <v>20</v>
      </c>
      <c r="E23" s="17"/>
      <c r="F23" s="17">
        <f>'TUMO RONG (1)'!E25+'LONG LEO(2)'!E25+'ĐĂK CHUM 1(3)'!E25+'ĐĂK CHUM II(4)'!E25+'TU CẤP(5)'!E25+'ĐĂK KA(6)'!E25+'VĂN SANG(7)'!E25+'ĐĂK NEANG(8)'!E25+'NGỌC LEANG(9)'!E25+'ĐĂK SIÊNG(10)'!E25+'KON TUN(11)'!E25+'MÔ PẢ(12)'!E25+'TY TU(13)'!E25+'KON LING(14)'!E25+'ĐĂK PƠ TRANG(15)'!E25+'KON PIA(16)'!E25+'ĐĂK HÀ(17)'!E25</f>
        <v>8</v>
      </c>
      <c r="G23" s="17">
        <v>8</v>
      </c>
      <c r="H23" s="17">
        <v>8</v>
      </c>
      <c r="I23" s="17">
        <f>G23/F23*100</f>
        <v>100</v>
      </c>
      <c r="J23" s="34"/>
      <c r="K23" s="35"/>
      <c r="L23" s="3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25">
      <c r="A24" s="40"/>
      <c r="B24" s="27" t="s">
        <v>25</v>
      </c>
      <c r="C24" s="30" t="s">
        <v>26</v>
      </c>
      <c r="D24" s="31">
        <v>15.2</v>
      </c>
      <c r="E24" s="31"/>
      <c r="F24" s="31">
        <v>15.2</v>
      </c>
      <c r="G24" s="31"/>
      <c r="H24" s="31"/>
      <c r="I24" s="31"/>
      <c r="J24" s="37"/>
      <c r="K24" s="35"/>
      <c r="L24" s="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25">
      <c r="A25" s="40"/>
      <c r="B25" s="27" t="s">
        <v>27</v>
      </c>
      <c r="C25" s="30" t="s">
        <v>21</v>
      </c>
      <c r="D25" s="31">
        <f>D23*D24/10</f>
        <v>30.4</v>
      </c>
      <c r="E25" s="31"/>
      <c r="F25" s="31">
        <f t="shared" ref="F25:H25" si="14">F23*F24/10</f>
        <v>12.16</v>
      </c>
      <c r="G25" s="31">
        <f t="shared" si="14"/>
        <v>0</v>
      </c>
      <c r="H25" s="31">
        <f t="shared" si="14"/>
        <v>0</v>
      </c>
      <c r="I25" s="31"/>
      <c r="J25" s="37"/>
      <c r="K25" s="35"/>
      <c r="L25" s="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25">
      <c r="A26" s="15" t="s">
        <v>35</v>
      </c>
      <c r="B26" s="16" t="s">
        <v>36</v>
      </c>
      <c r="C26" s="15" t="s">
        <v>18</v>
      </c>
      <c r="D26" s="17">
        <f>D29+D32</f>
        <v>18</v>
      </c>
      <c r="E26" s="17">
        <v>18</v>
      </c>
      <c r="F26" s="17">
        <f t="shared" ref="F26:H26" si="15">F29+F32</f>
        <v>18</v>
      </c>
      <c r="G26" s="17">
        <f t="shared" si="15"/>
        <v>18</v>
      </c>
      <c r="H26" s="17">
        <f t="shared" si="15"/>
        <v>18</v>
      </c>
      <c r="I26" s="17">
        <f>G26/F26*100</f>
        <v>100</v>
      </c>
      <c r="J26" s="27"/>
      <c r="K26" s="28"/>
      <c r="L26" s="21"/>
      <c r="M26" s="2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25">
      <c r="A27" s="15"/>
      <c r="B27" s="27" t="s">
        <v>25</v>
      </c>
      <c r="C27" s="30" t="s">
        <v>26</v>
      </c>
      <c r="D27" s="31">
        <f>D28/D26*10</f>
        <v>40.600000000000009</v>
      </c>
      <c r="E27" s="31">
        <v>36.9</v>
      </c>
      <c r="F27" s="31">
        <f>F28/F26*10</f>
        <v>36.899999999999991</v>
      </c>
      <c r="G27" s="31"/>
      <c r="H27" s="31"/>
      <c r="I27" s="31"/>
      <c r="J27" s="27"/>
      <c r="K27" s="28"/>
      <c r="L27" s="3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25">
      <c r="A28" s="15"/>
      <c r="B28" s="27" t="s">
        <v>27</v>
      </c>
      <c r="C28" s="30" t="s">
        <v>21</v>
      </c>
      <c r="D28" s="31">
        <f>D31+D34</f>
        <v>73.080000000000013</v>
      </c>
      <c r="E28" s="31">
        <v>66</v>
      </c>
      <c r="F28" s="31">
        <f t="shared" ref="F28:H28" si="16">F31+F34</f>
        <v>66.419999999999987</v>
      </c>
      <c r="G28" s="31">
        <f t="shared" si="16"/>
        <v>0</v>
      </c>
      <c r="H28" s="31">
        <f t="shared" si="16"/>
        <v>0</v>
      </c>
      <c r="I28" s="31"/>
      <c r="J28" s="27"/>
      <c r="K28" s="28"/>
      <c r="L28" s="3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25">
      <c r="A29" s="40" t="s">
        <v>28</v>
      </c>
      <c r="B29" s="43" t="s">
        <v>37</v>
      </c>
      <c r="C29" s="40" t="s">
        <v>18</v>
      </c>
      <c r="D29" s="31">
        <f>'TUMO RONG (1)'!D31+'LONG LEO(2)'!D31+'ĐĂK CHUM 1(3)'!D31+'ĐĂK CHUM II(4)'!D31+'TU CẤP(5)'!D31+'ĐĂK KA(6)'!D31+'VĂN SANG(7)'!D31+'ĐĂK NEANG(8)'!D31+'NGỌC LEANG(9)'!D31+'ĐĂK SIÊNG(10)'!D31+'KON TUN(11)'!D31+'MÔ PẢ(12)'!D31+'TY TU(13)'!D31+'KON LING(14)'!D31+'ĐĂK PƠ TRANG(15)'!D31+'KON PIA(16)'!D31+'ĐĂK HÀ(17)'!D31</f>
        <v>0</v>
      </c>
      <c r="E29" s="31"/>
      <c r="F29" s="31">
        <f>'TUMO RONG (1)'!E31+'LONG LEO(2)'!E31+'ĐĂK CHUM 1(3)'!E31+'ĐĂK CHUM II(4)'!E31+'TU CẤP(5)'!E31+'ĐĂK KA(6)'!E31+'VĂN SANG(7)'!E31+'ĐĂK NEANG(8)'!E31+'NGỌC LEANG(9)'!E31+'ĐĂK SIÊNG(10)'!E31+'KON TUN(11)'!E31+'MÔ PẢ(12)'!E31+'TY TU(13)'!E31+'KON LING(14)'!E31+'ĐĂK PƠ TRANG(15)'!E31+'KON PIA(16)'!E31+'ĐĂK HÀ(17)'!E31</f>
        <v>0</v>
      </c>
      <c r="G29" s="31">
        <f>'TUMO RONG (1)'!F31+'LONG LEO(2)'!F31+'ĐĂK CHUM 1(3)'!F31+'ĐĂK CHUM II(4)'!F31+'TU CẤP(5)'!F31+'ĐĂK KA(6)'!F31+'VĂN SANG(7)'!F31+'ĐĂK NEANG(8)'!F31+'NGỌC LEANG(9)'!F31+'ĐĂK SIÊNG(10)'!F31+'KON TUN(11)'!F31+'MÔ PẢ(12)'!F31+'TY TU(13)'!F31+'KON LING(14)'!F31+'ĐĂK PƠ TRANG(15)'!F31+'KON PIA(16)'!F31+'ĐĂK HÀ(17)'!F31</f>
        <v>0</v>
      </c>
      <c r="H29" s="31">
        <f>'TUMO RONG (1)'!G31+'LONG LEO(2)'!G31+'ĐĂK CHUM 1(3)'!G31+'ĐĂK CHUM II(4)'!G31+'TU CẤP(5)'!G31+'ĐĂK KA(6)'!G31+'VĂN SANG(7)'!G31+'ĐĂK NEANG(8)'!G31+'NGỌC LEANG(9)'!G31+'ĐĂK SIÊNG(10)'!G31+'KON TUN(11)'!G31+'MÔ PẢ(12)'!G31+'TY TU(13)'!G31+'KON LING(14)'!G31+'ĐĂK PƠ TRANG(15)'!G31+'KON PIA(16)'!G31+'ĐĂK HÀ(17)'!G31</f>
        <v>0</v>
      </c>
      <c r="I29" s="31"/>
      <c r="J29" s="27"/>
      <c r="K29" s="28"/>
      <c r="L29" s="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25">
      <c r="A30" s="40"/>
      <c r="B30" s="27" t="s">
        <v>25</v>
      </c>
      <c r="C30" s="30" t="s">
        <v>26</v>
      </c>
      <c r="D30" s="31"/>
      <c r="E30" s="31"/>
      <c r="F30" s="31"/>
      <c r="G30" s="31"/>
      <c r="H30" s="31"/>
      <c r="I30" s="31"/>
      <c r="J30" s="27"/>
      <c r="K30" s="28"/>
      <c r="L30" s="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25">
      <c r="A31" s="40"/>
      <c r="B31" s="27" t="s">
        <v>27</v>
      </c>
      <c r="C31" s="30" t="s">
        <v>21</v>
      </c>
      <c r="D31" s="31"/>
      <c r="E31" s="31"/>
      <c r="F31" s="31"/>
      <c r="G31" s="31"/>
      <c r="H31" s="31"/>
      <c r="I31" s="31"/>
      <c r="J31" s="27"/>
      <c r="K31" s="28"/>
      <c r="L31" s="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25">
      <c r="A32" s="40" t="s">
        <v>30</v>
      </c>
      <c r="B32" s="41" t="s">
        <v>38</v>
      </c>
      <c r="C32" s="40" t="s">
        <v>18</v>
      </c>
      <c r="D32" s="17">
        <f>'TUMO RONG (1)'!D34+'LONG LEO(2)'!D34+'ĐĂK CHUM 1(3)'!D34+'ĐĂK CHUM II(4)'!D34+'TU CẤP(5)'!D34+'ĐĂK KA(6)'!D34+'VĂN SANG(7)'!D34+'ĐĂK NEANG(8)'!D34+'NGỌC LEANG(9)'!D34+'ĐĂK SIÊNG(10)'!D34+'KON TUN(11)'!D34+'MÔ PẢ(12)'!D34+'TY TU(13)'!D34+'KON LING(14)'!D34+'ĐĂK PƠ TRANG(15)'!D34+'KON PIA(16)'!D34+'ĐĂK HÀ(17)'!D34</f>
        <v>18</v>
      </c>
      <c r="E32" s="17"/>
      <c r="F32" s="17">
        <f>'TUMO RONG (1)'!E34+'LONG LEO(2)'!E34+'ĐĂK CHUM 1(3)'!E34+'ĐĂK CHUM II(4)'!E34+'TU CẤP(5)'!E34+'ĐĂK KA(6)'!E34+'VĂN SANG(7)'!E34+'ĐĂK NEANG(8)'!E34+'NGỌC LEANG(9)'!E34+'ĐĂK SIÊNG(10)'!E34+'KON TUN(11)'!E34+'MÔ PẢ(12)'!E34+'TY TU(13)'!E34+'KON LING(14)'!E34+'ĐĂK PƠ TRANG(15)'!E34+'KON PIA(16)'!E34+'ĐĂK HÀ(17)'!E34</f>
        <v>18</v>
      </c>
      <c r="G32" s="17">
        <f>'TUMO RONG (1)'!F34+'LONG LEO(2)'!F34+'ĐĂK CHUM 1(3)'!F34+'ĐĂK CHUM II(4)'!F34+'TU CẤP(5)'!F34+'ĐĂK KA(6)'!F34+'VĂN SANG(7)'!F34+'ĐĂK NEANG(8)'!F34+'NGỌC LEANG(9)'!F34+'ĐĂK SIÊNG(10)'!F34+'KON TUN(11)'!F34+'MÔ PẢ(12)'!F34+'TY TU(13)'!F34+'KON LING(14)'!F34+'ĐĂK PƠ TRANG(15)'!F34+'KON PIA(16)'!F34+'ĐĂK HÀ(17)'!F34</f>
        <v>18</v>
      </c>
      <c r="H32" s="17">
        <f>'TUMO RONG (1)'!G34+'LONG LEO(2)'!G34+'ĐĂK CHUM 1(3)'!G34+'ĐĂK CHUM II(4)'!G34+'TU CẤP(5)'!G34+'ĐĂK KA(6)'!G34+'VĂN SANG(7)'!G34+'ĐĂK NEANG(8)'!G34+'NGỌC LEANG(9)'!G34+'ĐĂK SIÊNG(10)'!G34+'KON TUN(11)'!G34+'MÔ PẢ(12)'!G34+'TY TU(13)'!G34+'KON LING(14)'!G34+'ĐĂK PƠ TRANG(15)'!G34+'KON PIA(16)'!G34+'ĐĂK HÀ(17)'!G34</f>
        <v>18</v>
      </c>
      <c r="I32" s="17">
        <f>G32/F32*100</f>
        <v>100</v>
      </c>
      <c r="J32" s="15"/>
      <c r="K32" s="44"/>
      <c r="L32" s="2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25">
      <c r="A33" s="40"/>
      <c r="B33" s="27" t="s">
        <v>25</v>
      </c>
      <c r="C33" s="30" t="s">
        <v>26</v>
      </c>
      <c r="D33" s="31">
        <v>40.6</v>
      </c>
      <c r="E33" s="31"/>
      <c r="F33" s="31">
        <v>36.9</v>
      </c>
      <c r="G33" s="31"/>
      <c r="H33" s="31"/>
      <c r="I33" s="31"/>
      <c r="J33" s="30"/>
      <c r="K33" s="44"/>
      <c r="L33" s="2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25">
      <c r="A34" s="40"/>
      <c r="B34" s="27" t="s">
        <v>27</v>
      </c>
      <c r="C34" s="30" t="s">
        <v>21</v>
      </c>
      <c r="D34" s="31">
        <f>D32*D33/10</f>
        <v>73.080000000000013</v>
      </c>
      <c r="E34" s="31"/>
      <c r="F34" s="31">
        <f t="shared" ref="F34:H34" si="17">F32*F33/10</f>
        <v>66.419999999999987</v>
      </c>
      <c r="G34" s="31">
        <f t="shared" si="17"/>
        <v>0</v>
      </c>
      <c r="H34" s="31">
        <f t="shared" si="17"/>
        <v>0</v>
      </c>
      <c r="I34" s="31"/>
      <c r="J34" s="30"/>
      <c r="K34" s="44"/>
      <c r="L34" s="21"/>
      <c r="M34" s="39"/>
      <c r="N34" s="45"/>
      <c r="O34" s="39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25">
      <c r="A35" s="15">
        <v>2</v>
      </c>
      <c r="B35" s="16" t="s">
        <v>39</v>
      </c>
      <c r="C35" s="15" t="s">
        <v>18</v>
      </c>
      <c r="D35" s="17">
        <f>'TUMO RONG (1)'!D37+'LONG LEO(2)'!D37+'ĐĂK CHUM 1(3)'!D37+'ĐĂK CHUM II(4)'!D37+'TU CẤP(5)'!D37+'ĐĂK KA(6)'!D37+'VĂN SANG(7)'!D37+'ĐĂK NEANG(8)'!D37+'NGỌC LEANG(9)'!D37+'ĐĂK SIÊNG(10)'!D37+'KON TUN(11)'!D37+'MÔ PẢ(12)'!D37+'TY TU(13)'!D37+'KON LING(14)'!D37+'ĐĂK PƠ TRANG(15)'!D37+'KON PIA(16)'!D37+'ĐĂK HÀ(17)'!D37</f>
        <v>460</v>
      </c>
      <c r="E35" s="17">
        <v>408</v>
      </c>
      <c r="F35" s="17">
        <f>'TUMO RONG (1)'!E37+'LONG LEO(2)'!E37+'ĐĂK CHUM 1(3)'!E37+'ĐĂK CHUM II(4)'!E37+'TU CẤP(5)'!E37+'ĐĂK KA(6)'!E37+'VĂN SANG(7)'!E37+'ĐĂK NEANG(8)'!E37+'NGỌC LEANG(9)'!E37+'ĐĂK SIÊNG(10)'!E37+'KON TUN(11)'!E37+'MÔ PẢ(12)'!E37+'TY TU(13)'!E37+'KON LING(14)'!E37+'ĐĂK PƠ TRANG(15)'!E37+'KON PIA(16)'!E37+'ĐĂK HÀ(17)'!E37</f>
        <v>409</v>
      </c>
      <c r="G35" s="17">
        <f>'TUMO RONG (1)'!F37+'LONG LEO(2)'!F37+'ĐĂK CHUM 1(3)'!F37+'ĐĂK CHUM II(4)'!F37+'TU CẤP(5)'!F37+'ĐĂK KA(6)'!F37+'VĂN SANG(7)'!F37+'ĐĂK NEANG(8)'!F37+'NGỌC LEANG(9)'!F37+'ĐĂK SIÊNG(10)'!F37+'KON TUN(11)'!F37+'MÔ PẢ(12)'!F37+'TY TU(13)'!F37+'KON LING(14)'!F37+'ĐĂK PƠ TRANG(15)'!F37+'KON PIA(16)'!F37+'ĐĂK HÀ(17)'!F37</f>
        <v>409.11</v>
      </c>
      <c r="H35" s="17">
        <f>'TUMO RONG (1)'!G37+'LONG LEO(2)'!G37+'ĐĂK CHUM 1(3)'!G37+'ĐĂK CHUM II(4)'!G37+'TU CẤP(5)'!G37+'ĐĂK KA(6)'!G37+'VĂN SANG(7)'!G37+'ĐĂK NEANG(8)'!G37+'NGỌC LEANG(9)'!G37+'ĐĂK SIÊNG(10)'!G37+'KON TUN(11)'!G37+'MÔ PẢ(12)'!G37+'TY TU(13)'!G37+'KON LING(14)'!G37+'ĐĂK PƠ TRANG(15)'!G37+'KON PIA(16)'!G37+'ĐĂK HÀ(17)'!G37</f>
        <v>409.11</v>
      </c>
      <c r="I35" s="17">
        <f>G35/F35*100</f>
        <v>100.02689486552568</v>
      </c>
      <c r="J35" s="40"/>
      <c r="K35" s="44"/>
      <c r="L35" s="21"/>
      <c r="M35" s="21"/>
      <c r="N35" s="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25">
      <c r="A36" s="15"/>
      <c r="B36" s="27" t="s">
        <v>25</v>
      </c>
      <c r="C36" s="30" t="s">
        <v>26</v>
      </c>
      <c r="D36" s="31">
        <v>137.5</v>
      </c>
      <c r="E36" s="31">
        <v>140</v>
      </c>
      <c r="F36" s="31">
        <v>140</v>
      </c>
      <c r="G36" s="31"/>
      <c r="H36" s="31"/>
      <c r="I36" s="31"/>
      <c r="J36" s="46"/>
      <c r="K36" s="44"/>
      <c r="L36" s="21"/>
      <c r="M36" s="39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25">
      <c r="A37" s="9"/>
      <c r="B37" s="47" t="s">
        <v>27</v>
      </c>
      <c r="C37" s="48" t="s">
        <v>21</v>
      </c>
      <c r="D37" s="49">
        <f>D35*D36/10</f>
        <v>6325</v>
      </c>
      <c r="E37" s="49">
        <v>5714</v>
      </c>
      <c r="F37" s="49">
        <f t="shared" ref="F37:H37" si="18">F35*F36/10</f>
        <v>5726</v>
      </c>
      <c r="G37" s="49">
        <f t="shared" si="18"/>
        <v>0</v>
      </c>
      <c r="H37" s="49">
        <f t="shared" si="18"/>
        <v>0</v>
      </c>
      <c r="I37" s="49"/>
      <c r="J37" s="48"/>
      <c r="K37" s="44"/>
      <c r="L37" s="21"/>
      <c r="M37" s="4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25">
      <c r="A38" s="15">
        <v>3</v>
      </c>
      <c r="B38" s="16" t="s">
        <v>40</v>
      </c>
      <c r="C38" s="15" t="s">
        <v>18</v>
      </c>
      <c r="D38" s="17">
        <f>'TUMO RONG (1)'!D40+'LONG LEO(2)'!D40+'ĐĂK CHUM 1(3)'!D40+'ĐĂK CHUM II(4)'!D40+'TU CẤP(5)'!D40+'ĐĂK KA(6)'!D40+'VĂN SANG(7)'!D40+'ĐĂK NEANG(8)'!D40+'NGỌC LEANG(9)'!D40+'ĐĂK SIÊNG(10)'!D40+'KON TUN(11)'!D40+'MÔ PẢ(12)'!D40+'TY TU(13)'!D40+'KON LING(14)'!D40+'ĐĂK PƠ TRANG(15)'!D40+'KON PIA(16)'!D40+'ĐĂK HÀ(17)'!D40</f>
        <v>4</v>
      </c>
      <c r="E38" s="17">
        <v>5</v>
      </c>
      <c r="F38" s="17">
        <f>'TUMO RONG (1)'!E40+'LONG LEO(2)'!E40+'ĐĂK CHUM 1(3)'!E40+'ĐĂK CHUM II(4)'!E40+'TU CẤP(5)'!E40+'ĐĂK KA(6)'!E40+'VĂN SANG(7)'!E40+'ĐĂK NEANG(8)'!E40+'NGỌC LEANG(9)'!E40+'ĐĂK SIÊNG(10)'!E40+'KON TUN(11)'!E40+'MÔ PẢ(12)'!E40+'TY TU(13)'!E40+'KON LING(14)'!E40+'ĐĂK PƠ TRANG(15)'!E40+'KON PIA(16)'!E40+'ĐĂK HÀ(17)'!E40</f>
        <v>5.5</v>
      </c>
      <c r="G38" s="17">
        <v>5</v>
      </c>
      <c r="H38" s="17">
        <v>5</v>
      </c>
      <c r="I38" s="17"/>
      <c r="J38" s="46"/>
      <c r="K38" s="44"/>
      <c r="L38" s="21"/>
      <c r="M38" s="38"/>
      <c r="N38" s="38"/>
      <c r="O38" s="38"/>
      <c r="P38" s="38"/>
      <c r="Q38" s="38"/>
      <c r="R38" s="38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25">
      <c r="A39" s="15"/>
      <c r="B39" s="27" t="s">
        <v>25</v>
      </c>
      <c r="C39" s="30" t="s">
        <v>26</v>
      </c>
      <c r="D39" s="31">
        <v>25</v>
      </c>
      <c r="E39" s="31">
        <v>24.1</v>
      </c>
      <c r="F39" s="31">
        <v>24.1</v>
      </c>
      <c r="G39" s="31"/>
      <c r="H39" s="31"/>
      <c r="I39" s="31"/>
      <c r="J39" s="46"/>
      <c r="K39" s="44"/>
      <c r="L39" s="21"/>
      <c r="M39" s="38"/>
      <c r="N39" s="38"/>
      <c r="O39" s="38"/>
      <c r="P39" s="38"/>
      <c r="Q39" s="38"/>
      <c r="R39" s="38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25">
      <c r="A40" s="15"/>
      <c r="B40" s="47" t="s">
        <v>27</v>
      </c>
      <c r="C40" s="48" t="s">
        <v>21</v>
      </c>
      <c r="D40" s="31">
        <f t="shared" ref="D40:H40" si="19">D38*D39/10</f>
        <v>10</v>
      </c>
      <c r="E40" s="31">
        <f t="shared" si="19"/>
        <v>12.05</v>
      </c>
      <c r="F40" s="31">
        <f t="shared" si="19"/>
        <v>13.255000000000001</v>
      </c>
      <c r="G40" s="31">
        <f t="shared" si="19"/>
        <v>0</v>
      </c>
      <c r="H40" s="31">
        <f t="shared" si="19"/>
        <v>0</v>
      </c>
      <c r="I40" s="31"/>
      <c r="J40" s="46"/>
      <c r="K40" s="44"/>
      <c r="L40" s="21"/>
      <c r="M40" s="38"/>
      <c r="N40" s="38"/>
      <c r="O40" s="38"/>
      <c r="P40" s="38"/>
      <c r="Q40" s="38"/>
      <c r="R40" s="38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25">
      <c r="A41" s="15">
        <v>4</v>
      </c>
      <c r="B41" s="16" t="s">
        <v>41</v>
      </c>
      <c r="C41" s="15" t="s">
        <v>18</v>
      </c>
      <c r="D41" s="17">
        <f>'TUMO RONG (1)'!D43+'LONG LEO(2)'!D43+'ĐĂK CHUM 1(3)'!D43+'ĐĂK CHUM II(4)'!D43+'TU CẤP(5)'!D43+'ĐĂK KA(6)'!D43+'VĂN SANG(7)'!D43+'ĐĂK NEANG(8)'!D43+'NGỌC LEANG(9)'!D43+'ĐĂK SIÊNG(10)'!D43+'KON TUN(11)'!D43+'MÔ PẢ(12)'!D43+'TY TU(13)'!D43+'KON LING(14)'!D43+'ĐĂK PƠ TRANG(15)'!D43+'KON PIA(16)'!D43+'ĐĂK HÀ(17)'!D43</f>
        <v>8</v>
      </c>
      <c r="E41" s="17">
        <v>8</v>
      </c>
      <c r="F41" s="17">
        <f>'TUMO RONG (1)'!E43+'LONG LEO(2)'!E43+'ĐĂK CHUM 1(3)'!E43+'ĐĂK CHUM II(4)'!E43+'TU CẤP(5)'!E43+'ĐĂK KA(6)'!E43+'VĂN SANG(7)'!E43+'ĐĂK NEANG(8)'!E43+'NGỌC LEANG(9)'!E43+'ĐĂK SIÊNG(10)'!E43+'KON TUN(11)'!E43+'MÔ PẢ(12)'!E43+'TY TU(13)'!E43+'KON LING(14)'!E43+'ĐĂK PƠ TRANG(15)'!E43+'KON PIA(16)'!E43+'ĐĂK HÀ(17)'!E43</f>
        <v>8.5</v>
      </c>
      <c r="G41" s="17">
        <v>5.2</v>
      </c>
      <c r="H41" s="17">
        <v>8.5</v>
      </c>
      <c r="I41" s="17">
        <f>G41/F41*100</f>
        <v>61.176470588235297</v>
      </c>
      <c r="J41" s="50"/>
      <c r="K41" s="51"/>
      <c r="L41" s="21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25">
      <c r="A42" s="30"/>
      <c r="B42" s="27" t="s">
        <v>25</v>
      </c>
      <c r="C42" s="30" t="s">
        <v>26</v>
      </c>
      <c r="D42" s="31">
        <v>100</v>
      </c>
      <c r="E42" s="31">
        <v>98.5</v>
      </c>
      <c r="F42" s="31">
        <v>98.5</v>
      </c>
      <c r="G42" s="31">
        <v>49.25</v>
      </c>
      <c r="H42" s="31">
        <v>49.25</v>
      </c>
      <c r="I42" s="31"/>
      <c r="J42" s="52"/>
      <c r="K42" s="53"/>
      <c r="L42" s="2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25">
      <c r="A43" s="30"/>
      <c r="B43" s="47" t="s">
        <v>27</v>
      </c>
      <c r="C43" s="48" t="s">
        <v>21</v>
      </c>
      <c r="D43" s="31">
        <f>'TUMO RONG (1)'!D45+'LONG LEO(2)'!D45+'ĐĂK CHUM 1(3)'!D45+'ĐĂK CHUM II(4)'!D45+'TU CẤP(5)'!D45+'ĐĂK KA(6)'!D45+'VĂN SANG(7)'!D45+'ĐĂK NEANG(8)'!D45+'NGỌC LEANG(9)'!D45+'ĐĂK SIÊNG(10)'!D45+'KON TUN(11)'!D45+'MÔ PẢ(12)'!D45+'TY TU(13)'!D45+'KON LING(14)'!D45+'ĐĂK PƠ TRANG(15)'!D45+'KON PIA(16)'!D45+'ĐĂK HÀ(17)'!D45</f>
        <v>80</v>
      </c>
      <c r="E43" s="31">
        <f t="shared" ref="E43:H43" si="20">E41*E42/10</f>
        <v>78.8</v>
      </c>
      <c r="F43" s="31">
        <f t="shared" si="20"/>
        <v>83.724999999999994</v>
      </c>
      <c r="G43" s="31">
        <f t="shared" si="20"/>
        <v>25.610000000000003</v>
      </c>
      <c r="H43" s="31">
        <f t="shared" si="20"/>
        <v>41.862499999999997</v>
      </c>
      <c r="I43" s="31"/>
      <c r="J43" s="52"/>
      <c r="K43" s="53"/>
      <c r="L43" s="2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25">
      <c r="A44" s="15">
        <v>5</v>
      </c>
      <c r="B44" s="16" t="s">
        <v>42</v>
      </c>
      <c r="C44" s="15" t="s">
        <v>18</v>
      </c>
      <c r="D44" s="17">
        <f>D45+D55+D64</f>
        <v>708.42</v>
      </c>
      <c r="E44" s="17"/>
      <c r="F44" s="17">
        <f t="shared" ref="F44:H44" si="21">F45+F55+F64</f>
        <v>878.83999999999992</v>
      </c>
      <c r="G44" s="17">
        <f t="shared" si="21"/>
        <v>780.54</v>
      </c>
      <c r="H44" s="17">
        <f t="shared" si="21"/>
        <v>864.43999999999994</v>
      </c>
      <c r="I44" s="17">
        <f t="shared" ref="I44:I50" si="22">G44/F44*100</f>
        <v>88.814801329024633</v>
      </c>
      <c r="J44" s="27"/>
      <c r="K44" s="28"/>
      <c r="L44" s="2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25">
      <c r="A45" s="54" t="s">
        <v>43</v>
      </c>
      <c r="B45" s="16" t="s">
        <v>44</v>
      </c>
      <c r="C45" s="15" t="s">
        <v>18</v>
      </c>
      <c r="D45" s="17">
        <f>D46+D47</f>
        <v>558.79999999999995</v>
      </c>
      <c r="E45" s="17">
        <v>689.6</v>
      </c>
      <c r="F45" s="17">
        <f t="shared" ref="F45:H45" si="23">F46+F47</f>
        <v>708.8</v>
      </c>
      <c r="G45" s="17">
        <f t="shared" si="23"/>
        <v>622.4</v>
      </c>
      <c r="H45" s="17">
        <f t="shared" si="23"/>
        <v>708.8</v>
      </c>
      <c r="I45" s="17">
        <f t="shared" si="22"/>
        <v>87.810383747178335</v>
      </c>
      <c r="J45" s="27"/>
      <c r="K45" s="55"/>
      <c r="L45" s="21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</row>
    <row r="46" spans="1:26" ht="21" customHeight="1" x14ac:dyDescent="0.25">
      <c r="A46" s="57" t="s">
        <v>32</v>
      </c>
      <c r="B46" s="58" t="s">
        <v>45</v>
      </c>
      <c r="C46" s="59" t="s">
        <v>18</v>
      </c>
      <c r="D46" s="31">
        <f>'TUMO RONG (1)'!D48+'LONG LEO(2)'!D48+'ĐĂK CHUM 1(3)'!D48+'ĐĂK CHUM II(4)'!D48+'TU CẤP(5)'!D48+'ĐĂK KA(6)'!D48+'VĂN SANG(7)'!D48+'ĐĂK NEANG(8)'!D48+'NGỌC LEANG(9)'!D48+'ĐĂK SIÊNG(10)'!D48+'KON TUN(11)'!D48+'MÔ PẢ(12)'!D48+'TY TU(13)'!D48+'KON LING(14)'!D48+'ĐĂK PƠ TRANG(15)'!D48+'KON PIA(16)'!D48+'ĐĂK HÀ(17)'!D48</f>
        <v>461.09999999999997</v>
      </c>
      <c r="E46" s="31"/>
      <c r="F46" s="31">
        <f>'TUMO RONG (1)'!E48+'LONG LEO(2)'!E48+'ĐĂK CHUM 1(3)'!E48+'ĐĂK CHUM II(4)'!E48+'TU CẤP(5)'!E48+'ĐĂK KA(6)'!E48+'VĂN SANG(7)'!E48+'ĐĂK NEANG(8)'!E48+'NGỌC LEANG(9)'!E48+'ĐĂK SIÊNG(10)'!E48+'KON TUN(11)'!E48+'MÔ PẢ(12)'!E48+'TY TU(13)'!E48+'KON LING(14)'!E48+'ĐĂK PƠ TRANG(15)'!E48+'KON PIA(16)'!E48+'ĐĂK HÀ(17)'!E48</f>
        <v>558.79999999999995</v>
      </c>
      <c r="G46" s="31">
        <f>'TUMO RONG (1)'!F48+'LONG LEO(2)'!F48+'ĐĂK CHUM 1(3)'!F48+'ĐĂK CHUM II(4)'!F48+'TU CẤP(5)'!F48+'ĐĂK KA(6)'!F48+'VĂN SANG(7)'!F48+'ĐĂK NEANG(8)'!F48+'NGỌC LEANG(9)'!F48+'ĐĂK SIÊNG(10)'!F48+'KON TUN(11)'!F48+'MÔ PẢ(12)'!F48+'TY TU(13)'!F48+'KON LING(14)'!F48+'ĐĂK PƠ TRANG(15)'!F48+'KON PIA(16)'!F48+'ĐĂK HÀ(17)'!F48</f>
        <v>558.79999999999995</v>
      </c>
      <c r="H46" s="31">
        <f>'TUMO RONG (1)'!G48+'LONG LEO(2)'!G48+'ĐĂK CHUM 1(3)'!G48+'ĐĂK CHUM II(4)'!G48+'TU CẤP(5)'!G48+'ĐĂK KA(6)'!G48+'VĂN SANG(7)'!G48+'ĐĂK NEANG(8)'!G48+'NGỌC LEANG(9)'!G48+'ĐĂK SIÊNG(10)'!G48+'KON TUN(11)'!G48+'MÔ PẢ(12)'!G48+'TY TU(13)'!G48+'KON LING(14)'!G48+'ĐĂK PƠ TRANG(15)'!G48+'KON PIA(16)'!G48+'ĐĂK HÀ(17)'!G48</f>
        <v>558.79999999999995</v>
      </c>
      <c r="I46" s="31">
        <f t="shared" si="22"/>
        <v>100</v>
      </c>
      <c r="J46" s="60"/>
      <c r="K46" s="61"/>
      <c r="L46" s="21"/>
      <c r="M46" s="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25">
      <c r="A47" s="15" t="s">
        <v>28</v>
      </c>
      <c r="B47" s="16" t="s">
        <v>46</v>
      </c>
      <c r="C47" s="62" t="s">
        <v>18</v>
      </c>
      <c r="D47" s="17">
        <f>D48+D49</f>
        <v>97.7</v>
      </c>
      <c r="E47" s="17">
        <v>150</v>
      </c>
      <c r="F47" s="17">
        <f t="shared" ref="F47:H47" si="24">F48+F49</f>
        <v>150</v>
      </c>
      <c r="G47" s="17">
        <f t="shared" si="24"/>
        <v>63.599999999999994</v>
      </c>
      <c r="H47" s="17">
        <f t="shared" si="24"/>
        <v>150</v>
      </c>
      <c r="I47" s="17">
        <f t="shared" si="22"/>
        <v>42.4</v>
      </c>
      <c r="J47" s="16"/>
      <c r="K47" s="19"/>
      <c r="L47" s="21"/>
      <c r="M47" s="63"/>
      <c r="N47" s="21"/>
      <c r="O47" s="21"/>
      <c r="P47" s="23"/>
      <c r="Q47" s="23"/>
      <c r="R47" s="23"/>
      <c r="S47" s="23"/>
      <c r="T47" s="23"/>
      <c r="U47" s="23"/>
      <c r="V47" s="22"/>
      <c r="W47" s="22"/>
      <c r="X47" s="22"/>
      <c r="Y47" s="22"/>
      <c r="Z47" s="22"/>
    </row>
    <row r="48" spans="1:26" ht="28.5" customHeight="1" x14ac:dyDescent="0.25">
      <c r="A48" s="59" t="s">
        <v>47</v>
      </c>
      <c r="B48" s="64" t="s">
        <v>287</v>
      </c>
      <c r="C48" s="59" t="s">
        <v>18</v>
      </c>
      <c r="D48" s="31">
        <f>'TUMO RONG (1)'!D50+'LONG LEO(2)'!D50+'ĐĂK CHUM 1(3)'!D50+'ĐĂK CHUM II(4)'!D50+'TU CẤP(5)'!D50+'ĐĂK KA(6)'!D50+'VĂN SANG(7)'!D50+'ĐĂK NEANG(8)'!D50+'NGỌC LEANG(9)'!D50+'ĐĂK SIÊNG(10)'!D50+'KON TUN(11)'!D50+'MÔ PẢ(12)'!D50+'TY TU(13)'!D50+'KON LING(14)'!D50+'ĐĂK PƠ TRANG(15)'!D50+'KON PIA(16)'!D50+'ĐĂK HÀ(17)'!D50</f>
        <v>87.2</v>
      </c>
      <c r="E48" s="31"/>
      <c r="F48" s="83">
        <f>'TUMO RONG (1)'!E50+'LONG LEO(2)'!E50+'ĐĂK CHUM 1(3)'!E50+'ĐĂK CHUM II(4)'!E50+'TU CẤP(5)'!E50+'ĐĂK KA(6)'!E50+'VĂN SANG(7)'!E50+'ĐĂK NEANG(8)'!E50+'NGỌC LEANG(9)'!E50+'ĐĂK SIÊNG(10)'!E50+'KON TUN(11)'!E50+'MÔ PẢ(12)'!E50+'TY TU(13)'!E50+'KON LING(14)'!E50+'ĐĂK PƠ TRANG(15)'!E50+'KON PIA(16)'!E50+'ĐĂK HÀ(17)'!E50</f>
        <v>140</v>
      </c>
      <c r="G48" s="309">
        <v>55.3</v>
      </c>
      <c r="H48" s="83">
        <v>140</v>
      </c>
      <c r="I48" s="302">
        <f t="shared" si="22"/>
        <v>39.499999999999993</v>
      </c>
      <c r="J48" s="301"/>
      <c r="K48" s="28"/>
      <c r="L48" s="21"/>
      <c r="M48" s="45"/>
      <c r="N48" s="33"/>
      <c r="O48" s="33"/>
      <c r="P48" s="33"/>
      <c r="Q48" s="33"/>
      <c r="R48" s="33"/>
      <c r="S48" s="33"/>
      <c r="T48" s="33"/>
      <c r="U48" s="33"/>
      <c r="V48" s="33"/>
      <c r="W48" s="1"/>
      <c r="X48" s="1"/>
      <c r="Y48" s="1"/>
      <c r="Z48" s="1"/>
    </row>
    <row r="49" spans="1:26" ht="22.5" customHeight="1" x14ac:dyDescent="0.25">
      <c r="A49" s="59" t="s">
        <v>47</v>
      </c>
      <c r="B49" s="64" t="s">
        <v>49</v>
      </c>
      <c r="C49" s="30" t="s">
        <v>18</v>
      </c>
      <c r="D49" s="31">
        <f>'TUMO RONG (1)'!D51+'LONG LEO(2)'!D51+'ĐĂK CHUM 1(3)'!D51+'ĐĂK CHUM II(4)'!D51+'TU CẤP(5)'!D51+'ĐĂK KA(6)'!D51+'VĂN SANG(7)'!D51+'ĐĂK NEANG(8)'!D51+'NGỌC LEANG(9)'!D51+'ĐĂK SIÊNG(10)'!D51+'KON TUN(11)'!D51+'MÔ PẢ(12)'!D51+'TY TU(13)'!D51+'KON LING(14)'!D51+'ĐĂK PƠ TRANG(15)'!D51+'KON PIA(16)'!D51+'ĐĂK HÀ(17)'!D51</f>
        <v>10.500000000000002</v>
      </c>
      <c r="E49" s="31"/>
      <c r="F49" s="83">
        <f>'TUMO RONG (1)'!E51+'LONG LEO(2)'!E51+'ĐĂK CHUM 1(3)'!E51+'ĐĂK CHUM II(4)'!E51+'TU CẤP(5)'!E51+'ĐĂK KA(6)'!E51+'VĂN SANG(7)'!E51+'ĐĂK NEANG(8)'!E51+'NGỌC LEANG(9)'!E51+'ĐĂK SIÊNG(10)'!E51+'KON TUN(11)'!E51+'MÔ PẢ(12)'!E51+'TY TU(13)'!E51+'KON LING(14)'!E51+'ĐĂK PƠ TRANG(15)'!E51+'KON PIA(16)'!E51+'ĐĂK HÀ(17)'!E51</f>
        <v>10</v>
      </c>
      <c r="G49" s="309">
        <v>8.3000000000000007</v>
      </c>
      <c r="H49" s="83">
        <v>10</v>
      </c>
      <c r="I49" s="83">
        <f>G49/F49*100</f>
        <v>83</v>
      </c>
      <c r="J49" s="37"/>
      <c r="K49" s="35"/>
      <c r="L49" s="21"/>
      <c r="M49" s="1"/>
      <c r="N49" s="33"/>
      <c r="O49" s="33"/>
      <c r="P49" s="33"/>
      <c r="Q49" s="33"/>
      <c r="R49" s="33"/>
      <c r="S49" s="33"/>
      <c r="T49" s="33"/>
      <c r="U49" s="33"/>
      <c r="V49" s="33"/>
      <c r="W49" s="1"/>
      <c r="X49" s="1"/>
      <c r="Y49" s="1"/>
      <c r="Z49" s="1"/>
    </row>
    <row r="50" spans="1:26" ht="22.5" customHeight="1" x14ac:dyDescent="0.25">
      <c r="A50" s="14" t="s">
        <v>30</v>
      </c>
      <c r="B50" s="24" t="s">
        <v>50</v>
      </c>
      <c r="C50" s="15" t="s">
        <v>18</v>
      </c>
      <c r="D50" s="17">
        <f>D53+D54</f>
        <v>282</v>
      </c>
      <c r="E50" s="17"/>
      <c r="F50" s="17">
        <f t="shared" ref="F50:H50" si="25">F53+F54</f>
        <v>389.21600000000001</v>
      </c>
      <c r="G50" s="17">
        <f t="shared" si="25"/>
        <v>389.21999999999997</v>
      </c>
      <c r="H50" s="17">
        <f t="shared" si="25"/>
        <v>389.21999999999997</v>
      </c>
      <c r="I50" s="17">
        <f t="shared" si="22"/>
        <v>100.00102770698018</v>
      </c>
      <c r="J50" s="34"/>
      <c r="K50" s="65"/>
      <c r="L50" s="23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4.75" customHeight="1" x14ac:dyDescent="0.25">
      <c r="A51" s="14"/>
      <c r="B51" s="27" t="s">
        <v>25</v>
      </c>
      <c r="C51" s="30" t="s">
        <v>26</v>
      </c>
      <c r="D51" s="31">
        <v>13.5</v>
      </c>
      <c r="E51" s="31"/>
      <c r="F51" s="31">
        <v>13.5</v>
      </c>
      <c r="G51" s="31"/>
      <c r="H51" s="31"/>
      <c r="I51" s="83">
        <f>G51/F51*100</f>
        <v>0</v>
      </c>
      <c r="J51" s="34"/>
      <c r="K51" s="65"/>
      <c r="L51" s="23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4.75" customHeight="1" x14ac:dyDescent="0.25">
      <c r="A52" s="14"/>
      <c r="B52" s="27" t="s">
        <v>27</v>
      </c>
      <c r="C52" s="30" t="s">
        <v>21</v>
      </c>
      <c r="D52" s="31">
        <f>D50*D51/10</f>
        <v>380.7</v>
      </c>
      <c r="E52" s="31"/>
      <c r="F52" s="31">
        <f t="shared" ref="F52:H52" si="26">F50*F51/10</f>
        <v>525.44159999999999</v>
      </c>
      <c r="G52" s="31">
        <f t="shared" si="26"/>
        <v>0</v>
      </c>
      <c r="H52" s="31">
        <f t="shared" si="26"/>
        <v>0</v>
      </c>
      <c r="I52" s="83">
        <f t="shared" ref="I52:I53" si="27">G52/F52*100</f>
        <v>0</v>
      </c>
      <c r="J52" s="34"/>
      <c r="K52" s="65"/>
      <c r="L52" s="23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4.75" customHeight="1" x14ac:dyDescent="0.25">
      <c r="A53" s="66" t="s">
        <v>47</v>
      </c>
      <c r="B53" s="64" t="s">
        <v>51</v>
      </c>
      <c r="C53" s="30" t="s">
        <v>18</v>
      </c>
      <c r="D53" s="31">
        <f>'TUMO RONG (1)'!D53+'LONG LEO(2)'!D53+'ĐĂK CHUM 1(3)'!D53+'ĐĂK CHUM II(4)'!D53+'TU CẤP(5)'!D53+'ĐĂK KA(6)'!D53+'VĂN SANG(7)'!D53+'ĐĂK NEANG(8)'!D53+'NGỌC LEANG(9)'!D53+'ĐĂK SIÊNG(10)'!D53+'KON TUN(11)'!D53+'MÔ PẢ(12)'!D53+'TY TU(13)'!D53+'KON LING(14)'!D53+'ĐĂK PƠ TRANG(15)'!D53+'KON PIA(16)'!D53+'ĐĂK HÀ(17)'!D53</f>
        <v>231.99999999999997</v>
      </c>
      <c r="E53" s="31"/>
      <c r="F53" s="31">
        <f>'TUMO RONG (1)'!E53+'LONG LEO(2)'!E53+'ĐĂK CHUM 1(3)'!E53+'ĐĂK CHUM II(4)'!E53+'TU CẤP(5)'!E53+'ĐĂK KA(6)'!E53+'VĂN SANG(7)'!E53+'ĐĂK NEANG(8)'!E53+'NGỌC LEANG(9)'!E53+'ĐĂK SIÊNG(10)'!E53+'KON TUN(11)'!E53+'MÔ PẢ(12)'!E53+'TY TU(13)'!E53+'KON LING(14)'!E53+'ĐĂK PƠ TRANG(15)'!E53+'KON PIA(16)'!E53+'ĐĂK HÀ(17)'!E53</f>
        <v>389.21600000000001</v>
      </c>
      <c r="G53" s="31">
        <f>'TUMO RONG (1)'!F53+'LONG LEO(2)'!F53+'ĐĂK CHUM 1(3)'!F53+'ĐĂK CHUM II(4)'!F53+'TU CẤP(5)'!F53+'ĐĂK KA(6)'!F53+'VĂN SANG(7)'!F53+'ĐĂK NEANG(8)'!F53+'NGỌC LEANG(9)'!F53+'ĐĂK SIÊNG(10)'!F53+'KON TUN(11)'!F53+'MÔ PẢ(12)'!F53+'TY TU(13)'!F53+'KON LING(14)'!F53+'ĐĂK PƠ TRANG(15)'!F53+'KON PIA(16)'!F53+'ĐĂK HÀ(17)'!F53</f>
        <v>389.21999999999997</v>
      </c>
      <c r="H53" s="31">
        <f>'TUMO RONG (1)'!G53+'LONG LEO(2)'!G53+'ĐĂK CHUM 1(3)'!G53+'ĐĂK CHUM II(4)'!G53+'TU CẤP(5)'!G53+'ĐĂK KA(6)'!G53+'VĂN SANG(7)'!G53+'ĐĂK NEANG(8)'!G53+'NGỌC LEANG(9)'!G53+'ĐĂK SIÊNG(10)'!G53+'KON TUN(11)'!G53+'MÔ PẢ(12)'!G53+'TY TU(13)'!G53+'KON LING(14)'!G53+'ĐĂK PƠ TRANG(15)'!G53+'KON PIA(16)'!G53+'ĐĂK HÀ(17)'!G53</f>
        <v>389.21999999999997</v>
      </c>
      <c r="I53" s="83">
        <f t="shared" si="27"/>
        <v>100.00102770698018</v>
      </c>
      <c r="J53" s="37"/>
      <c r="K53" s="35"/>
      <c r="L53" s="2"/>
      <c r="M53" s="1"/>
      <c r="N53" s="1"/>
      <c r="O53" s="1"/>
      <c r="P53" s="39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25">
      <c r="A54" s="30"/>
      <c r="B54" s="64" t="s">
        <v>52</v>
      </c>
      <c r="C54" s="30" t="s">
        <v>18</v>
      </c>
      <c r="D54" s="31">
        <f>'TUMO RONG (1)'!D54+'LONG LEO(2)'!D54+'ĐĂK CHUM 1(3)'!D54+'ĐĂK CHUM II(4)'!D54+'TU CẤP(5)'!D54+'ĐĂK KA(6)'!D54+'VĂN SANG(7)'!D54+'ĐĂK NEANG(8)'!D54+'NGỌC LEANG(9)'!D54+'ĐĂK SIÊNG(10)'!D54+'KON TUN(11)'!D54+'MÔ PẢ(12)'!D54+'TY TU(13)'!D54+'KON LING(14)'!D54+'ĐĂK PƠ TRANG(15)'!D54+'KON PIA(16)'!D54+'ĐĂK HÀ(17)'!D54</f>
        <v>50</v>
      </c>
      <c r="E54" s="31"/>
      <c r="F54" s="17">
        <f>'TUMO RONG (1)'!E54+'LONG LEO(2)'!E54+'ĐĂK CHUM 1(3)'!E54+'ĐĂK CHUM II(4)'!E54+'TU CẤP(5)'!E54+'ĐĂK KA(6)'!E54+'VĂN SANG(7)'!E54+'ĐĂK NEANG(8)'!E54+'NGỌC LEANG(9)'!E54+'ĐĂK SIÊNG(10)'!E54+'KON TUN(11)'!E54+'MÔ PẢ(12)'!E54+'TY TU(13)'!E54+'KON LING(14)'!E54+'ĐĂK PƠ TRANG(15)'!E54+'KON PIA(16)'!E54+'ĐĂK HÀ(17)'!E54</f>
        <v>0</v>
      </c>
      <c r="G54" s="17">
        <f>'TUMO RONG (1)'!F54+'LONG LEO(2)'!F54+'ĐĂK CHUM 1(3)'!F54+'ĐĂK CHUM II(4)'!F54+'TU CẤP(5)'!F54+'ĐĂK KA(6)'!F54+'VĂN SANG(7)'!F54+'ĐĂK NEANG(8)'!F54+'NGỌC LEANG(9)'!F54+'ĐĂK SIÊNG(10)'!F54+'KON TUN(11)'!F54+'MÔ PẢ(12)'!F54+'TY TU(13)'!F54+'KON LING(14)'!F54+'ĐĂK PƠ TRANG(15)'!F54+'KON PIA(16)'!F54+'ĐĂK HÀ(17)'!F54</f>
        <v>0</v>
      </c>
      <c r="H54" s="17">
        <f>'TUMO RONG (1)'!G54+'LONG LEO(2)'!G54+'ĐĂK CHUM 1(3)'!G54+'ĐĂK CHUM II(4)'!G54+'TU CẤP(5)'!G54+'ĐĂK KA(6)'!G54+'VĂN SANG(7)'!G54+'ĐĂK NEANG(8)'!G54+'NGỌC LEANG(9)'!G54+'ĐĂK SIÊNG(10)'!G54+'KON TUN(11)'!G54+'MÔ PẢ(12)'!G54+'TY TU(13)'!G54+'KON LING(14)'!G54+'ĐĂK PƠ TRANG(15)'!G54+'KON PIA(16)'!G54+'ĐĂK HÀ(17)'!G54</f>
        <v>0</v>
      </c>
      <c r="I54" s="83"/>
      <c r="J54" s="37"/>
      <c r="K54" s="35"/>
      <c r="L54" s="2"/>
      <c r="M54" s="1"/>
      <c r="N54" s="1"/>
      <c r="O54" s="1"/>
      <c r="P54" s="39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25">
      <c r="A55" s="15" t="s">
        <v>53</v>
      </c>
      <c r="B55" s="16" t="s">
        <v>54</v>
      </c>
      <c r="C55" s="15" t="s">
        <v>18</v>
      </c>
      <c r="D55" s="17">
        <f>D56+D57</f>
        <v>114.94</v>
      </c>
      <c r="E55" s="17">
        <v>126</v>
      </c>
      <c r="F55" s="17">
        <f t="shared" ref="F55:H55" si="28">F56+F57</f>
        <v>135.35999999999999</v>
      </c>
      <c r="G55" s="17">
        <f t="shared" si="28"/>
        <v>123.46</v>
      </c>
      <c r="H55" s="17">
        <f t="shared" si="28"/>
        <v>120.96</v>
      </c>
      <c r="I55" s="17">
        <f t="shared" ref="I55:I56" si="29">G55/F55*100</f>
        <v>91.208628841607577</v>
      </c>
      <c r="J55" s="27"/>
      <c r="K55" s="55"/>
      <c r="L55" s="67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</row>
    <row r="56" spans="1:26" ht="24" customHeight="1" x14ac:dyDescent="0.25">
      <c r="A56" s="30" t="s">
        <v>32</v>
      </c>
      <c r="B56" s="58" t="s">
        <v>55</v>
      </c>
      <c r="C56" s="30" t="s">
        <v>18</v>
      </c>
      <c r="D56" s="31">
        <f>'TUMO RONG (1)'!D56+'LONG LEO(2)'!D56+'ĐĂK CHUM 1(3)'!D56+'ĐĂK CHUM II(4)'!D56+'TU CẤP(5)'!D56+'ĐĂK KA(6)'!D56+'VĂN SANG(7)'!D56+'ĐĂK NEANG(8)'!D56+'NGỌC LEANG(9)'!D56+'ĐĂK SIÊNG(10)'!D56+'KON TUN(11)'!D56+'MÔ PẢ(12)'!D56+'TY TU(13)'!D56+'KON LING(14)'!D56+'ĐĂK PƠ TRANG(15)'!D56+'KON PIA(16)'!D56+'ĐĂK HÀ(17)'!D56</f>
        <v>112.56</v>
      </c>
      <c r="E56" s="31"/>
      <c r="F56" s="31">
        <f>'TUMO RONG (1)'!E56+'LONG LEO(2)'!E56+'ĐĂK CHUM 1(3)'!E56+'ĐĂK CHUM II(4)'!E56+'TU CẤP(5)'!E56+'ĐĂK KA(6)'!E56+'VĂN SANG(7)'!E56+'ĐĂK NEANG(8)'!E56+'NGỌC LEANG(9)'!E56+'ĐĂK SIÊNG(10)'!E56+'KON TUN(11)'!E56+'MÔ PẢ(12)'!E56+'TY TU(13)'!E56+'KON LING(14)'!E56+'ĐĂK PƠ TRANG(15)'!E56+'KON PIA(16)'!E56+'ĐĂK HÀ(17)'!E56</f>
        <v>120.96</v>
      </c>
      <c r="G56" s="31">
        <f>'TUMO RONG (1)'!F56+'LONG LEO(2)'!F56+'ĐĂK CHUM 1(3)'!F56+'ĐĂK CHUM II(4)'!F56+'TU CẤP(5)'!F56+'ĐĂK KA(6)'!F56+'VĂN SANG(7)'!F56+'ĐĂK NEANG(8)'!F56+'NGỌC LEANG(9)'!F56+'ĐĂK SIÊNG(10)'!F56+'KON TUN(11)'!F56+'MÔ PẢ(12)'!F56+'TY TU(13)'!F56+'KON LING(14)'!F56+'ĐĂK PƠ TRANG(15)'!F56+'KON PIA(16)'!F56+'ĐĂK HÀ(17)'!F56</f>
        <v>120.96</v>
      </c>
      <c r="H56" s="31">
        <f>'TUMO RONG (1)'!G56+'LONG LEO(2)'!G56+'ĐĂK CHUM 1(3)'!G56+'ĐĂK CHUM II(4)'!G56+'TU CẤP(5)'!G56+'ĐĂK KA(6)'!G56+'VĂN SANG(7)'!G56+'ĐĂK NEANG(8)'!G56+'NGỌC LEANG(9)'!G56+'ĐĂK SIÊNG(10)'!G56+'KON TUN(11)'!G56+'MÔ PẢ(12)'!G56+'TY TU(13)'!G56+'KON LING(14)'!G56+'ĐĂK PƠ TRANG(15)'!G56+'KON PIA(16)'!G56+'ĐĂK HÀ(17)'!G56</f>
        <v>120.96</v>
      </c>
      <c r="I56" s="31">
        <f t="shared" si="29"/>
        <v>100</v>
      </c>
      <c r="J56" s="37"/>
      <c r="K56" s="35"/>
      <c r="L56" s="3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 x14ac:dyDescent="0.25">
      <c r="A57" s="30" t="s">
        <v>32</v>
      </c>
      <c r="B57" s="27" t="s">
        <v>56</v>
      </c>
      <c r="C57" s="30" t="s">
        <v>18</v>
      </c>
      <c r="D57" s="31">
        <f>D58+D61</f>
        <v>2.38</v>
      </c>
      <c r="E57" s="31">
        <v>14.4</v>
      </c>
      <c r="F57" s="31">
        <f t="shared" ref="F57:H57" si="30">F58+F61</f>
        <v>14.399999999999999</v>
      </c>
      <c r="G57" s="31">
        <v>2.5</v>
      </c>
      <c r="H57" s="31">
        <f t="shared" si="30"/>
        <v>0</v>
      </c>
      <c r="I57" s="31"/>
      <c r="J57" s="68"/>
      <c r="K57" s="69"/>
      <c r="L57" s="21"/>
      <c r="M57" s="2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25">
      <c r="A58" s="46" t="s">
        <v>28</v>
      </c>
      <c r="B58" s="70" t="s">
        <v>57</v>
      </c>
      <c r="C58" s="30" t="s">
        <v>18</v>
      </c>
      <c r="D58" s="71">
        <f>D59+D60</f>
        <v>0.28000000000000003</v>
      </c>
      <c r="E58" s="71"/>
      <c r="F58" s="71">
        <f t="shared" ref="F58:H58" si="31">F59+F60</f>
        <v>8.3999999999999986</v>
      </c>
      <c r="G58" s="71">
        <f t="shared" si="31"/>
        <v>0</v>
      </c>
      <c r="H58" s="71">
        <f t="shared" si="31"/>
        <v>0</v>
      </c>
      <c r="I58" s="71"/>
      <c r="J58" s="72"/>
      <c r="K58" s="73"/>
      <c r="L58" s="74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27.75" customHeight="1" x14ac:dyDescent="0.25">
      <c r="A59" s="30" t="s">
        <v>47</v>
      </c>
      <c r="B59" s="58" t="s">
        <v>58</v>
      </c>
      <c r="C59" s="30" t="s">
        <v>18</v>
      </c>
      <c r="D59" s="31">
        <f>'TUMO RONG (1)'!D59+'LONG LEO(2)'!D59+'ĐĂK CHUM 1(3)'!D59+'ĐĂK CHUM II(4)'!D59+'TU CẤP(5)'!D59+'ĐĂK KA(6)'!D59+'VĂN SANG(7)'!D59+'ĐĂK NEANG(8)'!D59+'NGỌC LEANG(9)'!D59+'ĐĂK SIÊNG(10)'!D59+'KON TUN(11)'!D59+'MÔ PẢ(12)'!D59+'TY TU(13)'!D59+'KON LING(14)'!D59+'ĐĂK PƠ TRANG(15)'!D59+'KON PIA(16)'!D59+'ĐĂK HÀ(17)'!D59</f>
        <v>0.28000000000000003</v>
      </c>
      <c r="E59" s="31"/>
      <c r="F59" s="31">
        <f>'TUMO RONG (1)'!E59+'LONG LEO(2)'!E59+'ĐĂK CHUM 1(3)'!E59+'ĐĂK CHUM II(4)'!E59+'TU CẤP(5)'!E59+'ĐĂK KA(6)'!E59+'VĂN SANG(7)'!E59+'ĐĂK NEANG(8)'!E59+'NGỌC LEANG(9)'!E59+'ĐĂK SIÊNG(10)'!E59+'KON TUN(11)'!E59+'MÔ PẢ(12)'!E59+'TY TU(13)'!E59+'KON LING(14)'!E59+'ĐĂK PƠ TRANG(15)'!E59+'KON PIA(16)'!E59+'ĐĂK HÀ(17)'!E59</f>
        <v>4.4999999999999991</v>
      </c>
      <c r="G59" s="31">
        <f>'TUMO RONG (1)'!F59+'LONG LEO(2)'!F59+'ĐĂK CHUM 1(3)'!F59+'ĐĂK CHUM II(4)'!F59+'TU CẤP(5)'!F59+'ĐĂK KA(6)'!F59+'VĂN SANG(7)'!F59+'ĐĂK NEANG(8)'!F59+'NGỌC LEANG(9)'!F59+'ĐĂK SIÊNG(10)'!F59+'KON TUN(11)'!F59+'MÔ PẢ(12)'!F59+'TY TU(13)'!F59+'KON LING(14)'!F59+'ĐĂK PƠ TRANG(15)'!F59+'KON PIA(16)'!F59+'ĐĂK HÀ(17)'!F59</f>
        <v>0</v>
      </c>
      <c r="H59" s="31">
        <f>'TUMO RONG (1)'!G59+'LONG LEO(2)'!G59+'ĐĂK CHUM 1(3)'!G59+'ĐĂK CHUM II(4)'!G59+'TU CẤP(5)'!G59+'ĐĂK KA(6)'!G59+'VĂN SANG(7)'!G59+'ĐĂK NEANG(8)'!G59+'NGỌC LEANG(9)'!G59+'ĐĂK SIÊNG(10)'!G59+'KON TUN(11)'!G59+'MÔ PẢ(12)'!G59+'TY TU(13)'!G59+'KON LING(14)'!G59+'ĐĂK PƠ TRANG(15)'!G59+'KON PIA(16)'!G59+'ĐĂK HÀ(17)'!G59</f>
        <v>0</v>
      </c>
      <c r="I59" s="31"/>
      <c r="J59" s="27"/>
      <c r="K59" s="28"/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8.25" customHeight="1" x14ac:dyDescent="0.25">
      <c r="A60" s="30" t="s">
        <v>47</v>
      </c>
      <c r="B60" s="58" t="s">
        <v>59</v>
      </c>
      <c r="C60" s="30" t="s">
        <v>18</v>
      </c>
      <c r="D60" s="31">
        <f>'TUMO RONG (1)'!D60+'LONG LEO(2)'!D60+'ĐĂK CHUM 1(3)'!D60+'ĐĂK CHUM II(4)'!D60+'TU CẤP(5)'!D60+'ĐĂK KA(6)'!D60+'VĂN SANG(7)'!D60+'ĐĂK NEANG(8)'!D60+'NGỌC LEANG(9)'!D60+'ĐĂK SIÊNG(10)'!D60+'KON TUN(11)'!D60+'MÔ PẢ(12)'!D60+'TY TU(13)'!D60+'KON LING(14)'!D60+'ĐĂK PƠ TRANG(15)'!D60+'KON PIA(16)'!D60+'ĐĂK HÀ(17)'!D60</f>
        <v>0</v>
      </c>
      <c r="E60" s="31"/>
      <c r="F60" s="31">
        <f>'TUMO RONG (1)'!E60+'LONG LEO(2)'!E60+'ĐĂK CHUM 1(3)'!E60+'ĐĂK CHUM II(4)'!E60+'TU CẤP(5)'!E60+'ĐĂK KA(6)'!E60+'VĂN SANG(7)'!E60+'ĐĂK NEANG(8)'!E60+'NGỌC LEANG(9)'!E60+'ĐĂK SIÊNG(10)'!E60+'KON TUN(11)'!E60+'MÔ PẢ(12)'!E60+'TY TU(13)'!E60+'KON LING(14)'!E60+'ĐĂK PƠ TRANG(15)'!E60+'KON PIA(16)'!E60+'ĐĂK HÀ(17)'!E60</f>
        <v>3.9000000000000004</v>
      </c>
      <c r="G60" s="31">
        <f>'TUMO RONG (1)'!F60+'LONG LEO(2)'!F60+'ĐĂK CHUM 1(3)'!F60+'ĐĂK CHUM II(4)'!F60+'TU CẤP(5)'!F60+'ĐĂK KA(6)'!F60+'VĂN SANG(7)'!F60+'ĐĂK NEANG(8)'!F60+'NGỌC LEANG(9)'!F60+'ĐĂK SIÊNG(10)'!F60+'KON TUN(11)'!F60+'MÔ PẢ(12)'!F60+'TY TU(13)'!F60+'KON LING(14)'!F60+'ĐĂK PƠ TRANG(15)'!F60+'KON PIA(16)'!F60+'ĐĂK HÀ(17)'!F60</f>
        <v>0</v>
      </c>
      <c r="H60" s="31">
        <f>'TUMO RONG (1)'!G60+'LONG LEO(2)'!G60+'ĐĂK CHUM 1(3)'!G60+'ĐĂK CHUM II(4)'!G60+'TU CẤP(5)'!G60+'ĐĂK KA(6)'!G60+'VĂN SANG(7)'!G60+'ĐĂK NEANG(8)'!G60+'NGỌC LEANG(9)'!G60+'ĐĂK SIÊNG(10)'!G60+'KON TUN(11)'!G60+'MÔ PẢ(12)'!G60+'TY TU(13)'!G60+'KON LING(14)'!G60+'ĐĂK PƠ TRANG(15)'!G60+'KON PIA(16)'!G60+'ĐĂK HÀ(17)'!G60</f>
        <v>0</v>
      </c>
      <c r="I60" s="31"/>
      <c r="J60" s="27"/>
      <c r="K60" s="28"/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2.5" customHeight="1" x14ac:dyDescent="0.25">
      <c r="A61" s="46" t="s">
        <v>30</v>
      </c>
      <c r="B61" s="76" t="s">
        <v>60</v>
      </c>
      <c r="C61" s="30" t="s">
        <v>18</v>
      </c>
      <c r="D61" s="71">
        <f>D62+D63</f>
        <v>2.1</v>
      </c>
      <c r="E61" s="71"/>
      <c r="F61" s="71">
        <f t="shared" ref="F61:H61" si="32">F62+F63</f>
        <v>6</v>
      </c>
      <c r="G61" s="71">
        <f t="shared" si="32"/>
        <v>0.8</v>
      </c>
      <c r="H61" s="71">
        <f t="shared" si="32"/>
        <v>0</v>
      </c>
      <c r="I61" s="71"/>
      <c r="J61" s="72"/>
      <c r="K61" s="73"/>
      <c r="L61" s="74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22.5" customHeight="1" x14ac:dyDescent="0.25">
      <c r="A62" s="30" t="s">
        <v>47</v>
      </c>
      <c r="B62" s="58" t="s">
        <v>61</v>
      </c>
      <c r="C62" s="30" t="s">
        <v>18</v>
      </c>
      <c r="D62" s="31">
        <f>'TUMO RONG (1)'!D62+'LONG LEO(2)'!D62+'ĐĂK CHUM 1(3)'!D62+'ĐĂK CHUM II(4)'!D62+'TU CẤP(5)'!D62+'ĐĂK KA(6)'!D62+'VĂN SANG(7)'!D62+'ĐĂK NEANG(8)'!D62+'NGỌC LEANG(9)'!D62+'ĐĂK SIÊNG(10)'!D62+'KON TUN(11)'!D62+'MÔ PẢ(12)'!D62+'TY TU(13)'!D62+'KON LING(14)'!D62+'ĐĂK PƠ TRANG(15)'!D62+'KON PIA(16)'!D62+'ĐĂK HÀ(17)'!D62</f>
        <v>2.1</v>
      </c>
      <c r="E62" s="31"/>
      <c r="F62" s="31">
        <f>'TUMO RONG (1)'!E62+'LONG LEO(2)'!E62+'ĐĂK CHUM 1(3)'!E62+'ĐĂK CHUM II(4)'!E62+'TU CẤP(5)'!E62+'ĐĂK KA(6)'!E62+'VĂN SANG(7)'!E62+'ĐĂK NEANG(8)'!E62+'NGỌC LEANG(9)'!E62+'ĐĂK SIÊNG(10)'!E62+'KON TUN(11)'!E62+'MÔ PẢ(12)'!E62+'TY TU(13)'!E62+'KON LING(14)'!E62+'ĐĂK PƠ TRANG(15)'!E62+'KON PIA(16)'!E62+'ĐĂK HÀ(17)'!E62</f>
        <v>3.9</v>
      </c>
      <c r="G62" s="31">
        <v>0.8</v>
      </c>
      <c r="H62" s="31">
        <f>'TUMO RONG (1)'!G62+'LONG LEO(2)'!G62+'ĐĂK CHUM 1(3)'!G62+'ĐĂK CHUM II(4)'!G62+'TU CẤP(5)'!G62+'ĐĂK KA(6)'!G62+'VĂN SANG(7)'!G62+'ĐĂK NEANG(8)'!G62+'NGỌC LEANG(9)'!G62+'ĐĂK SIÊNG(10)'!G62+'KON TUN(11)'!G62+'MÔ PẢ(12)'!G62+'TY TU(13)'!G62+'KON LING(14)'!G62+'ĐĂK PƠ TRANG(15)'!G62+'KON PIA(16)'!G62+'ĐĂK HÀ(17)'!G62</f>
        <v>0</v>
      </c>
      <c r="I62" s="31"/>
      <c r="J62" s="27"/>
      <c r="K62" s="28"/>
      <c r="L62" s="2"/>
      <c r="M62" s="1"/>
      <c r="N62" s="2"/>
      <c r="O62" s="2"/>
      <c r="P62" s="32"/>
      <c r="Q62" s="2"/>
      <c r="R62" s="2"/>
      <c r="S62" s="2"/>
      <c r="T62" s="2"/>
      <c r="U62" s="1"/>
      <c r="V62" s="1"/>
      <c r="W62" s="1"/>
      <c r="X62" s="1"/>
      <c r="Y62" s="1"/>
      <c r="Z62" s="1"/>
    </row>
    <row r="63" spans="1:26" ht="22.5" customHeight="1" x14ac:dyDescent="0.25">
      <c r="A63" s="30" t="s">
        <v>47</v>
      </c>
      <c r="B63" s="58" t="s">
        <v>62</v>
      </c>
      <c r="C63" s="30" t="s">
        <v>18</v>
      </c>
      <c r="D63" s="31">
        <f>'TUMO RONG (1)'!D63+'LONG LEO(2)'!D63+'ĐĂK CHUM 1(3)'!D63+'ĐĂK CHUM II(4)'!D63+'TU CẤP(5)'!D63+'ĐĂK KA(6)'!D63+'VĂN SANG(7)'!D63+'ĐĂK NEANG(8)'!D63+'NGỌC LEANG(9)'!D63+'ĐĂK SIÊNG(10)'!D63+'KON TUN(11)'!D63+'MÔ PẢ(12)'!D63+'TY TU(13)'!D63+'KON LING(14)'!D63+'ĐĂK PƠ TRANG(15)'!D63+'KON PIA(16)'!D63+'ĐĂK HÀ(17)'!D63</f>
        <v>0</v>
      </c>
      <c r="E63" s="31"/>
      <c r="F63" s="31">
        <f>'TUMO RONG (1)'!E63+'LONG LEO(2)'!E63+'ĐĂK CHUM 1(3)'!E63+'ĐĂK CHUM II(4)'!E63+'TU CẤP(5)'!E63+'ĐĂK KA(6)'!E63+'VĂN SANG(7)'!E63+'ĐĂK NEANG(8)'!E63+'NGỌC LEANG(9)'!E63+'ĐĂK SIÊNG(10)'!E63+'KON TUN(11)'!E63+'MÔ PẢ(12)'!E63+'TY TU(13)'!E63+'KON LING(14)'!E63+'ĐĂK PƠ TRANG(15)'!E63+'KON PIA(16)'!E63+'ĐĂK HÀ(17)'!E63</f>
        <v>2.1</v>
      </c>
      <c r="G63" s="31">
        <f>'TUMO RONG (1)'!F63+'LONG LEO(2)'!F63+'ĐĂK CHUM 1(3)'!F63+'ĐĂK CHUM II(4)'!F63+'TU CẤP(5)'!F63+'ĐĂK KA(6)'!F63+'VĂN SANG(7)'!F63+'ĐĂK NEANG(8)'!F63+'NGỌC LEANG(9)'!F63+'ĐĂK SIÊNG(10)'!F63+'KON TUN(11)'!F63+'MÔ PẢ(12)'!F63+'TY TU(13)'!F63+'KON LING(14)'!F63+'ĐĂK PƠ TRANG(15)'!F63+'KON PIA(16)'!F63+'ĐĂK HÀ(17)'!F63</f>
        <v>0</v>
      </c>
      <c r="H63" s="31">
        <f>'TUMO RONG (1)'!G63+'LONG LEO(2)'!G63+'ĐĂK CHUM 1(3)'!G63+'ĐĂK CHUM II(4)'!G63+'TU CẤP(5)'!G63+'ĐĂK KA(6)'!G63+'VĂN SANG(7)'!G63+'ĐĂK NEANG(8)'!G63+'NGỌC LEANG(9)'!G63+'ĐĂK SIÊNG(10)'!G63+'KON TUN(11)'!G63+'MÔ PẢ(12)'!G63+'TY TU(13)'!G63+'KON LING(14)'!G63+'ĐĂK PƠ TRANG(15)'!G63+'KON PIA(16)'!G63+'ĐĂK HÀ(17)'!G63</f>
        <v>0</v>
      </c>
      <c r="I63" s="31"/>
      <c r="J63" s="27"/>
      <c r="K63" s="28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2.5" customHeight="1" x14ac:dyDescent="0.25">
      <c r="A64" s="15" t="s">
        <v>63</v>
      </c>
      <c r="B64" s="16" t="s">
        <v>64</v>
      </c>
      <c r="C64" s="15" t="s">
        <v>18</v>
      </c>
      <c r="D64" s="17">
        <f>D65+D66</f>
        <v>34.68</v>
      </c>
      <c r="E64" s="17">
        <v>34</v>
      </c>
      <c r="F64" s="17">
        <f t="shared" ref="F64:H64" si="33">F65+F66</f>
        <v>34.68</v>
      </c>
      <c r="G64" s="17">
        <f t="shared" si="33"/>
        <v>34.68</v>
      </c>
      <c r="H64" s="17">
        <f t="shared" si="33"/>
        <v>34.68</v>
      </c>
      <c r="I64" s="17">
        <f t="shared" ref="I64:I65" si="34">G64/F64*100</f>
        <v>100</v>
      </c>
      <c r="J64" s="27"/>
      <c r="K64" s="55"/>
      <c r="L64" s="77"/>
      <c r="M64" s="78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</row>
    <row r="65" spans="1:26" ht="21" customHeight="1" x14ac:dyDescent="0.25">
      <c r="A65" s="30" t="s">
        <v>47</v>
      </c>
      <c r="B65" s="58" t="s">
        <v>45</v>
      </c>
      <c r="C65" s="30" t="s">
        <v>18</v>
      </c>
      <c r="D65" s="31">
        <f>'TUMO RONG (1)'!D65+'LONG LEO(2)'!D65+'ĐĂK CHUM 1(3)'!D65+'ĐĂK CHUM II(4)'!D65+'TU CẤP(5)'!D65+'ĐĂK KA(6)'!D65+'VĂN SANG(7)'!D65+'ĐĂK NEANG(8)'!D65+'NGỌC LEANG(9)'!D65+'ĐĂK SIÊNG(10)'!D65+'KON TUN(11)'!D65+'MÔ PẢ(12)'!D65+'TY TU(13)'!D65+'KON LING(14)'!D65+'ĐĂK PƠ TRANG(15)'!D65+'KON PIA(16)'!D65+'ĐĂK HÀ(17)'!D65</f>
        <v>34.68</v>
      </c>
      <c r="E65" s="31"/>
      <c r="F65" s="31">
        <f>'TUMO RONG (1)'!E65+'LONG LEO(2)'!E65+'ĐĂK CHUM 1(3)'!E65+'ĐĂK CHUM II(4)'!E65+'TU CẤP(5)'!E65+'ĐĂK KA(6)'!E65+'VĂN SANG(7)'!E65+'ĐĂK NEANG(8)'!E65+'NGỌC LEANG(9)'!E65+'ĐĂK SIÊNG(10)'!E65+'KON TUN(11)'!E65+'MÔ PẢ(12)'!E65+'TY TU(13)'!E65+'KON LING(14)'!E65+'ĐĂK PƠ TRANG(15)'!E65+'KON PIA(16)'!E65+'ĐĂK HÀ(17)'!E65</f>
        <v>34.68</v>
      </c>
      <c r="G65" s="31">
        <f>'TUMO RONG (1)'!F65+'LONG LEO(2)'!F65+'ĐĂK CHUM 1(3)'!F65+'ĐĂK CHUM II(4)'!F65+'TU CẤP(5)'!F65+'ĐĂK KA(6)'!F65+'VĂN SANG(7)'!F65+'ĐĂK NEANG(8)'!F65+'NGỌC LEANG(9)'!F65+'ĐĂK SIÊNG(10)'!F65+'KON TUN(11)'!F65+'MÔ PẢ(12)'!F65+'TY TU(13)'!F65+'KON LING(14)'!F65+'ĐĂK PƠ TRANG(15)'!F65+'KON PIA(16)'!F65+'ĐĂK HÀ(17)'!F65</f>
        <v>34.68</v>
      </c>
      <c r="H65" s="31">
        <f>'TUMO RONG (1)'!G65+'LONG LEO(2)'!G65+'ĐĂK CHUM 1(3)'!G65+'ĐĂK CHUM II(4)'!G65+'TU CẤP(5)'!G65+'ĐĂK KA(6)'!G65+'VĂN SANG(7)'!G65+'ĐĂK NEANG(8)'!G65+'NGỌC LEANG(9)'!G65+'ĐĂK SIÊNG(10)'!G65+'KON TUN(11)'!G65+'MÔ PẢ(12)'!G65+'TY TU(13)'!G65+'KON LING(14)'!G65+'ĐĂK PƠ TRANG(15)'!G65+'KON PIA(16)'!G65+'ĐĂK HÀ(17)'!G65</f>
        <v>34.68</v>
      </c>
      <c r="I65" s="31">
        <f t="shared" si="34"/>
        <v>100</v>
      </c>
      <c r="J65" s="27"/>
      <c r="K65" s="35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25">
      <c r="A66" s="30" t="s">
        <v>47</v>
      </c>
      <c r="B66" s="27" t="s">
        <v>65</v>
      </c>
      <c r="C66" s="30" t="s">
        <v>18</v>
      </c>
      <c r="D66" s="31">
        <f>'TUMO RONG (1)'!D66+'LONG LEO(2)'!D66+'ĐĂK CHUM 1(3)'!D66+'ĐĂK CHUM II(4)'!D66+'TU CẤP(5)'!D66+'ĐĂK KA(6)'!D66+'VĂN SANG(7)'!D66+'ĐĂK NEANG(8)'!D66+'NGỌC LEANG(9)'!D66+'ĐĂK SIÊNG(10)'!D66+'KON TUN(11)'!D66+'MÔ PẢ(12)'!D66+'TY TU(13)'!D66+'KON LING(14)'!D66+'ĐĂK PƠ TRANG(15)'!D66+'KON PIA(16)'!D66+'ĐĂK HÀ(17)'!D66</f>
        <v>0</v>
      </c>
      <c r="E66" s="31"/>
      <c r="F66" s="31">
        <f>'TUMO RONG (1)'!E66+'LONG LEO(2)'!E66+'ĐĂK CHUM 1(3)'!E66+'ĐĂK CHUM II(4)'!E66+'TU CẤP(5)'!E66+'ĐĂK KA(6)'!E66+'VĂN SANG(7)'!E66+'ĐĂK NEANG(8)'!E66+'NGỌC LEANG(9)'!E66+'ĐĂK SIÊNG(10)'!E66+'KON TUN(11)'!E66+'MÔ PẢ(12)'!E66+'TY TU(13)'!E66+'KON LING(14)'!E66+'ĐĂK PƠ TRANG(15)'!E66+'KON PIA(16)'!E66+'ĐĂK HÀ(17)'!E66</f>
        <v>0</v>
      </c>
      <c r="G66" s="31">
        <f>'TUMO RONG (1)'!F66+'LONG LEO(2)'!F66+'ĐĂK CHUM 1(3)'!F66+'ĐĂK CHUM II(4)'!F66+'TU CẤP(5)'!F66+'ĐĂK KA(6)'!F66+'VĂN SANG(7)'!F66+'ĐĂK NEANG(8)'!F66+'NGỌC LEANG(9)'!F66+'ĐĂK SIÊNG(10)'!F66+'KON TUN(11)'!F66+'MÔ PẢ(12)'!F66+'TY TU(13)'!F66+'KON LING(14)'!F66+'ĐĂK PƠ TRANG(15)'!F66+'KON PIA(16)'!F66+'ĐĂK HÀ(17)'!F66</f>
        <v>0</v>
      </c>
      <c r="H66" s="31">
        <f>'TUMO RONG (1)'!G66+'LONG LEO(2)'!G66+'ĐĂK CHUM 1(3)'!G66+'ĐĂK CHUM II(4)'!G66+'TU CẤP(5)'!G66+'ĐĂK KA(6)'!G66+'VĂN SANG(7)'!G66+'ĐĂK NEANG(8)'!G66+'NGỌC LEANG(9)'!G66+'ĐĂK SIÊNG(10)'!G66+'KON TUN(11)'!G66+'MÔ PẢ(12)'!G66+'TY TU(13)'!G66+'KON LING(14)'!G66+'ĐĂK PƠ TRANG(15)'!G66+'KON PIA(16)'!G66+'ĐĂK HÀ(17)'!G66</f>
        <v>0</v>
      </c>
      <c r="I66" s="31"/>
      <c r="J66" s="27"/>
      <c r="K66" s="28"/>
      <c r="L66" s="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25">
      <c r="A67" s="15">
        <v>6</v>
      </c>
      <c r="B67" s="16" t="s">
        <v>66</v>
      </c>
      <c r="C67" s="15" t="s">
        <v>18</v>
      </c>
      <c r="D67" s="17">
        <f>D68+D71</f>
        <v>383.70000000000005</v>
      </c>
      <c r="E67" s="17"/>
      <c r="F67" s="17">
        <f t="shared" ref="F67:H67" si="35">F68+F71</f>
        <v>355.11</v>
      </c>
      <c r="G67" s="17">
        <f t="shared" si="35"/>
        <v>322.37909999999999</v>
      </c>
      <c r="H67" s="17">
        <f t="shared" si="35"/>
        <v>319.14</v>
      </c>
      <c r="I67" s="17">
        <f t="shared" ref="I67:I72" si="36">G67/F67*100</f>
        <v>90.782884176733972</v>
      </c>
      <c r="J67" s="27"/>
      <c r="K67" s="53"/>
      <c r="L67" s="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25">
      <c r="A68" s="15" t="s">
        <v>67</v>
      </c>
      <c r="B68" s="16" t="s">
        <v>68</v>
      </c>
      <c r="C68" s="15" t="s">
        <v>18</v>
      </c>
      <c r="D68" s="17">
        <f t="shared" ref="D68:H68" si="37">D69+D70</f>
        <v>3.19</v>
      </c>
      <c r="E68" s="17">
        <f t="shared" si="37"/>
        <v>30</v>
      </c>
      <c r="F68" s="17">
        <f t="shared" si="37"/>
        <v>33.19</v>
      </c>
      <c r="G68" s="17">
        <f t="shared" si="37"/>
        <v>6.4291</v>
      </c>
      <c r="H68" s="17">
        <f t="shared" si="37"/>
        <v>3.1900000000000004</v>
      </c>
      <c r="I68" s="17">
        <f t="shared" si="36"/>
        <v>19.370593552274784</v>
      </c>
      <c r="J68" s="37"/>
      <c r="K68" s="79"/>
      <c r="L68" s="80"/>
      <c r="M68" s="56"/>
      <c r="N68" s="56"/>
      <c r="O68" s="81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21" customHeight="1" x14ac:dyDescent="0.25">
      <c r="A69" s="30" t="s">
        <v>47</v>
      </c>
      <c r="B69" s="58" t="s">
        <v>69</v>
      </c>
      <c r="C69" s="30" t="s">
        <v>18</v>
      </c>
      <c r="D69" s="31">
        <f>'TUMO RONG (1)'!D69+'LONG LEO(2)'!D69+'ĐĂK CHUM 1(3)'!D69+'ĐĂK CHUM II(4)'!D69+'TU CẤP(5)'!D69+'ĐĂK KA(6)'!D69+'VĂN SANG(7)'!D69+'ĐĂK NEANG(8)'!D69+'NGỌC LEANG(9)'!D69+'ĐĂK SIÊNG(10)'!D69+'KON TUN(11)'!D69+'MÔ PẢ(12)'!D69+'TY TU(13)'!D69+'KON LING(14)'!D69+'ĐĂK PƠ TRANG(15)'!D69+'KON PIA(16)'!D69+'ĐĂK HÀ(17)'!D69</f>
        <v>2.52</v>
      </c>
      <c r="E69" s="31"/>
      <c r="F69" s="31">
        <f>'TUMO RONG (1)'!E69+'LONG LEO(2)'!E69+'ĐĂK CHUM 1(3)'!E69+'ĐĂK CHUM II(4)'!E69+'TU CẤP(5)'!E69+'ĐĂK KA(6)'!E69+'VĂN SANG(7)'!E69+'ĐĂK NEANG(8)'!E69+'NGỌC LEANG(9)'!E69+'ĐĂK SIÊNG(10)'!E69+'KON TUN(11)'!E69+'MÔ PẢ(12)'!E69+'TY TU(13)'!E69+'KON LING(14)'!E69+'ĐĂK PƠ TRANG(15)'!E69+'KON PIA(16)'!E69+'ĐĂK HÀ(17)'!E69</f>
        <v>3.1900000000000004</v>
      </c>
      <c r="G69" s="31">
        <f>'TUMO RONG (1)'!F69+'LONG LEO(2)'!F69+'ĐĂK CHUM 1(3)'!F69+'ĐĂK CHUM II(4)'!F69+'TU CẤP(5)'!F69+'ĐĂK KA(6)'!F69+'VĂN SANG(7)'!F69+'ĐĂK NEANG(8)'!F69+'NGỌC LEANG(9)'!F69+'ĐĂK SIÊNG(10)'!F69+'KON TUN(11)'!F69+'MÔ PẢ(12)'!F69+'TY TU(13)'!F69+'KON LING(14)'!F69+'ĐĂK PƠ TRANG(15)'!F69+'KON PIA(16)'!F69+'ĐĂK HÀ(17)'!F69</f>
        <v>3.1900000000000004</v>
      </c>
      <c r="H69" s="31">
        <f>'TUMO RONG (1)'!G69+'LONG LEO(2)'!G69+'ĐĂK CHUM 1(3)'!G69+'ĐĂK CHUM II(4)'!G69+'TU CẤP(5)'!G69+'ĐĂK KA(6)'!G69+'VĂN SANG(7)'!G69+'ĐĂK NEANG(8)'!G69+'NGỌC LEANG(9)'!G69+'ĐĂK SIÊNG(10)'!G69+'KON TUN(11)'!G69+'MÔ PẢ(12)'!G69+'TY TU(13)'!G69+'KON LING(14)'!G69+'ĐĂK PƠ TRANG(15)'!G69+'KON PIA(16)'!G69+'ĐĂK HÀ(17)'!G69</f>
        <v>3.1900000000000004</v>
      </c>
      <c r="I69" s="31">
        <f t="shared" si="36"/>
        <v>100</v>
      </c>
      <c r="J69" s="27"/>
      <c r="K69" s="35"/>
      <c r="L69" s="32"/>
      <c r="M69" s="1"/>
      <c r="N69" s="1"/>
      <c r="O69" s="82"/>
      <c r="P69" s="39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51.75" customHeight="1" x14ac:dyDescent="0.25">
      <c r="A70" s="30" t="s">
        <v>47</v>
      </c>
      <c r="B70" s="58" t="s">
        <v>70</v>
      </c>
      <c r="C70" s="30" t="s">
        <v>18</v>
      </c>
      <c r="D70" s="31">
        <f>'TUMO RONG (1)'!D70+'LONG LEO(2)'!D70+'ĐĂK CHUM 1(3)'!D70+'ĐĂK CHUM II(4)'!D70+'TU CẤP(5)'!D70+'ĐĂK KA(6)'!D70+'VĂN SANG(7)'!D70+'ĐĂK NEANG(8)'!D70+'NGỌC LEANG(9)'!D70+'ĐĂK SIÊNG(10)'!D70+'KON TUN(11)'!D70+'MÔ PẢ(12)'!D70+'TY TU(13)'!D70+'KON LING(14)'!D70+'ĐĂK PƠ TRANG(15)'!D70+'KON PIA(16)'!D70+'ĐĂK HÀ(17)'!D70</f>
        <v>0.67</v>
      </c>
      <c r="E70" s="83">
        <v>30</v>
      </c>
      <c r="F70" s="31">
        <f>'TUMO RONG (1)'!E70+'LONG LEO(2)'!E70+'ĐĂK CHUM 1(3)'!E70+'ĐĂK CHUM II(4)'!E70+'TU CẤP(5)'!E70+'ĐĂK KA(6)'!E70+'VĂN SANG(7)'!E70+'ĐĂK NEANG(8)'!E70+'NGỌC LEANG(9)'!E70+'ĐĂK SIÊNG(10)'!E70+'KON TUN(11)'!E70+'MÔ PẢ(12)'!E70+'TY TU(13)'!E70+'KON LING(14)'!E70+'ĐĂK PƠ TRANG(15)'!E70+'KON PIA(16)'!E70+'ĐĂK HÀ(17)'!E70</f>
        <v>30</v>
      </c>
      <c r="G70" s="311">
        <v>3.2391000000000001</v>
      </c>
      <c r="H70" s="31">
        <f>'TUMO RONG (1)'!G70+'LONG LEO(2)'!G70+'ĐĂK CHUM 1(3)'!G70+'ĐĂK CHUM II(4)'!G70+'TU CẤP(5)'!G70+'ĐĂK KA(6)'!G70+'VĂN SANG(7)'!G70+'ĐĂK NEANG(8)'!G70+'NGỌC LEANG(9)'!G70+'ĐĂK SIÊNG(10)'!G70+'KON TUN(11)'!G70+'MÔ PẢ(12)'!G70+'TY TU(13)'!G70+'KON LING(14)'!G70+'ĐĂK PƠ TRANG(15)'!G70+'KON PIA(16)'!G70+'ĐĂK HÀ(17)'!G70</f>
        <v>0</v>
      </c>
      <c r="I70" s="31">
        <f t="shared" si="36"/>
        <v>10.796999999999999</v>
      </c>
      <c r="J70" s="84" t="s">
        <v>71</v>
      </c>
      <c r="K70" s="35"/>
      <c r="L70" s="21"/>
      <c r="M70" s="21"/>
      <c r="N70" s="32"/>
      <c r="O70" s="8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25">
      <c r="A71" s="15" t="s">
        <v>72</v>
      </c>
      <c r="B71" s="24" t="s">
        <v>73</v>
      </c>
      <c r="C71" s="15" t="s">
        <v>18</v>
      </c>
      <c r="D71" s="17">
        <f>D72+D73</f>
        <v>380.51000000000005</v>
      </c>
      <c r="E71" s="17"/>
      <c r="F71" s="17">
        <f t="shared" ref="F71:H71" si="38">F72+F73</f>
        <v>321.92</v>
      </c>
      <c r="G71" s="17">
        <f t="shared" si="38"/>
        <v>315.95</v>
      </c>
      <c r="H71" s="17">
        <f t="shared" si="38"/>
        <v>315.95</v>
      </c>
      <c r="I71" s="17">
        <f t="shared" si="36"/>
        <v>98.145501988071558</v>
      </c>
      <c r="J71" s="85"/>
      <c r="K71" s="35"/>
      <c r="L71" s="32"/>
      <c r="M71" s="45"/>
      <c r="N71" s="2"/>
      <c r="O71" s="86"/>
      <c r="P71" s="32"/>
      <c r="Q71" s="2"/>
      <c r="R71" s="32"/>
      <c r="S71" s="2"/>
      <c r="T71" s="1"/>
      <c r="U71" s="1"/>
      <c r="V71" s="1"/>
      <c r="W71" s="1"/>
      <c r="X71" s="1"/>
      <c r="Y71" s="1"/>
      <c r="Z71" s="1"/>
    </row>
    <row r="72" spans="1:26" ht="21" customHeight="1" x14ac:dyDescent="0.25">
      <c r="A72" s="54" t="s">
        <v>32</v>
      </c>
      <c r="B72" s="24" t="s">
        <v>74</v>
      </c>
      <c r="C72" s="15" t="s">
        <v>18</v>
      </c>
      <c r="D72" s="87">
        <f t="shared" ref="D72:D73" si="39">D75+D82</f>
        <v>361.55000000000007</v>
      </c>
      <c r="E72" s="87"/>
      <c r="F72" s="87">
        <f t="shared" ref="F72:H72" si="40">F75+F82</f>
        <v>315.95</v>
      </c>
      <c r="G72" s="87">
        <f t="shared" si="40"/>
        <v>315.95</v>
      </c>
      <c r="H72" s="87">
        <f t="shared" si="40"/>
        <v>315.95</v>
      </c>
      <c r="I72" s="17">
        <f t="shared" si="36"/>
        <v>100</v>
      </c>
      <c r="J72" s="303" t="s">
        <v>75</v>
      </c>
      <c r="K72" s="35"/>
      <c r="L72" s="2"/>
      <c r="M72" s="1"/>
      <c r="N72" s="1"/>
      <c r="O72" s="82"/>
      <c r="P72" s="39"/>
      <c r="Q72" s="1"/>
      <c r="R72" s="39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25">
      <c r="A73" s="54" t="s">
        <v>32</v>
      </c>
      <c r="B73" s="24" t="s">
        <v>76</v>
      </c>
      <c r="C73" s="15" t="s">
        <v>18</v>
      </c>
      <c r="D73" s="17">
        <f t="shared" si="39"/>
        <v>18.96</v>
      </c>
      <c r="E73" s="17"/>
      <c r="F73" s="17">
        <f t="shared" ref="F73:H73" si="41">F76+F83</f>
        <v>5.97</v>
      </c>
      <c r="G73" s="17">
        <f t="shared" si="41"/>
        <v>0</v>
      </c>
      <c r="H73" s="17">
        <f t="shared" si="41"/>
        <v>0</v>
      </c>
      <c r="I73" s="17"/>
      <c r="J73" s="16"/>
      <c r="K73" s="88"/>
      <c r="L73" s="67"/>
      <c r="M73" s="56"/>
      <c r="N73" s="80"/>
      <c r="O73" s="89"/>
      <c r="P73" s="67"/>
      <c r="Q73" s="80"/>
      <c r="R73" s="80"/>
      <c r="S73" s="80"/>
      <c r="T73" s="80"/>
      <c r="U73" s="56"/>
      <c r="V73" s="56"/>
      <c r="W73" s="56"/>
      <c r="X73" s="56"/>
      <c r="Y73" s="56"/>
      <c r="Z73" s="56"/>
    </row>
    <row r="74" spans="1:26" ht="21" customHeight="1" x14ac:dyDescent="0.25">
      <c r="A74" s="90" t="s">
        <v>28</v>
      </c>
      <c r="B74" s="43" t="s">
        <v>77</v>
      </c>
      <c r="C74" s="40" t="s">
        <v>18</v>
      </c>
      <c r="D74" s="91">
        <f>D75+D76</f>
        <v>284.23</v>
      </c>
      <c r="E74" s="91"/>
      <c r="F74" s="91">
        <f t="shared" ref="F74:H74" si="42">F75+F76</f>
        <v>268.08999999999997</v>
      </c>
      <c r="G74" s="91">
        <f t="shared" si="42"/>
        <v>266.08999999999997</v>
      </c>
      <c r="H74" s="91">
        <f t="shared" si="42"/>
        <v>266.08999999999997</v>
      </c>
      <c r="I74" s="91"/>
      <c r="J74" s="85"/>
      <c r="K74" s="92"/>
      <c r="L74" s="2"/>
      <c r="M74" s="1"/>
      <c r="N74" s="2"/>
      <c r="O74" s="2"/>
      <c r="P74" s="32"/>
      <c r="Q74" s="2"/>
      <c r="R74" s="2"/>
      <c r="S74" s="2"/>
      <c r="T74" s="2"/>
      <c r="U74" s="1"/>
      <c r="V74" s="1"/>
      <c r="W74" s="1"/>
      <c r="X74" s="1"/>
      <c r="Y74" s="1"/>
      <c r="Z74" s="1"/>
    </row>
    <row r="75" spans="1:26" ht="21" customHeight="1" x14ac:dyDescent="0.25">
      <c r="A75" s="57" t="s">
        <v>32</v>
      </c>
      <c r="B75" s="93" t="s">
        <v>45</v>
      </c>
      <c r="C75" s="30" t="s">
        <v>18</v>
      </c>
      <c r="D75" s="31">
        <f>'TUMO RONG (1)'!D75+'LONG LEO(2)'!D75+'ĐĂK CHUM 1(3)'!D75+'ĐĂK CHUM II(4)'!D75+'TU CẤP(5)'!D75+'ĐĂK KA(6)'!D75+'VĂN SANG(7)'!D75+'ĐĂK NEANG(8)'!D75+'NGỌC LEANG(9)'!D75+'ĐĂK SIÊNG(10)'!D75+'KON TUN(11)'!D75+'MÔ PẢ(12)'!D75+'TY TU(13)'!D75+'KON LING(14)'!D75+'ĐĂK PƠ TRANG(15)'!D75+'KON PIA(16)'!D75+'ĐĂK HÀ(17)'!D75</f>
        <v>274.27000000000004</v>
      </c>
      <c r="E75" s="31"/>
      <c r="F75" s="31">
        <f>'TUMO RONG (1)'!E75+'LONG LEO(2)'!E75+'ĐĂK CHUM 1(3)'!E75+'ĐĂK CHUM II(4)'!E75+'TU CẤP(5)'!E75+'ĐĂK KA(6)'!E75+'VĂN SANG(7)'!E75+'ĐĂK NEANG(8)'!E75+'NGỌC LEANG(9)'!E75+'ĐĂK SIÊNG(10)'!E75+'KON TUN(11)'!E75+'MÔ PẢ(12)'!E75+'TY TU(13)'!E75+'KON LING(14)'!E75+'ĐĂK PƠ TRANG(15)'!E75+'KON PIA(16)'!E75+'ĐĂK HÀ(17)'!E75</f>
        <v>266.08999999999997</v>
      </c>
      <c r="G75" s="31">
        <f>'TUMO RONG (1)'!F75+'LONG LEO(2)'!F75+'ĐĂK CHUM 1(3)'!F75+'ĐĂK CHUM II(4)'!F75+'TU CẤP(5)'!F75+'ĐĂK KA(6)'!F75+'VĂN SANG(7)'!F75+'ĐĂK NEANG(8)'!F75+'NGỌC LEANG(9)'!F75+'ĐĂK SIÊNG(10)'!F75+'KON TUN(11)'!F75+'MÔ PẢ(12)'!F75+'TY TU(13)'!F75+'KON LING(14)'!F75+'ĐĂK PƠ TRANG(15)'!F75+'KON PIA(16)'!F75+'ĐĂK HÀ(17)'!F75</f>
        <v>266.08999999999997</v>
      </c>
      <c r="H75" s="31">
        <f>'TUMO RONG (1)'!G75+'LONG LEO(2)'!G75+'ĐĂK CHUM 1(3)'!G75+'ĐĂK CHUM II(4)'!G75+'TU CẤP(5)'!G75+'ĐĂK KA(6)'!G75+'VĂN SANG(7)'!G75+'ĐĂK NEANG(8)'!G75+'NGỌC LEANG(9)'!G75+'ĐĂK SIÊNG(10)'!G75+'KON TUN(11)'!G75+'MÔ PẢ(12)'!G75+'TY TU(13)'!G75+'KON LING(14)'!G75+'ĐĂK PƠ TRANG(15)'!G75+'KON PIA(16)'!G75+'ĐĂK HÀ(17)'!G75</f>
        <v>266.08999999999997</v>
      </c>
      <c r="I75" s="31"/>
      <c r="J75" s="304" t="s">
        <v>75</v>
      </c>
      <c r="K75" s="92"/>
      <c r="L75" s="32"/>
      <c r="M75" s="39"/>
      <c r="N75" s="2"/>
      <c r="O75" s="2"/>
      <c r="P75" s="32"/>
      <c r="Q75" s="2"/>
      <c r="R75" s="2"/>
      <c r="S75" s="2"/>
      <c r="T75" s="2"/>
      <c r="U75" s="1"/>
      <c r="V75" s="1"/>
      <c r="W75" s="1"/>
      <c r="X75" s="1"/>
      <c r="Y75" s="1"/>
      <c r="Z75" s="1"/>
    </row>
    <row r="76" spans="1:26" ht="21" customHeight="1" x14ac:dyDescent="0.25">
      <c r="A76" s="57" t="s">
        <v>78</v>
      </c>
      <c r="B76" s="58" t="s">
        <v>79</v>
      </c>
      <c r="C76" s="30" t="s">
        <v>18</v>
      </c>
      <c r="D76" s="60">
        <f>SUM(D77:D80)</f>
        <v>9.9600000000000009</v>
      </c>
      <c r="E76" s="60"/>
      <c r="F76" s="60">
        <f t="shared" ref="F76:H76" si="43">SUM(F77:F80)</f>
        <v>2</v>
      </c>
      <c r="G76" s="60">
        <f t="shared" si="43"/>
        <v>0</v>
      </c>
      <c r="H76" s="60">
        <f t="shared" si="43"/>
        <v>0</v>
      </c>
      <c r="I76" s="60"/>
      <c r="J76" s="305"/>
      <c r="K76" s="28"/>
      <c r="L76" s="2"/>
      <c r="M76" s="39"/>
      <c r="N76" s="2"/>
      <c r="O76" s="2"/>
      <c r="P76" s="32"/>
      <c r="Q76" s="2"/>
      <c r="R76" s="2"/>
      <c r="S76" s="2"/>
      <c r="T76" s="2"/>
      <c r="U76" s="1"/>
      <c r="V76" s="1"/>
      <c r="W76" s="1"/>
      <c r="X76" s="1"/>
      <c r="Y76" s="1"/>
      <c r="Z76" s="1"/>
    </row>
    <row r="77" spans="1:26" ht="21" customHeight="1" x14ac:dyDescent="0.25">
      <c r="A77" s="46" t="s">
        <v>47</v>
      </c>
      <c r="B77" s="94" t="s">
        <v>80</v>
      </c>
      <c r="C77" s="46" t="s">
        <v>18</v>
      </c>
      <c r="D77" s="71">
        <f>'TUMO RONG (1)'!D77+'LONG LEO(2)'!D77+'ĐĂK CHUM 1(3)'!D77+'ĐĂK CHUM II(4)'!D77+'TU CẤP(5)'!D77+'ĐĂK KA(6)'!D77+'VĂN SANG(7)'!D77+'ĐĂK NEANG(8)'!D77+'NGỌC LEANG(9)'!D77+'ĐĂK SIÊNG(10)'!D77+'KON TUN(11)'!D77+'MÔ PẢ(12)'!D77+'TY TU(13)'!D77+'KON LING(14)'!D77+'ĐĂK PƠ TRANG(15)'!D77+'KON PIA(16)'!D77+'ĐĂK HÀ(17)'!D77</f>
        <v>2.8</v>
      </c>
      <c r="E77" s="71"/>
      <c r="F77" s="71">
        <f>'TUMO RONG (1)'!E77+'LONG LEO(2)'!E77+'ĐĂK CHUM 1(3)'!E77+'ĐĂK CHUM II(4)'!E77+'TU CẤP(5)'!E77+'ĐĂK KA(6)'!E77+'VĂN SANG(7)'!E77+'ĐĂK NEANG(8)'!E77+'NGỌC LEANG(9)'!E77+'ĐĂK SIÊNG(10)'!E77+'KON TUN(11)'!E77+'MÔ PẢ(12)'!E77+'TY TU(13)'!E77+'KON LING(14)'!E77+'ĐĂK PƠ TRANG(15)'!E77+'KON PIA(16)'!E77+'ĐĂK HÀ(17)'!E77</f>
        <v>2</v>
      </c>
      <c r="G77" s="71">
        <f>'TUMO RONG (1)'!F77+'LONG LEO(2)'!F77+'ĐĂK CHUM 1(3)'!F77+'ĐĂK CHUM II(4)'!F77+'TU CẤP(5)'!F77+'ĐĂK KA(6)'!F77+'VĂN SANG(7)'!F77+'ĐĂK NEANG(8)'!F77+'NGỌC LEANG(9)'!F77+'ĐĂK SIÊNG(10)'!F77+'KON TUN(11)'!F77+'MÔ PẢ(12)'!F77+'TY TU(13)'!F77+'KON LING(14)'!F77+'ĐĂK PƠ TRANG(15)'!F77+'KON PIA(16)'!F77+'ĐĂK HÀ(17)'!F77</f>
        <v>0</v>
      </c>
      <c r="H77" s="71">
        <f>'TUMO RONG (1)'!G77+'LONG LEO(2)'!G77+'ĐĂK CHUM 1(3)'!G77+'ĐĂK CHUM II(4)'!G77+'TU CẤP(5)'!G77+'ĐĂK KA(6)'!G77+'VĂN SANG(7)'!G77+'ĐĂK NEANG(8)'!G77+'NGỌC LEANG(9)'!G77+'ĐĂK SIÊNG(10)'!G77+'KON TUN(11)'!G77+'MÔ PẢ(12)'!G77+'TY TU(13)'!G77+'KON LING(14)'!G77+'ĐĂK PƠ TRANG(15)'!G77+'KON PIA(16)'!G77+'ĐĂK HÀ(17)'!G77</f>
        <v>0</v>
      </c>
      <c r="I77" s="71"/>
      <c r="J77" s="306"/>
      <c r="K77" s="73"/>
      <c r="L77" s="74"/>
      <c r="M77" s="75"/>
      <c r="N77" s="95"/>
      <c r="O77" s="95"/>
      <c r="P77" s="95"/>
      <c r="Q77" s="95"/>
      <c r="R77" s="95"/>
      <c r="S77" s="95"/>
      <c r="T77" s="95"/>
      <c r="U77" s="95"/>
      <c r="V77" s="75"/>
      <c r="W77" s="75"/>
      <c r="X77" s="75"/>
      <c r="Y77" s="75"/>
      <c r="Z77" s="75"/>
    </row>
    <row r="78" spans="1:26" ht="21" customHeight="1" x14ac:dyDescent="0.25">
      <c r="A78" s="46" t="s">
        <v>47</v>
      </c>
      <c r="B78" s="94" t="s">
        <v>81</v>
      </c>
      <c r="C78" s="46" t="s">
        <v>18</v>
      </c>
      <c r="D78" s="71">
        <f>'TUMO RONG (1)'!D78+'LONG LEO(2)'!D78+'ĐĂK CHUM 1(3)'!D78+'ĐĂK CHUM II(4)'!D78+'TU CẤP(5)'!D78+'ĐĂK KA(6)'!D78+'VĂN SANG(7)'!D78+'ĐĂK NEANG(8)'!D78+'NGỌC LEANG(9)'!D78+'ĐĂK SIÊNG(10)'!D78+'KON TUN(11)'!D78+'MÔ PẢ(12)'!D78+'TY TU(13)'!D78+'KON LING(14)'!D78+'ĐĂK PƠ TRANG(15)'!D78+'KON PIA(16)'!D78+'ĐĂK HÀ(17)'!D78</f>
        <v>2.88</v>
      </c>
      <c r="E78" s="71"/>
      <c r="F78" s="96">
        <f>'TUMO RONG (1)'!E78+'LONG LEO(2)'!E78+'ĐĂK CHUM 1(3)'!E78+'ĐĂK CHUM II(4)'!E78+'TU CẤP(5)'!E78+'ĐĂK KA(6)'!E78+'VĂN SANG(7)'!E78+'ĐĂK NEANG(8)'!E78+'NGỌC LEANG(9)'!E78+'ĐĂK SIÊNG(10)'!E78+'KON TUN(11)'!E78+'MÔ PẢ(12)'!E78+'TY TU(13)'!E78+'KON LING(14)'!E78+'ĐĂK PƠ TRANG(15)'!E78+'KON PIA(16)'!E78+'ĐĂK HÀ(17)'!E78</f>
        <v>0</v>
      </c>
      <c r="G78" s="96">
        <f>'TUMO RONG (1)'!F78+'LONG LEO(2)'!F78+'ĐĂK CHUM 1(3)'!F78+'ĐĂK CHUM II(4)'!F78+'TU CẤP(5)'!F78+'ĐĂK KA(6)'!F78+'VĂN SANG(7)'!F78+'ĐĂK NEANG(8)'!F78+'NGỌC LEANG(9)'!F78+'ĐĂK SIÊNG(10)'!F78+'KON TUN(11)'!F78+'MÔ PẢ(12)'!F78+'TY TU(13)'!F78+'KON LING(14)'!F78+'ĐĂK PƠ TRANG(15)'!F78+'KON PIA(16)'!F78+'ĐĂK HÀ(17)'!F78</f>
        <v>0</v>
      </c>
      <c r="H78" s="96">
        <f>'TUMO RONG (1)'!G78+'LONG LEO(2)'!G78+'ĐĂK CHUM 1(3)'!G78+'ĐĂK CHUM II(4)'!G78+'TU CẤP(5)'!G78+'ĐĂK KA(6)'!G78+'VĂN SANG(7)'!G78+'ĐĂK NEANG(8)'!G78+'NGỌC LEANG(9)'!G78+'ĐĂK SIÊNG(10)'!G78+'KON TUN(11)'!G78+'MÔ PẢ(12)'!G78+'TY TU(13)'!G78+'KON LING(14)'!G78+'ĐĂK PƠ TRANG(15)'!G78+'KON PIA(16)'!G78+'ĐĂK HÀ(17)'!G78</f>
        <v>0</v>
      </c>
      <c r="I78" s="71"/>
      <c r="J78" s="307"/>
      <c r="K78" s="97"/>
      <c r="L78" s="74"/>
      <c r="M78" s="75"/>
      <c r="N78" s="95"/>
      <c r="O78" s="95"/>
      <c r="P78" s="95"/>
      <c r="Q78" s="95"/>
      <c r="R78" s="95"/>
      <c r="S78" s="95"/>
      <c r="T78" s="95"/>
      <c r="U78" s="95"/>
      <c r="V78" s="75"/>
      <c r="W78" s="75"/>
      <c r="X78" s="75"/>
      <c r="Y78" s="75"/>
      <c r="Z78" s="75"/>
    </row>
    <row r="79" spans="1:26" ht="21" customHeight="1" x14ac:dyDescent="0.25">
      <c r="A79" s="46" t="s">
        <v>47</v>
      </c>
      <c r="B79" s="94" t="s">
        <v>82</v>
      </c>
      <c r="C79" s="46" t="s">
        <v>18</v>
      </c>
      <c r="D79" s="71">
        <f>'TUMO RONG (1)'!D79+'LONG LEO(2)'!D79+'ĐĂK CHUM 1(3)'!D79+'ĐĂK CHUM II(4)'!D79+'TU CẤP(5)'!D79+'ĐĂK KA(6)'!D79+'VĂN SANG(7)'!D79+'ĐĂK NEANG(8)'!D79+'NGỌC LEANG(9)'!D79+'ĐĂK SIÊNG(10)'!D79+'KON TUN(11)'!D79+'MÔ PẢ(12)'!D79+'TY TU(13)'!D79+'KON LING(14)'!D79+'ĐĂK PƠ TRANG(15)'!D79+'KON PIA(16)'!D79+'ĐĂK HÀ(17)'!D79</f>
        <v>0.44</v>
      </c>
      <c r="E79" s="71"/>
      <c r="F79" s="96">
        <f>'TUMO RONG (1)'!E79+'LONG LEO(2)'!E79+'ĐĂK CHUM 1(3)'!E79+'ĐĂK CHUM II(4)'!E79+'TU CẤP(5)'!E79+'ĐĂK KA(6)'!E79+'VĂN SANG(7)'!E79+'ĐĂK NEANG(8)'!E79+'NGỌC LEANG(9)'!E79+'ĐĂK SIÊNG(10)'!E79+'KON TUN(11)'!E79+'MÔ PẢ(12)'!E79+'TY TU(13)'!E79+'KON LING(14)'!E79+'ĐĂK PƠ TRANG(15)'!E79+'KON PIA(16)'!E79+'ĐĂK HÀ(17)'!E79</f>
        <v>0</v>
      </c>
      <c r="G79" s="96">
        <f>'TUMO RONG (1)'!F79+'LONG LEO(2)'!F79+'ĐĂK CHUM 1(3)'!F79+'ĐĂK CHUM II(4)'!F79+'TU CẤP(5)'!F79+'ĐĂK KA(6)'!F79+'VĂN SANG(7)'!F79+'ĐĂK NEANG(8)'!F79+'NGỌC LEANG(9)'!F79+'ĐĂK SIÊNG(10)'!F79+'KON TUN(11)'!F79+'MÔ PẢ(12)'!F79+'TY TU(13)'!F79+'KON LING(14)'!F79+'ĐĂK PƠ TRANG(15)'!F79+'KON PIA(16)'!F79+'ĐĂK HÀ(17)'!F79</f>
        <v>0</v>
      </c>
      <c r="H79" s="96">
        <f>'TUMO RONG (1)'!G79+'LONG LEO(2)'!G79+'ĐĂK CHUM 1(3)'!G79+'ĐĂK CHUM II(4)'!G79+'TU CẤP(5)'!G79+'ĐĂK KA(6)'!G79+'VĂN SANG(7)'!G79+'ĐĂK NEANG(8)'!G79+'NGỌC LEANG(9)'!G79+'ĐĂK SIÊNG(10)'!G79+'KON TUN(11)'!G79+'MÔ PẢ(12)'!G79+'TY TU(13)'!G79+'KON LING(14)'!G79+'ĐĂK PƠ TRANG(15)'!G79+'KON PIA(16)'!G79+'ĐĂK HÀ(17)'!G79</f>
        <v>0</v>
      </c>
      <c r="I79" s="71"/>
      <c r="J79" s="307"/>
      <c r="K79" s="97"/>
      <c r="L79" s="74"/>
      <c r="M79" s="75"/>
      <c r="N79" s="95"/>
      <c r="O79" s="95"/>
      <c r="P79" s="95"/>
      <c r="Q79" s="95"/>
      <c r="R79" s="95"/>
      <c r="S79" s="95"/>
      <c r="T79" s="95"/>
      <c r="U79" s="95"/>
      <c r="V79" s="75"/>
      <c r="W79" s="75"/>
      <c r="X79" s="75"/>
      <c r="Y79" s="75"/>
      <c r="Z79" s="75"/>
    </row>
    <row r="80" spans="1:26" ht="21" customHeight="1" x14ac:dyDescent="0.25">
      <c r="A80" s="46" t="s">
        <v>47</v>
      </c>
      <c r="B80" s="94" t="s">
        <v>83</v>
      </c>
      <c r="C80" s="46" t="s">
        <v>18</v>
      </c>
      <c r="D80" s="31">
        <f>'TUMO RONG (1)'!D80+'LONG LEO(2)'!D80+'ĐĂK CHUM 1(3)'!D80+'ĐĂK CHUM II(4)'!D80+'TU CẤP(5)'!D80+'ĐĂK KA(6)'!D80+'VĂN SANG(7)'!D80+'ĐĂK NEANG(8)'!D80+'NGỌC LEANG(9)'!D80+'ĐĂK SIÊNG(10)'!D80+'KON TUN(11)'!D80+'MÔ PẢ(12)'!D80+'TY TU(13)'!D80+'KON LING(14)'!D80+'ĐĂK PƠ TRANG(15)'!D80+'KON PIA(16)'!D80+'ĐĂK HÀ(17)'!D80</f>
        <v>3.84</v>
      </c>
      <c r="E80" s="31"/>
      <c r="F80" s="17">
        <f>'TUMO RONG (1)'!E80+'LONG LEO(2)'!E80+'ĐĂK CHUM 1(3)'!E80+'ĐĂK CHUM II(4)'!E80+'TU CẤP(5)'!E80+'ĐĂK KA(6)'!E80+'VĂN SANG(7)'!E80+'ĐĂK NEANG(8)'!E80+'NGỌC LEANG(9)'!E80+'ĐĂK SIÊNG(10)'!E80+'KON TUN(11)'!E80+'MÔ PẢ(12)'!E80+'TY TU(13)'!E80+'KON LING(14)'!E80+'ĐĂK PƠ TRANG(15)'!E80+'KON PIA(16)'!E80+'ĐĂK HÀ(17)'!E80</f>
        <v>0</v>
      </c>
      <c r="G80" s="17">
        <f>'TUMO RONG (1)'!F80+'LONG LEO(2)'!F80+'ĐĂK CHUM 1(3)'!F80+'ĐĂK CHUM II(4)'!F80+'TU CẤP(5)'!F80+'ĐĂK KA(6)'!F80+'VĂN SANG(7)'!F80+'ĐĂK NEANG(8)'!F80+'NGỌC LEANG(9)'!F80+'ĐĂK SIÊNG(10)'!F80+'KON TUN(11)'!F80+'MÔ PẢ(12)'!F80+'TY TU(13)'!F80+'KON LING(14)'!F80+'ĐĂK PƠ TRANG(15)'!F80+'KON PIA(16)'!F80+'ĐĂK HÀ(17)'!F80</f>
        <v>0</v>
      </c>
      <c r="H80" s="17">
        <f>'TUMO RONG (1)'!G80+'LONG LEO(2)'!G80+'ĐĂK CHUM 1(3)'!G80+'ĐĂK CHUM II(4)'!G80+'TU CẤP(5)'!G80+'ĐĂK KA(6)'!G80+'VĂN SANG(7)'!G80+'ĐĂK NEANG(8)'!G80+'NGỌC LEANG(9)'!G80+'ĐĂK SIÊNG(10)'!G80+'KON TUN(11)'!G80+'MÔ PẢ(12)'!G80+'TY TU(13)'!G80+'KON LING(14)'!G80+'ĐĂK PƠ TRANG(15)'!G80+'KON PIA(16)'!G80+'ĐĂK HÀ(17)'!G80</f>
        <v>0</v>
      </c>
      <c r="I80" s="31"/>
      <c r="J80" s="307"/>
      <c r="K80" s="97"/>
      <c r="L80" s="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">
      <c r="A81" s="90" t="s">
        <v>30</v>
      </c>
      <c r="B81" s="43" t="s">
        <v>84</v>
      </c>
      <c r="C81" s="40" t="s">
        <v>18</v>
      </c>
      <c r="D81" s="91">
        <f>D82+D83</f>
        <v>96.28</v>
      </c>
      <c r="E81" s="91"/>
      <c r="F81" s="91">
        <f t="shared" ref="F81:H81" si="44">F82+F83</f>
        <v>53.83</v>
      </c>
      <c r="G81" s="91">
        <f t="shared" si="44"/>
        <v>49.86</v>
      </c>
      <c r="H81" s="91">
        <f t="shared" si="44"/>
        <v>49.86</v>
      </c>
      <c r="I81" s="91"/>
      <c r="J81" s="308"/>
      <c r="K81" s="98"/>
      <c r="L81" s="99"/>
      <c r="M81" s="100"/>
      <c r="N81" s="100"/>
      <c r="O81" s="101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21" customHeight="1" x14ac:dyDescent="0.25">
      <c r="A82" s="57" t="s">
        <v>47</v>
      </c>
      <c r="B82" s="93" t="s">
        <v>85</v>
      </c>
      <c r="C82" s="30" t="s">
        <v>18</v>
      </c>
      <c r="D82" s="31">
        <f>'TUMO RONG (1)'!D82+'LONG LEO(2)'!D82+'ĐĂK CHUM 1(3)'!D82+'ĐĂK CHUM II(4)'!D82+'TU CẤP(5)'!D82+'ĐĂK KA(6)'!D82+'VĂN SANG(7)'!D82+'ĐĂK NEANG(8)'!D82+'NGỌC LEANG(9)'!D82+'ĐĂK SIÊNG(10)'!D82+'KON TUN(11)'!D82+'MÔ PẢ(12)'!D82+'TY TU(13)'!D82+'KON LING(14)'!D82+'ĐĂK PƠ TRANG(15)'!D82+'KON PIA(16)'!D82+'ĐĂK HÀ(17)'!D82</f>
        <v>87.28</v>
      </c>
      <c r="E82" s="31"/>
      <c r="F82" s="31">
        <f>'TUMO RONG (1)'!E82+'LONG LEO(2)'!E82+'ĐĂK CHUM 1(3)'!E82+'ĐĂK CHUM II(4)'!E82+'TU CẤP(5)'!E82+'ĐĂK KA(6)'!E82+'VĂN SANG(7)'!E82+'ĐĂK NEANG(8)'!E82+'NGỌC LEANG(9)'!E82+'ĐĂK SIÊNG(10)'!E82+'KON TUN(11)'!E82+'MÔ PẢ(12)'!E82+'TY TU(13)'!E82+'KON LING(14)'!E82+'ĐĂK PƠ TRANG(15)'!E82+'KON PIA(16)'!E82+'ĐĂK HÀ(17)'!E82</f>
        <v>49.86</v>
      </c>
      <c r="G82" s="31">
        <f>'TUMO RONG (1)'!F82+'LONG LEO(2)'!F82+'ĐĂK CHUM 1(3)'!F82+'ĐĂK CHUM II(4)'!F82+'TU CẤP(5)'!F82+'ĐĂK KA(6)'!F82+'VĂN SANG(7)'!F82+'ĐĂK NEANG(8)'!F82+'NGỌC LEANG(9)'!F82+'ĐĂK SIÊNG(10)'!F82+'KON TUN(11)'!F82+'MÔ PẢ(12)'!F82+'TY TU(13)'!F82+'KON LING(14)'!F82+'ĐĂK PƠ TRANG(15)'!F82+'KON PIA(16)'!F82+'ĐĂK HÀ(17)'!F82</f>
        <v>49.86</v>
      </c>
      <c r="H82" s="31">
        <f>'TUMO RONG (1)'!G82+'LONG LEO(2)'!G82+'ĐĂK CHUM 1(3)'!G82+'ĐĂK CHUM II(4)'!G82+'TU CẤP(5)'!G82+'ĐĂK KA(6)'!G82+'VĂN SANG(7)'!G82+'ĐĂK NEANG(8)'!G82+'NGỌC LEANG(9)'!G82+'ĐĂK SIÊNG(10)'!G82+'KON TUN(11)'!G82+'MÔ PẢ(12)'!G82+'TY TU(13)'!G82+'KON LING(14)'!G82+'ĐĂK PƠ TRANG(15)'!G82+'KON PIA(16)'!G82+'ĐĂK HÀ(17)'!G82</f>
        <v>49.86</v>
      </c>
      <c r="I82" s="31"/>
      <c r="J82" s="304"/>
      <c r="K82" s="102"/>
      <c r="L82" s="103"/>
      <c r="M82" s="104"/>
      <c r="N82" s="75"/>
      <c r="O82" s="75"/>
      <c r="P82" s="104"/>
      <c r="Q82" s="10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21" customHeight="1" x14ac:dyDescent="0.25">
      <c r="A83" s="57" t="s">
        <v>78</v>
      </c>
      <c r="B83" s="58" t="s">
        <v>79</v>
      </c>
      <c r="C83" s="30" t="s">
        <v>18</v>
      </c>
      <c r="D83" s="60">
        <f>SUM(D84:D87)</f>
        <v>9</v>
      </c>
      <c r="E83" s="60"/>
      <c r="F83" s="60">
        <f t="shared" ref="F83:H83" si="45">SUM(F84:F87)</f>
        <v>3.9699999999999998</v>
      </c>
      <c r="G83" s="60">
        <f t="shared" si="45"/>
        <v>0</v>
      </c>
      <c r="H83" s="60">
        <f t="shared" si="45"/>
        <v>0</v>
      </c>
      <c r="I83" s="60"/>
      <c r="J83" s="105"/>
      <c r="K83" s="106"/>
      <c r="L83" s="2"/>
      <c r="M83" s="1"/>
      <c r="N83" s="38"/>
      <c r="O83" s="38"/>
      <c r="P83" s="38"/>
      <c r="Q83" s="38"/>
      <c r="R83" s="38"/>
      <c r="S83" s="38"/>
      <c r="T83" s="1"/>
      <c r="U83" s="1"/>
      <c r="V83" s="1"/>
      <c r="W83" s="1"/>
      <c r="X83" s="1"/>
      <c r="Y83" s="1"/>
      <c r="Z83" s="1"/>
    </row>
    <row r="84" spans="1:26" ht="21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17">
        <f>'TUMO RONG (1)'!E84+'LONG LEO(2)'!E84+'ĐĂK CHUM 1(3)'!E84+'ĐĂK CHUM II(4)'!E84+'TU CẤP(5)'!E84+'ĐĂK KA(6)'!E84+'VĂN SANG(7)'!E84+'ĐĂK NEANG(8)'!E84+'NGỌC LEANG(9)'!E84+'ĐĂK SIÊNG(10)'!E84+'KON TUN(11)'!E84+'MÔ PẢ(12)'!E84+'TY TU(13)'!E84+'KON LING(14)'!E84+'ĐĂK PƠ TRANG(15)'!E84+'KON PIA(16)'!E84+'ĐĂK HÀ(17)'!E84</f>
        <v>0</v>
      </c>
      <c r="G84" s="17">
        <f>'TUMO RONG (1)'!F84+'LONG LEO(2)'!F84+'ĐĂK CHUM 1(3)'!F84+'ĐĂK CHUM II(4)'!F84+'TU CẤP(5)'!F84+'ĐĂK KA(6)'!F84+'VĂN SANG(7)'!F84+'ĐĂK NEANG(8)'!F84+'NGỌC LEANG(9)'!F84+'ĐĂK SIÊNG(10)'!F84+'KON TUN(11)'!F84+'MÔ PẢ(12)'!F84+'TY TU(13)'!F84+'KON LING(14)'!F84+'ĐĂK PƠ TRANG(15)'!F84+'KON PIA(16)'!F84+'ĐĂK HÀ(17)'!F84</f>
        <v>0</v>
      </c>
      <c r="H84" s="17">
        <f>'TUMO RONG (1)'!G84+'LONG LEO(2)'!G84+'ĐĂK CHUM 1(3)'!G84+'ĐĂK CHUM II(4)'!G84+'TU CẤP(5)'!G84+'ĐĂK KA(6)'!G84+'VĂN SANG(7)'!G84+'ĐĂK NEANG(8)'!G84+'NGỌC LEANG(9)'!G84+'ĐĂK SIÊNG(10)'!G84+'KON TUN(11)'!G84+'MÔ PẢ(12)'!G84+'TY TU(13)'!G84+'KON LING(14)'!G84+'ĐĂK PƠ TRANG(15)'!G84+'KON PIA(16)'!G84+'ĐĂK HÀ(17)'!G84</f>
        <v>0</v>
      </c>
      <c r="I84" s="31"/>
      <c r="J84" s="70"/>
      <c r="K84" s="97"/>
      <c r="L84" s="2"/>
      <c r="M84" s="1"/>
      <c r="N84" s="38"/>
      <c r="O84" s="38"/>
      <c r="P84" s="38"/>
      <c r="Q84" s="38"/>
      <c r="R84" s="38"/>
      <c r="S84" s="38"/>
      <c r="T84" s="1"/>
      <c r="U84" s="1"/>
      <c r="V84" s="1"/>
      <c r="W84" s="1"/>
      <c r="X84" s="1"/>
      <c r="Y84" s="1"/>
      <c r="Z84" s="1"/>
    </row>
    <row r="85" spans="1:26" ht="21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17">
        <f>'TUMO RONG (1)'!E85+'LONG LEO(2)'!E85+'ĐĂK CHUM 1(3)'!E85+'ĐĂK CHUM II(4)'!E85+'TU CẤP(5)'!E85+'ĐĂK KA(6)'!E85+'VĂN SANG(7)'!E85+'ĐĂK NEANG(8)'!E85+'NGỌC LEANG(9)'!E85+'ĐĂK SIÊNG(10)'!E85+'KON TUN(11)'!E85+'MÔ PẢ(12)'!E85+'TY TU(13)'!E85+'KON LING(14)'!E85+'ĐĂK PƠ TRANG(15)'!E85+'KON PIA(16)'!E85+'ĐĂK HÀ(17)'!E85</f>
        <v>0</v>
      </c>
      <c r="G85" s="17">
        <f>'TUMO RONG (1)'!F85+'LONG LEO(2)'!F85+'ĐĂK CHUM 1(3)'!F85+'ĐĂK CHUM II(4)'!F85+'TU CẤP(5)'!F85+'ĐĂK KA(6)'!F85+'VĂN SANG(7)'!F85+'ĐĂK NEANG(8)'!F85+'NGỌC LEANG(9)'!F85+'ĐĂK SIÊNG(10)'!F85+'KON TUN(11)'!F85+'MÔ PẢ(12)'!F85+'TY TU(13)'!F85+'KON LING(14)'!F85+'ĐĂK PƠ TRANG(15)'!F85+'KON PIA(16)'!F85+'ĐĂK HÀ(17)'!F85</f>
        <v>0</v>
      </c>
      <c r="H85" s="17">
        <f>'TUMO RONG (1)'!G85+'LONG LEO(2)'!G85+'ĐĂK CHUM 1(3)'!G85+'ĐĂK CHUM II(4)'!G85+'TU CẤP(5)'!G85+'ĐĂK KA(6)'!G85+'VĂN SANG(7)'!G85+'ĐĂK NEANG(8)'!G85+'NGỌC LEANG(9)'!G85+'ĐĂK SIÊNG(10)'!G85+'KON TUN(11)'!G85+'MÔ PẢ(12)'!G85+'TY TU(13)'!G85+'KON LING(14)'!G85+'ĐĂK PƠ TRANG(15)'!G85+'KON PIA(16)'!G85+'ĐĂK HÀ(17)'!G85</f>
        <v>0</v>
      </c>
      <c r="I85" s="31"/>
      <c r="J85" s="70"/>
      <c r="K85" s="97"/>
      <c r="L85" s="2"/>
      <c r="M85" s="1"/>
      <c r="N85" s="38"/>
      <c r="O85" s="38"/>
      <c r="P85" s="38"/>
      <c r="Q85" s="38"/>
      <c r="R85" s="38"/>
      <c r="S85" s="38"/>
      <c r="T85" s="1"/>
      <c r="U85" s="1"/>
      <c r="V85" s="1"/>
      <c r="W85" s="1"/>
      <c r="X85" s="1"/>
      <c r="Y85" s="1"/>
      <c r="Z85" s="1"/>
    </row>
    <row r="86" spans="1:26" ht="21" customHeight="1" x14ac:dyDescent="0.25">
      <c r="A86" s="107" t="s">
        <v>47</v>
      </c>
      <c r="B86" s="76" t="s">
        <v>88</v>
      </c>
      <c r="C86" s="46"/>
      <c r="D86" s="31"/>
      <c r="E86" s="31"/>
      <c r="F86" s="17">
        <f>'TUMO RONG (1)'!E86+'LONG LEO(2)'!E86+'ĐĂK CHUM 1(3)'!E86+'ĐĂK CHUM II(4)'!E86+'TU CẤP(5)'!E86+'ĐĂK KA(6)'!E86+'VĂN SANG(7)'!E86+'ĐĂK NEANG(8)'!E86+'NGỌC LEANG(9)'!E86+'ĐĂK SIÊNG(10)'!E86+'KON TUN(11)'!E86+'MÔ PẢ(12)'!E86+'TY TU(13)'!E86+'KON LING(14)'!E86+'ĐĂK PƠ TRANG(15)'!E86+'KON PIA(16)'!E86+'ĐĂK HÀ(17)'!E86</f>
        <v>0</v>
      </c>
      <c r="G86" s="17">
        <f>'TUMO RONG (1)'!F86+'LONG LEO(2)'!F86+'ĐĂK CHUM 1(3)'!F86+'ĐĂK CHUM II(4)'!F86+'TU CẤP(5)'!F86+'ĐĂK KA(6)'!F86+'VĂN SANG(7)'!F86+'ĐĂK NEANG(8)'!F86+'NGỌC LEANG(9)'!F86+'ĐĂK SIÊNG(10)'!F86+'KON TUN(11)'!F86+'MÔ PẢ(12)'!F86+'TY TU(13)'!F86+'KON LING(14)'!F86+'ĐĂK PƠ TRANG(15)'!F86+'KON PIA(16)'!F86+'ĐĂK HÀ(17)'!F86</f>
        <v>0</v>
      </c>
      <c r="H86" s="17">
        <f>'TUMO RONG (1)'!G86+'LONG LEO(2)'!G86+'ĐĂK CHUM 1(3)'!G86+'ĐĂK CHUM II(4)'!G86+'TU CẤP(5)'!G86+'ĐĂK KA(6)'!G86+'VĂN SANG(7)'!G86+'ĐĂK NEANG(8)'!G86+'NGỌC LEANG(9)'!G86+'ĐĂK SIÊNG(10)'!G86+'KON TUN(11)'!G86+'MÔ PẢ(12)'!G86+'TY TU(13)'!G86+'KON LING(14)'!G86+'ĐĂK PƠ TRANG(15)'!G86+'KON PIA(16)'!G86+'ĐĂK HÀ(17)'!G86</f>
        <v>0</v>
      </c>
      <c r="I86" s="31"/>
      <c r="J86" s="70"/>
      <c r="K86" s="97"/>
      <c r="L86" s="2"/>
      <c r="M86" s="1"/>
      <c r="N86" s="38"/>
      <c r="O86" s="38"/>
      <c r="P86" s="38"/>
      <c r="Q86" s="38"/>
      <c r="R86" s="38"/>
      <c r="S86" s="38"/>
      <c r="T86" s="1"/>
      <c r="U86" s="1"/>
      <c r="V86" s="1"/>
      <c r="W86" s="1"/>
      <c r="X86" s="1"/>
      <c r="Y86" s="1"/>
      <c r="Z86" s="1"/>
    </row>
    <row r="87" spans="1:26" ht="21" customHeight="1" x14ac:dyDescent="0.25">
      <c r="A87" s="107" t="s">
        <v>47</v>
      </c>
      <c r="B87" s="94" t="s">
        <v>89</v>
      </c>
      <c r="C87" s="46" t="s">
        <v>18</v>
      </c>
      <c r="D87" s="31">
        <f>'TUMO RONG (1)'!D87+'LONG LEO(2)'!D87+'ĐĂK CHUM 1(3)'!D87+'ĐĂK CHUM II(4)'!D87+'TU CẤP(5)'!D87+'ĐĂK KA(6)'!D87+'VĂN SANG(7)'!D87+'ĐĂK NEANG(8)'!D87+'NGỌC LEANG(9)'!D87+'ĐĂK SIÊNG(10)'!D87+'KON TUN(11)'!D87+'MÔ PẢ(12)'!D87+'TY TU(13)'!D87+'KON LING(14)'!D87+'ĐĂK PƠ TRANG(15)'!D87+'KON PIA(16)'!D87+'ĐĂK HÀ(17)'!D87</f>
        <v>9</v>
      </c>
      <c r="E87" s="31"/>
      <c r="F87" s="31">
        <f>'TUMO RONG (1)'!E87+'LONG LEO(2)'!E87+'ĐĂK CHUM 1(3)'!E87+'ĐĂK CHUM II(4)'!E87+'TU CẤP(5)'!E87+'ĐĂK KA(6)'!E87+'VĂN SANG(7)'!E87+'ĐĂK NEANG(8)'!E87+'NGỌC LEANG(9)'!E87+'ĐĂK SIÊNG(10)'!E87+'KON TUN(11)'!E87+'MÔ PẢ(12)'!E87+'TY TU(13)'!E87+'KON LING(14)'!E87+'ĐĂK PƠ TRANG(15)'!E87+'KON PIA(16)'!E87+'ĐĂK HÀ(17)'!E87</f>
        <v>3.9699999999999998</v>
      </c>
      <c r="G87" s="31">
        <f>'TUMO RONG (1)'!F87+'LONG LEO(2)'!F87+'ĐĂK CHUM 1(3)'!F87+'ĐĂK CHUM II(4)'!F87+'TU CẤP(5)'!F87+'ĐĂK KA(6)'!F87+'VĂN SANG(7)'!F87+'ĐĂK NEANG(8)'!F87+'NGỌC LEANG(9)'!F87+'ĐĂK SIÊNG(10)'!F87+'KON TUN(11)'!F87+'MÔ PẢ(12)'!F87+'TY TU(13)'!F87+'KON LING(14)'!F87+'ĐĂK PƠ TRANG(15)'!F87+'KON PIA(16)'!F87+'ĐĂK HÀ(17)'!F87</f>
        <v>0</v>
      </c>
      <c r="H87" s="31">
        <f>'TUMO RONG (1)'!G87+'LONG LEO(2)'!G87+'ĐĂK CHUM 1(3)'!G87+'ĐĂK CHUM II(4)'!G87+'TU CẤP(5)'!G87+'ĐĂK KA(6)'!G87+'VĂN SANG(7)'!G87+'ĐĂK NEANG(8)'!G87+'NGỌC LEANG(9)'!G87+'ĐĂK SIÊNG(10)'!G87+'KON TUN(11)'!G87+'MÔ PẢ(12)'!G87+'TY TU(13)'!G87+'KON LING(14)'!G87+'ĐĂK PƠ TRANG(15)'!G87+'KON PIA(16)'!G87+'ĐĂK HÀ(17)'!G87</f>
        <v>0</v>
      </c>
      <c r="I87" s="31"/>
      <c r="J87" s="70"/>
      <c r="K87" s="97"/>
      <c r="L87" s="2"/>
      <c r="M87" s="1"/>
      <c r="N87" s="38"/>
      <c r="O87" s="38"/>
      <c r="P87" s="38"/>
      <c r="Q87" s="38"/>
      <c r="R87" s="38"/>
      <c r="S87" s="1"/>
      <c r="T87" s="1"/>
      <c r="U87" s="1"/>
      <c r="V87" s="1"/>
      <c r="W87" s="1"/>
      <c r="X87" s="1"/>
      <c r="Y87" s="1"/>
      <c r="Z87" s="1"/>
    </row>
    <row r="88" spans="1:26" ht="38.25" customHeight="1" x14ac:dyDescent="0.25">
      <c r="A88" s="15" t="s">
        <v>90</v>
      </c>
      <c r="B88" s="24" t="s">
        <v>91</v>
      </c>
      <c r="C88" s="15"/>
      <c r="D88" s="313">
        <f>D89+D90+D92+D93+D94</f>
        <v>9266</v>
      </c>
      <c r="E88" s="313">
        <f>E89+E90+E92+E93+E94</f>
        <v>3245</v>
      </c>
      <c r="F88" s="313">
        <f>F89+F90+F92+F93+F94</f>
        <v>9572</v>
      </c>
      <c r="G88" s="313">
        <f>G89+G90+G92+G93+G94</f>
        <v>8455</v>
      </c>
      <c r="H88" s="313">
        <f>H89+H90+H92+H93+H94</f>
        <v>9572</v>
      </c>
      <c r="I88" s="17">
        <f t="shared" ref="I88:I92" si="46">G88/F88*100</f>
        <v>88.330547430004174</v>
      </c>
      <c r="J88" s="30"/>
      <c r="K88" s="44"/>
      <c r="L88" s="2"/>
      <c r="M88" s="39"/>
      <c r="N88" s="39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25">
      <c r="A89" s="30">
        <v>1</v>
      </c>
      <c r="B89" s="27" t="s">
        <v>92</v>
      </c>
      <c r="C89" s="30" t="s">
        <v>93</v>
      </c>
      <c r="D89" s="83">
        <f>'TUMO RONG (1)'!D89+'LONG LEO(2)'!D89+'ĐĂK CHUM 1(3)'!D89+'ĐĂK CHUM II(4)'!D89+'TU CẤP(5)'!D89+'ĐĂK KA(6)'!D89+'VĂN SANG(7)'!D89+'ĐĂK NEANG(8)'!D89+'NGỌC LEANG(9)'!D89+'ĐĂK SIÊNG(10)'!D89+'KON TUN(11)'!D89+'MÔ PẢ(12)'!D89+'TY TU(13)'!D89+'KON LING(14)'!D89+'ĐĂK PƠ TRANG(15)'!D89+'KON PIA(16)'!D89+'ĐĂK HÀ(17)'!D89</f>
        <v>845</v>
      </c>
      <c r="E89" s="83">
        <v>907</v>
      </c>
      <c r="F89" s="83">
        <f>'TUMO RONG (1)'!E89+'LONG LEO(2)'!E89+'ĐĂK CHUM 1(3)'!E89+'ĐĂK CHUM II(4)'!E89+'TU CẤP(5)'!E89+'ĐĂK KA(6)'!E89+'VĂN SANG(7)'!E89+'ĐĂK NEANG(8)'!E89+'NGỌC LEANG(9)'!E89+'ĐĂK SIÊNG(10)'!E89+'KON TUN(11)'!E89+'MÔ PẢ(12)'!E89+'TY TU(13)'!E89+'KON LING(14)'!E89+'ĐĂK PƠ TRANG(15)'!E89+'KON PIA(16)'!E89+'ĐĂK HÀ(17)'!E89</f>
        <v>907</v>
      </c>
      <c r="G89" s="83">
        <v>893</v>
      </c>
      <c r="H89" s="83">
        <v>907</v>
      </c>
      <c r="I89" s="31">
        <f t="shared" si="46"/>
        <v>98.456449834619633</v>
      </c>
      <c r="J89" s="46"/>
      <c r="K89" s="79"/>
      <c r="L89" s="78"/>
      <c r="M89" s="78"/>
      <c r="N89" s="108"/>
      <c r="O89" s="109"/>
      <c r="P89" s="109"/>
      <c r="Q89" s="109"/>
      <c r="R89" s="109"/>
      <c r="S89" s="109"/>
      <c r="T89" s="80"/>
      <c r="U89" s="80"/>
      <c r="V89" s="80"/>
      <c r="W89" s="56"/>
      <c r="X89" s="56"/>
      <c r="Y89" s="56"/>
      <c r="Z89" s="56"/>
    </row>
    <row r="90" spans="1:26" ht="21" customHeight="1" x14ac:dyDescent="0.25">
      <c r="A90" s="30">
        <v>2</v>
      </c>
      <c r="B90" s="27" t="s">
        <v>94</v>
      </c>
      <c r="C90" s="30" t="s">
        <v>93</v>
      </c>
      <c r="D90" s="83">
        <f>'TUMO RONG (1)'!D90+'LONG LEO(2)'!D90+'ĐĂK CHUM 1(3)'!D90+'ĐĂK CHUM II(4)'!D90+'TU CẤP(5)'!D90+'ĐĂK KA(6)'!D90+'VĂN SANG(7)'!D90+'ĐĂK NEANG(8)'!D90+'NGỌC LEANG(9)'!D90+'ĐĂK SIÊNG(10)'!D90+'KON TUN(11)'!D90+'MÔ PẢ(12)'!D90+'TY TU(13)'!D90+'KON LING(14)'!D90+'ĐĂK PƠ TRANG(15)'!D90+'KON PIA(16)'!D90+'ĐĂK HÀ(17)'!D90</f>
        <v>1400</v>
      </c>
      <c r="E90" s="83">
        <v>1474</v>
      </c>
      <c r="F90" s="83">
        <f>'TUMO RONG (1)'!E90+'LONG LEO(2)'!E90+'ĐĂK CHUM 1(3)'!E90+'ĐĂK CHUM II(4)'!E90+'TU CẤP(5)'!E90+'ĐĂK KA(6)'!E90+'VĂN SANG(7)'!E90+'ĐĂK NEANG(8)'!E90+'NGỌC LEANG(9)'!E90+'ĐĂK SIÊNG(10)'!E90+'KON TUN(11)'!E90+'MÔ PẢ(12)'!E90+'TY TU(13)'!E90+'KON LING(14)'!E90+'ĐĂK PƠ TRANG(15)'!E90+'KON PIA(16)'!E90+'ĐĂK HÀ(17)'!E90</f>
        <v>1474</v>
      </c>
      <c r="G90" s="83">
        <v>1448</v>
      </c>
      <c r="H90" s="83">
        <v>1474</v>
      </c>
      <c r="I90" s="31">
        <f t="shared" si="46"/>
        <v>98.236092265943014</v>
      </c>
      <c r="J90" s="46"/>
      <c r="K90" s="55"/>
      <c r="L90" s="78"/>
      <c r="M90" s="78"/>
      <c r="N90" s="108"/>
      <c r="O90" s="109"/>
      <c r="P90" s="109"/>
      <c r="Q90" s="108"/>
      <c r="R90" s="109"/>
      <c r="S90" s="109"/>
      <c r="T90" s="80"/>
      <c r="U90" s="80"/>
      <c r="V90" s="80"/>
      <c r="W90" s="56"/>
      <c r="X90" s="56"/>
      <c r="Y90" s="56"/>
      <c r="Z90" s="56"/>
    </row>
    <row r="91" spans="1:26" ht="21" customHeight="1" x14ac:dyDescent="0.25">
      <c r="A91" s="46"/>
      <c r="B91" s="70" t="s">
        <v>95</v>
      </c>
      <c r="C91" s="46" t="s">
        <v>96</v>
      </c>
      <c r="D91" s="36">
        <v>50</v>
      </c>
      <c r="E91" s="36">
        <v>50</v>
      </c>
      <c r="F91" s="36">
        <v>50</v>
      </c>
      <c r="G91" s="36">
        <v>50</v>
      </c>
      <c r="H91" s="36">
        <v>50</v>
      </c>
      <c r="I91" s="31">
        <f t="shared" si="46"/>
        <v>100</v>
      </c>
      <c r="J91" s="46"/>
      <c r="K91" s="97"/>
      <c r="L91" s="103"/>
      <c r="M91" s="39"/>
      <c r="N91" s="110"/>
      <c r="O91" s="111"/>
      <c r="P91" s="111"/>
      <c r="Q91" s="111"/>
      <c r="R91" s="111"/>
      <c r="S91" s="111"/>
      <c r="T91" s="74"/>
      <c r="U91" s="74"/>
      <c r="V91" s="74"/>
      <c r="W91" s="75"/>
      <c r="X91" s="75"/>
      <c r="Y91" s="75"/>
      <c r="Z91" s="75"/>
    </row>
    <row r="92" spans="1:26" ht="21" customHeight="1" x14ac:dyDescent="0.25">
      <c r="A92" s="30">
        <v>3</v>
      </c>
      <c r="B92" s="27" t="s">
        <v>97</v>
      </c>
      <c r="C92" s="30" t="s">
        <v>93</v>
      </c>
      <c r="D92" s="83">
        <f>'TUMO RONG (1)'!D91+'LONG LEO(2)'!D91+'ĐĂK CHUM 1(3)'!D91+'ĐĂK CHUM II(4)'!D91+'TU CẤP(5)'!D91+'ĐĂK KA(6)'!D91+'VĂN SANG(7)'!D91+'ĐĂK NEANG(8)'!D91+'NGỌC LEANG(9)'!D91+'ĐĂK SIÊNG(10)'!D91+'KON TUN(11)'!D91+'MÔ PẢ(12)'!D91+'TY TU(13)'!D91+'KON LING(14)'!D91+'ĐĂK PƠ TRANG(15)'!D91+'KON PIA(16)'!D91+'ĐĂK HÀ(17)'!D91</f>
        <v>800</v>
      </c>
      <c r="E92" s="83">
        <v>864</v>
      </c>
      <c r="F92" s="83">
        <f>'TUMO RONG (1)'!E91+'LONG LEO(2)'!E91+'ĐĂK CHUM 1(3)'!E91+'ĐĂK CHUM II(4)'!E91+'TU CẤP(5)'!E91+'ĐĂK KA(6)'!E91+'VĂN SANG(7)'!E91+'ĐĂK NEANG(8)'!E91+'NGỌC LEANG(9)'!E91+'ĐĂK SIÊNG(10)'!E91+'KON TUN(11)'!E91+'MÔ PẢ(12)'!E91+'TY TU(13)'!E91+'KON LING(14)'!E91+'ĐĂK PƠ TRANG(15)'!E91+'KON PIA(16)'!E91+'ĐĂK HÀ(17)'!E91</f>
        <v>864</v>
      </c>
      <c r="G92" s="83">
        <v>776</v>
      </c>
      <c r="H92" s="83">
        <v>864</v>
      </c>
      <c r="I92" s="31">
        <f t="shared" si="46"/>
        <v>89.81481481481481</v>
      </c>
      <c r="J92" s="46"/>
      <c r="K92" s="55"/>
      <c r="L92" s="78"/>
      <c r="M92" s="78"/>
      <c r="N92" s="108"/>
      <c r="O92" s="109"/>
      <c r="P92" s="108"/>
      <c r="Q92" s="109"/>
      <c r="R92" s="109"/>
      <c r="S92" s="109"/>
      <c r="T92" s="80"/>
      <c r="U92" s="80"/>
      <c r="V92" s="80"/>
      <c r="W92" s="56"/>
      <c r="X92" s="56"/>
      <c r="Y92" s="56"/>
      <c r="Z92" s="56"/>
    </row>
    <row r="93" spans="1:26" ht="21" customHeight="1" x14ac:dyDescent="0.25">
      <c r="A93" s="30">
        <v>4</v>
      </c>
      <c r="B93" s="27" t="s">
        <v>98</v>
      </c>
      <c r="C93" s="30" t="s">
        <v>93</v>
      </c>
      <c r="D93" s="83">
        <f>'TUMO RONG (1)'!D92+'LONG LEO(2)'!D92+'ĐĂK CHUM 1(3)'!D92+'ĐĂK CHUM II(4)'!D92+'TU CẤP(5)'!D92+'ĐĂK KA(6)'!D92+'VĂN SANG(7)'!D92+'ĐĂK NEANG(8)'!D92+'NGỌC LEANG(9)'!D92+'ĐĂK SIÊNG(10)'!D92+'KON TUN(11)'!D92+'MÔ PẢ(12)'!D92+'TY TU(13)'!D92+'KON LING(14)'!D92+'ĐĂK PƠ TRANG(15)'!D92+'KON PIA(16)'!D92+'ĐĂK HÀ(17)'!D92</f>
        <v>80</v>
      </c>
      <c r="E93" s="83"/>
      <c r="F93" s="83">
        <f>'TUMO RONG (1)'!E92+'LONG LEO(2)'!E92+'ĐĂK CHUM 1(3)'!E92+'ĐĂK CHUM II(4)'!E92+'TU CẤP(5)'!E92+'ĐĂK KA(6)'!E92+'VĂN SANG(7)'!E92+'ĐĂK NEANG(8)'!E92+'NGỌC LEANG(9)'!E92+'ĐĂK SIÊNG(10)'!E92+'KON TUN(11)'!E92+'MÔ PẢ(12)'!E92+'TY TU(13)'!E92+'KON LING(14)'!E92+'ĐĂK PƠ TRANG(15)'!E92+'KON PIA(16)'!E92+'ĐĂK HÀ(17)'!E92</f>
        <v>98</v>
      </c>
      <c r="G93" s="83">
        <f>'TUMO RONG (1)'!F92+'LONG LEO(2)'!F92+'ĐĂK CHUM 1(3)'!F92+'ĐĂK CHUM II(4)'!F92+'TU CẤP(5)'!F92+'ĐĂK KA(6)'!F92+'VĂN SANG(7)'!F92+'ĐĂK NEANG(8)'!F92+'NGỌC LEANG(9)'!F92+'ĐĂK SIÊNG(10)'!F92+'KON TUN(11)'!F92+'MÔ PẢ(12)'!F92+'TY TU(13)'!F92+'KON LING(14)'!F92+'ĐĂK PƠ TRANG(15)'!F92+'KON PIA(16)'!F92+'ĐĂK HÀ(17)'!F92-4</f>
        <v>83</v>
      </c>
      <c r="H93" s="83">
        <v>98</v>
      </c>
      <c r="I93" s="31">
        <f t="shared" ref="I93:I96" si="47">G93/F93*100</f>
        <v>84.693877551020407</v>
      </c>
      <c r="J93" s="27"/>
      <c r="K93" s="55"/>
      <c r="L93" s="112"/>
      <c r="M93" s="112"/>
      <c r="N93" s="108"/>
      <c r="O93" s="108"/>
      <c r="P93" s="108"/>
      <c r="Q93" s="108"/>
      <c r="R93" s="109"/>
      <c r="S93" s="109"/>
      <c r="T93" s="80"/>
      <c r="U93" s="80"/>
      <c r="V93" s="80"/>
      <c r="W93" s="56"/>
      <c r="X93" s="56"/>
      <c r="Y93" s="56"/>
      <c r="Z93" s="56"/>
    </row>
    <row r="94" spans="1:26" ht="21" customHeight="1" x14ac:dyDescent="0.25">
      <c r="A94" s="30">
        <v>5</v>
      </c>
      <c r="B94" s="27" t="s">
        <v>99</v>
      </c>
      <c r="C94" s="30" t="s">
        <v>93</v>
      </c>
      <c r="D94" s="83">
        <f>'TUMO RONG (1)'!D93+'LONG LEO(2)'!D93+'ĐĂK CHUM 1(3)'!D93+'ĐĂK CHUM II(4)'!D93+'TU CẤP(5)'!D93+'ĐĂK KA(6)'!D93+'VĂN SANG(7)'!D93+'ĐĂK NEANG(8)'!D93+'NGỌC LEANG(9)'!D93+'ĐĂK SIÊNG(10)'!D93+'KON TUN(11)'!D93+'MÔ PẢ(12)'!D93+'TY TU(13)'!D93+'KON LING(14)'!D93+'ĐĂK PƠ TRANG(15)'!D93+'KON PIA(16)'!D93+'ĐĂK HÀ(17)'!D93</f>
        <v>6141</v>
      </c>
      <c r="E94" s="83"/>
      <c r="F94" s="83">
        <f>'TUMO RONG (1)'!E93+'LONG LEO(2)'!E93+'ĐĂK CHUM 1(3)'!E93+'ĐĂK CHUM II(4)'!E93+'TU CẤP(5)'!E93+'ĐĂK KA(6)'!E93+'VĂN SANG(7)'!E93+'ĐĂK NEANG(8)'!E93+'NGỌC LEANG(9)'!E93+'ĐĂK SIÊNG(10)'!E93+'KON TUN(11)'!E93+'MÔ PẢ(12)'!E93+'TY TU(13)'!E93+'KON LING(14)'!E93+'ĐĂK PƠ TRANG(15)'!E93+'KON PIA(16)'!E93+'ĐĂK HÀ(17)'!E93</f>
        <v>6229</v>
      </c>
      <c r="G94" s="83">
        <f>'TUMO RONG (1)'!F93+'LONG LEO(2)'!F93+'ĐĂK CHUM 1(3)'!F93+'ĐĂK CHUM II(4)'!F93+'TU CẤP(5)'!F93+'ĐĂK KA(6)'!F93+'VĂN SANG(7)'!F93+'ĐĂK NEANG(8)'!F93+'NGỌC LEANG(9)'!F93+'ĐĂK SIÊNG(10)'!F93+'KON TUN(11)'!F93+'MÔ PẢ(12)'!F93+'TY TU(13)'!F93+'KON LING(14)'!F93+'ĐĂK PƠ TRANG(15)'!F93+'KON PIA(16)'!F93+'ĐĂK HÀ(17)'!F93+50</f>
        <v>5255</v>
      </c>
      <c r="H94" s="83">
        <v>6229</v>
      </c>
      <c r="I94" s="31">
        <f t="shared" si="47"/>
        <v>84.363461229731897</v>
      </c>
      <c r="J94" s="30"/>
      <c r="K94" s="113"/>
      <c r="L94" s="114"/>
      <c r="M94" s="112"/>
      <c r="N94" s="108"/>
      <c r="O94" s="109"/>
      <c r="P94" s="109"/>
      <c r="Q94" s="109"/>
      <c r="R94" s="109"/>
      <c r="S94" s="109"/>
      <c r="T94" s="80"/>
      <c r="U94" s="80"/>
      <c r="V94" s="80"/>
      <c r="W94" s="56"/>
      <c r="X94" s="56"/>
      <c r="Y94" s="56"/>
      <c r="Z94" s="56"/>
    </row>
    <row r="95" spans="1:26" ht="21" customHeight="1" x14ac:dyDescent="0.25">
      <c r="A95" s="15" t="s">
        <v>100</v>
      </c>
      <c r="B95" s="16" t="s">
        <v>101</v>
      </c>
      <c r="C95" s="15" t="s">
        <v>18</v>
      </c>
      <c r="D95" s="17">
        <f>D96</f>
        <v>7.9</v>
      </c>
      <c r="E95" s="17">
        <v>7.5</v>
      </c>
      <c r="F95" s="17">
        <f t="shared" ref="F95:H95" si="48">F96</f>
        <v>7.9</v>
      </c>
      <c r="G95" s="17">
        <f t="shared" si="48"/>
        <v>7.9</v>
      </c>
      <c r="H95" s="17">
        <f t="shared" si="48"/>
        <v>7.9</v>
      </c>
      <c r="I95" s="312">
        <f t="shared" si="47"/>
        <v>100</v>
      </c>
      <c r="J95" s="27"/>
      <c r="K95" s="115"/>
      <c r="L95" s="29"/>
      <c r="M95" s="26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1" customHeight="1" x14ac:dyDescent="0.25">
      <c r="A96" s="46" t="s">
        <v>47</v>
      </c>
      <c r="B96" s="76" t="s">
        <v>102</v>
      </c>
      <c r="C96" s="46" t="s">
        <v>18</v>
      </c>
      <c r="D96" s="71">
        <f>'TUMO RONG (1)'!D95+'LONG LEO(2)'!D95+'ĐĂK CHUM 1(3)'!D95+'ĐĂK CHUM II(4)'!D95+'TU CẤP(5)'!D95+'ĐĂK KA(6)'!D95+'VĂN SANG(7)'!D95+'ĐĂK NEANG(8)'!D95+'NGỌC LEANG(9)'!D95+'ĐĂK SIÊNG(10)'!D95+'KON TUN(11)'!D95+'MÔ PẢ(12)'!D95+'TY TU(13)'!D95+'KON LING(14)'!D95+'ĐĂK PƠ TRANG(15)'!D95+'KON PIA(16)'!D95+'ĐĂK HÀ(17)'!D95</f>
        <v>7.9</v>
      </c>
      <c r="E96" s="71">
        <v>7.5</v>
      </c>
      <c r="F96" s="71">
        <v>7.9</v>
      </c>
      <c r="G96" s="71">
        <v>7.9</v>
      </c>
      <c r="H96" s="71">
        <v>7.9</v>
      </c>
      <c r="I96" s="36">
        <f t="shared" si="47"/>
        <v>100</v>
      </c>
      <c r="J96" s="70"/>
      <c r="K96" s="116"/>
      <c r="L96" s="117"/>
      <c r="M96" s="118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spans="1:26" ht="21" customHeight="1" x14ac:dyDescent="0.25">
      <c r="A97" s="46" t="s">
        <v>47</v>
      </c>
      <c r="B97" s="58" t="s">
        <v>103</v>
      </c>
      <c r="C97" s="30" t="s">
        <v>21</v>
      </c>
      <c r="D97" s="31">
        <v>27.6</v>
      </c>
      <c r="E97" s="31">
        <v>29.3</v>
      </c>
      <c r="F97" s="31">
        <v>29.3</v>
      </c>
      <c r="G97" s="31"/>
      <c r="H97" s="31"/>
      <c r="I97" s="31"/>
      <c r="J97" s="27"/>
      <c r="K97" s="28"/>
      <c r="L97" s="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25">
      <c r="A98" s="15" t="s">
        <v>104</v>
      </c>
      <c r="B98" s="16" t="s">
        <v>105</v>
      </c>
      <c r="C98" s="15" t="s">
        <v>18</v>
      </c>
      <c r="D98" s="17">
        <f t="shared" ref="D98:H98" si="49">D99+D102</f>
        <v>28</v>
      </c>
      <c r="E98" s="17">
        <f t="shared" si="49"/>
        <v>5</v>
      </c>
      <c r="F98" s="17">
        <f t="shared" si="49"/>
        <v>15</v>
      </c>
      <c r="G98" s="17">
        <f t="shared" si="49"/>
        <v>7.94</v>
      </c>
      <c r="H98" s="17">
        <f t="shared" si="49"/>
        <v>10</v>
      </c>
      <c r="I98" s="17"/>
      <c r="J98" s="30"/>
      <c r="K98" s="44"/>
      <c r="L98" s="2"/>
      <c r="M98" s="1"/>
      <c r="N98" s="120"/>
      <c r="O98" s="120"/>
      <c r="P98" s="2"/>
      <c r="Q98" s="2"/>
      <c r="R98" s="2"/>
      <c r="S98" s="2"/>
      <c r="T98" s="1"/>
      <c r="U98" s="1"/>
      <c r="V98" s="1"/>
      <c r="W98" s="1"/>
      <c r="X98" s="1"/>
      <c r="Y98" s="1"/>
      <c r="Z98" s="1"/>
    </row>
    <row r="99" spans="1:26" ht="21" customHeight="1" x14ac:dyDescent="0.25">
      <c r="A99" s="30" t="s">
        <v>47</v>
      </c>
      <c r="B99" s="93" t="s">
        <v>106</v>
      </c>
      <c r="C99" s="46" t="s">
        <v>18</v>
      </c>
      <c r="D99" s="31">
        <f>'TUMO RONG (1)'!D97+'LONG LEO(2)'!D97+'ĐĂK CHUM 1(3)'!D97+'ĐĂK CHUM II(4)'!D97+'TU CẤP(5)'!D97+'ĐĂK KA(6)'!D97+'VĂN SANG(7)'!D97+'ĐĂK NEANG(8)'!D97+'NGỌC LEANG(9)'!D97+'ĐĂK SIÊNG(10)'!D97+'KON TUN(11)'!D97+'MÔ PẢ(12)'!D97+'TY TU(13)'!D97+'KON LING(14)'!D97+'ĐĂK PƠ TRANG(15)'!D97+'KON PIA(16)'!D97+'ĐĂK HÀ(17)'!D97</f>
        <v>0</v>
      </c>
      <c r="E99" s="31">
        <f>E100+E101</f>
        <v>5</v>
      </c>
      <c r="F99" s="31">
        <f>'TUMO RONG (1)'!E97+'LONG LEO(2)'!E97+'ĐĂK CHUM 1(3)'!E97+'ĐĂK CHUM II(4)'!E97+'TU CẤP(5)'!E97+'ĐĂK KA(6)'!E97+'VĂN SANG(7)'!E97+'ĐĂK NEANG(8)'!E97+'NGỌC LEANG(9)'!E97+'ĐĂK SIÊNG(10)'!E97+'KON TUN(11)'!E97+'MÔ PẢ(12)'!E97+'TY TU(13)'!E97+'KON LING(14)'!E97+'ĐĂK PƠ TRANG(15)'!E97+'KON PIA(16)'!E97+'ĐĂK HÀ(17)'!E97</f>
        <v>5.0000000000000009</v>
      </c>
      <c r="G99" s="31">
        <f>'TUMO RONG (1)'!F97+'LONG LEO(2)'!F97+'ĐĂK CHUM 1(3)'!F97+'ĐĂK CHUM II(4)'!F97+'TU CẤP(5)'!F97+'ĐĂK KA(6)'!F97+'VĂN SANG(7)'!F97+'ĐĂK NEANG(8)'!F97+'NGỌC LEANG(9)'!F97+'ĐĂK SIÊNG(10)'!F97+'KON TUN(11)'!F97+'MÔ PẢ(12)'!F97+'TY TU(13)'!F97+'KON LING(14)'!F97+'ĐĂK PƠ TRANG(15)'!F97+'KON PIA(16)'!F97+'ĐĂK HÀ(17)'!F97</f>
        <v>0</v>
      </c>
      <c r="H99" s="31">
        <f>'TUMO RONG (1)'!G97+'LONG LEO(2)'!G97+'ĐĂK CHUM 1(3)'!G97+'ĐĂK CHUM II(4)'!G97+'TU CẤP(5)'!G97+'ĐĂK KA(6)'!G97+'VĂN SANG(7)'!G97+'ĐĂK NEANG(8)'!G97+'NGỌC LEANG(9)'!G97+'ĐĂK SIÊNG(10)'!G97+'KON TUN(11)'!G97+'MÔ PẢ(12)'!G97+'TY TU(13)'!G97+'KON LING(14)'!G97+'ĐĂK PƠ TRANG(15)'!G97+'KON PIA(16)'!G97+'ĐĂK HÀ(17)'!G97</f>
        <v>0</v>
      </c>
      <c r="I99" s="31"/>
      <c r="J99" s="46"/>
      <c r="K99" s="28"/>
      <c r="L99" s="121"/>
      <c r="M99" s="121"/>
      <c r="N99" s="2"/>
      <c r="O99" s="2"/>
      <c r="P99" s="32"/>
      <c r="Q99" s="32"/>
      <c r="R99" s="2"/>
      <c r="S99" s="2"/>
      <c r="T99" s="1"/>
      <c r="U99" s="1"/>
      <c r="V99" s="1"/>
      <c r="W99" s="1"/>
      <c r="X99" s="1"/>
      <c r="Y99" s="1"/>
      <c r="Z99" s="1"/>
    </row>
    <row r="100" spans="1:26" ht="21" customHeight="1" x14ac:dyDescent="0.25">
      <c r="A100" s="30"/>
      <c r="B100" s="122" t="s">
        <v>107</v>
      </c>
      <c r="C100" s="46" t="s">
        <v>18</v>
      </c>
      <c r="D100" s="71"/>
      <c r="E100" s="71"/>
      <c r="F100" s="71"/>
      <c r="G100" s="71"/>
      <c r="H100" s="71"/>
      <c r="I100" s="71"/>
      <c r="J100" s="46"/>
      <c r="K100" s="28"/>
      <c r="L100" s="2"/>
      <c r="M100" s="1"/>
      <c r="N100" s="2"/>
      <c r="O100" s="2"/>
      <c r="P100" s="32"/>
      <c r="Q100" s="32"/>
      <c r="R100" s="2"/>
      <c r="S100" s="2"/>
      <c r="T100" s="1"/>
      <c r="U100" s="1"/>
      <c r="V100" s="1"/>
      <c r="W100" s="1"/>
      <c r="X100" s="1"/>
      <c r="Y100" s="1"/>
      <c r="Z100" s="1"/>
    </row>
    <row r="101" spans="1:26" ht="18.75" customHeight="1" x14ac:dyDescent="0.25">
      <c r="A101" s="30"/>
      <c r="B101" s="122" t="s">
        <v>108</v>
      </c>
      <c r="C101" s="46" t="s">
        <v>18</v>
      </c>
      <c r="D101" s="71"/>
      <c r="E101" s="71">
        <v>5</v>
      </c>
      <c r="F101" s="71">
        <v>5</v>
      </c>
      <c r="G101" s="71"/>
      <c r="H101" s="71">
        <v>5</v>
      </c>
      <c r="I101" s="71"/>
      <c r="J101" s="46"/>
      <c r="K101" s="28"/>
      <c r="L101" s="2"/>
      <c r="M101" s="1"/>
      <c r="N101" s="2"/>
      <c r="O101" s="2"/>
      <c r="P101" s="32"/>
      <c r="Q101" s="32"/>
      <c r="R101" s="2"/>
      <c r="S101" s="2"/>
      <c r="T101" s="1"/>
      <c r="U101" s="1"/>
      <c r="V101" s="1"/>
      <c r="W101" s="1"/>
      <c r="X101" s="1"/>
      <c r="Y101" s="1"/>
      <c r="Z101" s="1"/>
    </row>
    <row r="102" spans="1:26" ht="21" customHeight="1" x14ac:dyDescent="0.25">
      <c r="A102" s="123" t="s">
        <v>47</v>
      </c>
      <c r="B102" s="93" t="s">
        <v>109</v>
      </c>
      <c r="C102" s="46" t="s">
        <v>18</v>
      </c>
      <c r="D102" s="31">
        <f>'TUMO RONG (1)'!D98+'LONG LEO(2)'!D98+'ĐĂK CHUM 1(3)'!D98+'ĐĂK CHUM II(4)'!D98+'TU CẤP(5)'!D98+'ĐĂK KA(6)'!D98+'VĂN SANG(7)'!D98+'ĐĂK NEANG(8)'!D98+'NGỌC LEANG(9)'!D98+'ĐĂK SIÊNG(10)'!D98+'KON TUN(11)'!D98+'MÔ PẢ(12)'!D98+'TY TU(13)'!D98+'KON LING(14)'!D98+'ĐĂK PƠ TRANG(15)'!D98+'KON PIA(16)'!D98+'ĐĂK HÀ(17)'!D98</f>
        <v>28</v>
      </c>
      <c r="E102" s="31">
        <v>0</v>
      </c>
      <c r="F102" s="31">
        <f>'TUMO RONG (1)'!E98+'LONG LEO(2)'!E98+'ĐĂK CHUM 1(3)'!E98+'ĐĂK CHUM II(4)'!E98+'TU CẤP(5)'!E98+'ĐĂK KA(6)'!E98+'VĂN SANG(7)'!E98+'ĐĂK NEANG(8)'!E98+'NGỌC LEANG(9)'!E98+'ĐĂK SIÊNG(10)'!E98+'KON TUN(11)'!E98+'MÔ PẢ(12)'!E98+'TY TU(13)'!E98+'KON LING(14)'!E98+'ĐĂK PƠ TRANG(15)'!E98+'KON PIA(16)'!E98+'ĐĂK HÀ(17)'!E98</f>
        <v>10</v>
      </c>
      <c r="G102" s="31">
        <v>7.94</v>
      </c>
      <c r="H102" s="31">
        <v>10</v>
      </c>
      <c r="I102" s="31">
        <f>G102/F102*100</f>
        <v>79.400000000000006</v>
      </c>
      <c r="J102" s="27"/>
      <c r="K102" s="28"/>
      <c r="L102" s="2"/>
      <c r="M102" s="1"/>
      <c r="N102" s="120"/>
      <c r="O102" s="120"/>
      <c r="P102" s="32"/>
      <c r="Q102" s="32"/>
      <c r="R102" s="2"/>
      <c r="S102" s="2"/>
      <c r="T102" s="1"/>
      <c r="U102" s="1"/>
      <c r="V102" s="1"/>
      <c r="W102" s="1"/>
      <c r="X102" s="1"/>
      <c r="Y102" s="1"/>
      <c r="Z102" s="1"/>
    </row>
    <row r="103" spans="1:26" ht="21" customHeight="1" x14ac:dyDescent="0.25">
      <c r="A103" s="123" t="s">
        <v>47</v>
      </c>
      <c r="B103" s="27" t="s">
        <v>110</v>
      </c>
      <c r="C103" s="46" t="s">
        <v>18</v>
      </c>
      <c r="D103" s="31">
        <f t="shared" ref="D103:H103" si="50">D104+D105</f>
        <v>9940</v>
      </c>
      <c r="E103" s="31">
        <f t="shared" si="50"/>
        <v>9940</v>
      </c>
      <c r="F103" s="31">
        <f t="shared" si="50"/>
        <v>9940</v>
      </c>
      <c r="G103" s="31">
        <f t="shared" si="50"/>
        <v>0</v>
      </c>
      <c r="H103" s="31">
        <f t="shared" si="50"/>
        <v>0</v>
      </c>
      <c r="I103" s="124"/>
      <c r="J103" s="27"/>
      <c r="K103" s="28"/>
      <c r="L103" s="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25">
      <c r="A104" s="125"/>
      <c r="B104" s="122" t="s">
        <v>107</v>
      </c>
      <c r="C104" s="46" t="s">
        <v>111</v>
      </c>
      <c r="D104" s="71">
        <v>2805</v>
      </c>
      <c r="E104" s="71">
        <v>2805</v>
      </c>
      <c r="F104" s="71">
        <v>2805</v>
      </c>
      <c r="G104" s="76"/>
      <c r="H104" s="76"/>
      <c r="I104" s="76"/>
      <c r="J104" s="70"/>
      <c r="K104" s="28"/>
      <c r="L104" s="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25">
      <c r="A105" s="125"/>
      <c r="B105" s="122" t="s">
        <v>108</v>
      </c>
      <c r="C105" s="46" t="s">
        <v>111</v>
      </c>
      <c r="D105" s="71">
        <v>7135</v>
      </c>
      <c r="E105" s="71">
        <v>7135</v>
      </c>
      <c r="F105" s="71">
        <v>7135</v>
      </c>
      <c r="G105" s="76"/>
      <c r="H105" s="76"/>
      <c r="I105" s="76"/>
      <c r="J105" s="70"/>
      <c r="K105" s="28"/>
      <c r="L105" s="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28"/>
      <c r="K106" s="28"/>
      <c r="L106" s="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28"/>
      <c r="K107" s="28"/>
      <c r="L107" s="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28"/>
      <c r="K108" s="28"/>
      <c r="L108" s="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28"/>
      <c r="K109" s="28"/>
      <c r="L109" s="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28"/>
      <c r="K110" s="28"/>
      <c r="L110" s="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28"/>
      <c r="K111" s="28"/>
      <c r="L111" s="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28"/>
      <c r="K112" s="28"/>
      <c r="L112" s="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28"/>
      <c r="K113" s="28"/>
      <c r="L113" s="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28"/>
      <c r="K114" s="28"/>
      <c r="L114" s="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28"/>
      <c r="K115" s="28"/>
      <c r="L115" s="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28"/>
      <c r="K116" s="28"/>
      <c r="L116" s="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28"/>
      <c r="K117" s="28"/>
      <c r="L117" s="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28"/>
      <c r="K118" s="28"/>
      <c r="L118" s="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28"/>
      <c r="K119" s="28"/>
      <c r="L119" s="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28"/>
      <c r="K120" s="28"/>
      <c r="L120" s="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28"/>
      <c r="K121" s="28"/>
      <c r="L121" s="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28"/>
      <c r="K122" s="28"/>
      <c r="L122" s="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28"/>
      <c r="K123" s="28"/>
      <c r="L123" s="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28"/>
      <c r="K124" s="28"/>
      <c r="L124" s="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28"/>
      <c r="K125" s="28"/>
      <c r="L125" s="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28"/>
      <c r="K126" s="28"/>
      <c r="L126" s="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28"/>
      <c r="K127" s="28"/>
      <c r="L127" s="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28"/>
      <c r="K128" s="28"/>
      <c r="L128" s="2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28"/>
      <c r="K129" s="28"/>
      <c r="L129" s="2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28"/>
      <c r="K130" s="28"/>
      <c r="L130" s="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28"/>
      <c r="K131" s="28"/>
      <c r="L131" s="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28"/>
      <c r="K132" s="28"/>
      <c r="L132" s="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28"/>
      <c r="K133" s="28"/>
      <c r="L133" s="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28"/>
      <c r="K134" s="28"/>
      <c r="L134" s="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28"/>
      <c r="K135" s="28"/>
      <c r="L135" s="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28"/>
      <c r="K136" s="28"/>
      <c r="L136" s="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28"/>
      <c r="K137" s="28"/>
      <c r="L137" s="2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28"/>
      <c r="K138" s="28"/>
      <c r="L138" s="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28"/>
      <c r="K139" s="28"/>
      <c r="L139" s="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28"/>
      <c r="K140" s="28"/>
      <c r="L140" s="2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28"/>
      <c r="K141" s="28"/>
      <c r="L141" s="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28"/>
      <c r="K142" s="28"/>
      <c r="L142" s="2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28"/>
      <c r="K143" s="28"/>
      <c r="L143" s="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28"/>
      <c r="K144" s="28"/>
      <c r="L144" s="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28"/>
      <c r="K145" s="28"/>
      <c r="L145" s="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28"/>
      <c r="K146" s="28"/>
      <c r="L146" s="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28"/>
      <c r="K147" s="28"/>
      <c r="L147" s="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28"/>
      <c r="K148" s="28"/>
      <c r="L148" s="2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28"/>
      <c r="K149" s="28"/>
      <c r="L149" s="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28"/>
      <c r="K150" s="28"/>
      <c r="L150" s="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28"/>
      <c r="K151" s="28"/>
      <c r="L151" s="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28"/>
      <c r="K152" s="28"/>
      <c r="L152" s="2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28"/>
      <c r="K153" s="28"/>
      <c r="L153" s="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28"/>
      <c r="K154" s="28"/>
      <c r="L154" s="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28"/>
      <c r="K155" s="28"/>
      <c r="L155" s="2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28"/>
      <c r="K156" s="28"/>
      <c r="L156" s="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28"/>
      <c r="K157" s="28"/>
      <c r="L157" s="2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28"/>
      <c r="K158" s="28"/>
      <c r="L158" s="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28"/>
      <c r="K159" s="28"/>
      <c r="L159" s="2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28"/>
      <c r="K160" s="28"/>
      <c r="L160" s="2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28"/>
      <c r="K161" s="28"/>
      <c r="L161" s="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28"/>
      <c r="K162" s="28"/>
      <c r="L162" s="2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28"/>
      <c r="K163" s="28"/>
      <c r="L163" s="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28"/>
      <c r="K164" s="28"/>
      <c r="L164" s="2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28"/>
      <c r="K165" s="28"/>
      <c r="L165" s="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28"/>
      <c r="K166" s="28"/>
      <c r="L166" s="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28"/>
      <c r="K167" s="28"/>
      <c r="L167" s="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28"/>
      <c r="K168" s="28"/>
      <c r="L168" s="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28"/>
      <c r="K169" s="28"/>
      <c r="L169" s="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28"/>
      <c r="K170" s="28"/>
      <c r="L170" s="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28"/>
      <c r="K171" s="28"/>
      <c r="L171" s="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28"/>
      <c r="K172" s="28"/>
      <c r="L172" s="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28"/>
      <c r="K173" s="28"/>
      <c r="L173" s="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28"/>
      <c r="K174" s="28"/>
      <c r="L174" s="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28"/>
      <c r="K175" s="28"/>
      <c r="L175" s="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28"/>
      <c r="K176" s="28"/>
      <c r="L176" s="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28"/>
      <c r="K177" s="28"/>
      <c r="L177" s="2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28"/>
      <c r="K178" s="28"/>
      <c r="L178" s="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28"/>
      <c r="K179" s="28"/>
      <c r="L179" s="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28"/>
      <c r="K180" s="28"/>
      <c r="L180" s="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28"/>
      <c r="K181" s="28"/>
      <c r="L181" s="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28"/>
      <c r="K182" s="28"/>
      <c r="L182" s="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28"/>
      <c r="K183" s="28"/>
      <c r="L183" s="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28"/>
      <c r="K184" s="28"/>
      <c r="L184" s="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28"/>
      <c r="K185" s="28"/>
      <c r="L185" s="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28"/>
      <c r="K186" s="28"/>
      <c r="L186" s="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28"/>
      <c r="K187" s="28"/>
      <c r="L187" s="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28"/>
      <c r="K188" s="28"/>
      <c r="L188" s="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28"/>
      <c r="K189" s="28"/>
      <c r="L189" s="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28"/>
      <c r="K190" s="28"/>
      <c r="L190" s="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28"/>
      <c r="K191" s="28"/>
      <c r="L191" s="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28"/>
      <c r="K192" s="28"/>
      <c r="L192" s="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28"/>
      <c r="K193" s="28"/>
      <c r="L193" s="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28"/>
      <c r="K194" s="28"/>
      <c r="L194" s="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28"/>
      <c r="K195" s="28"/>
      <c r="L195" s="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28"/>
      <c r="K196" s="28"/>
      <c r="L196" s="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28"/>
      <c r="K197" s="28"/>
      <c r="L197" s="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28"/>
      <c r="K198" s="28"/>
      <c r="L198" s="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28"/>
      <c r="K199" s="28"/>
      <c r="L199" s="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28"/>
      <c r="K200" s="28"/>
      <c r="L200" s="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28"/>
      <c r="K201" s="28"/>
      <c r="L201" s="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28"/>
      <c r="K202" s="28"/>
      <c r="L202" s="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28"/>
      <c r="K203" s="28"/>
      <c r="L203" s="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28"/>
      <c r="K204" s="28"/>
      <c r="L204" s="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28"/>
      <c r="K205" s="28"/>
      <c r="L205" s="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28"/>
      <c r="K206" s="28"/>
      <c r="L206" s="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28"/>
      <c r="K207" s="28"/>
      <c r="L207" s="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28"/>
      <c r="K208" s="28"/>
      <c r="L208" s="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28"/>
      <c r="K209" s="28"/>
      <c r="L209" s="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28"/>
      <c r="K210" s="28"/>
      <c r="L210" s="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28"/>
      <c r="K211" s="28"/>
      <c r="L211" s="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28"/>
      <c r="K212" s="28"/>
      <c r="L212" s="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28"/>
      <c r="K213" s="28"/>
      <c r="L213" s="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28"/>
      <c r="K214" s="28"/>
      <c r="L214" s="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28"/>
      <c r="K215" s="28"/>
      <c r="L215" s="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28"/>
      <c r="K216" s="28"/>
      <c r="L216" s="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28"/>
      <c r="K217" s="28"/>
      <c r="L217" s="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28"/>
      <c r="K218" s="28"/>
      <c r="L218" s="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28"/>
      <c r="K219" s="28"/>
      <c r="L219" s="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28"/>
      <c r="K220" s="28"/>
      <c r="L220" s="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28"/>
      <c r="K221" s="28"/>
      <c r="L221" s="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28"/>
      <c r="K222" s="28"/>
      <c r="L222" s="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28"/>
      <c r="K223" s="28"/>
      <c r="L223" s="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28"/>
      <c r="K224" s="28"/>
      <c r="L224" s="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28"/>
      <c r="K225" s="28"/>
      <c r="L225" s="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28"/>
      <c r="K226" s="28"/>
      <c r="L226" s="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28"/>
      <c r="K227" s="28"/>
      <c r="L227" s="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28"/>
      <c r="K228" s="28"/>
      <c r="L228" s="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28"/>
      <c r="K229" s="28"/>
      <c r="L229" s="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28"/>
      <c r="K230" s="28"/>
      <c r="L230" s="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28"/>
      <c r="K231" s="28"/>
      <c r="L231" s="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28"/>
      <c r="K232" s="28"/>
      <c r="L232" s="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28"/>
      <c r="K233" s="28"/>
      <c r="L233" s="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28"/>
      <c r="K234" s="28"/>
      <c r="L234" s="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28"/>
      <c r="K235" s="28"/>
      <c r="L235" s="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28"/>
      <c r="K236" s="28"/>
      <c r="L236" s="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28"/>
      <c r="K237" s="28"/>
      <c r="L237" s="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28"/>
      <c r="K238" s="28"/>
      <c r="L238" s="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28"/>
      <c r="K239" s="28"/>
      <c r="L239" s="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28"/>
      <c r="K240" s="28"/>
      <c r="L240" s="2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28"/>
      <c r="K241" s="28"/>
      <c r="L241" s="2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28"/>
      <c r="K242" s="28"/>
      <c r="L242" s="2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28"/>
      <c r="K243" s="28"/>
      <c r="L243" s="2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28"/>
      <c r="K244" s="28"/>
      <c r="L244" s="2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28"/>
      <c r="K245" s="28"/>
      <c r="L245" s="2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28"/>
      <c r="K246" s="28"/>
      <c r="L246" s="2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28"/>
      <c r="K247" s="28"/>
      <c r="L247" s="2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28"/>
      <c r="K248" s="28"/>
      <c r="L248" s="2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28"/>
      <c r="K249" s="28"/>
      <c r="L249" s="2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28"/>
      <c r="K250" s="28"/>
      <c r="L250" s="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28"/>
      <c r="K251" s="28"/>
      <c r="L251" s="2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28"/>
      <c r="K252" s="28"/>
      <c r="L252" s="2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28"/>
      <c r="K253" s="28"/>
      <c r="L253" s="2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28"/>
      <c r="K254" s="28"/>
      <c r="L254" s="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28"/>
      <c r="K255" s="28"/>
      <c r="L255" s="2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28"/>
      <c r="K256" s="28"/>
      <c r="L256" s="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28"/>
      <c r="K257" s="28"/>
      <c r="L257" s="2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28"/>
      <c r="K258" s="28"/>
      <c r="L258" s="2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28"/>
      <c r="K259" s="28"/>
      <c r="L259" s="2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28"/>
      <c r="K260" s="28"/>
      <c r="L260" s="2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28"/>
      <c r="K261" s="28"/>
      <c r="L261" s="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28"/>
      <c r="K262" s="28"/>
      <c r="L262" s="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28"/>
      <c r="K263" s="28"/>
      <c r="L263" s="2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28"/>
      <c r="K264" s="28"/>
      <c r="L264" s="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28"/>
      <c r="K265" s="28"/>
      <c r="L265" s="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28"/>
      <c r="K266" s="28"/>
      <c r="L266" s="2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28"/>
      <c r="K267" s="28"/>
      <c r="L267" s="2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28"/>
      <c r="K268" s="28"/>
      <c r="L268" s="2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28"/>
      <c r="K269" s="28"/>
      <c r="L269" s="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28"/>
      <c r="K270" s="28"/>
      <c r="L270" s="2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28"/>
      <c r="K271" s="28"/>
      <c r="L271" s="2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28"/>
      <c r="K272" s="28"/>
      <c r="L272" s="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28"/>
      <c r="K273" s="28"/>
      <c r="L273" s="2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28"/>
      <c r="K274" s="28"/>
      <c r="L274" s="2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28"/>
      <c r="K275" s="28"/>
      <c r="L275" s="2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28"/>
      <c r="K276" s="28"/>
      <c r="L276" s="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28"/>
      <c r="K277" s="28"/>
      <c r="L277" s="2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28"/>
      <c r="K278" s="28"/>
      <c r="L278" s="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28"/>
      <c r="K279" s="28"/>
      <c r="L279" s="2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28"/>
      <c r="K280" s="28"/>
      <c r="L280" s="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28"/>
      <c r="K281" s="28"/>
      <c r="L281" s="2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28"/>
      <c r="K282" s="28"/>
      <c r="L282" s="2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28"/>
      <c r="K283" s="28"/>
      <c r="L283" s="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28"/>
      <c r="K284" s="28"/>
      <c r="L284" s="2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28"/>
      <c r="K285" s="28"/>
      <c r="L285" s="2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28"/>
      <c r="K286" s="28"/>
      <c r="L286" s="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28"/>
      <c r="K287" s="28"/>
      <c r="L287" s="2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28"/>
      <c r="K288" s="28"/>
      <c r="L288" s="2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28"/>
      <c r="K289" s="28"/>
      <c r="L289" s="2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28"/>
      <c r="K290" s="28"/>
      <c r="L290" s="2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28"/>
      <c r="K291" s="28"/>
      <c r="L291" s="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28"/>
      <c r="K292" s="28"/>
      <c r="L292" s="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28"/>
      <c r="K293" s="28"/>
      <c r="L293" s="2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28"/>
      <c r="K294" s="28"/>
      <c r="L294" s="2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28"/>
      <c r="K295" s="28"/>
      <c r="L295" s="2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28"/>
      <c r="K296" s="28"/>
      <c r="L296" s="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28"/>
      <c r="K297" s="28"/>
      <c r="L297" s="2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28"/>
      <c r="K298" s="28"/>
      <c r="L298" s="2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26"/>
      <c r="B299" s="126"/>
      <c r="C299" s="126"/>
      <c r="D299" s="127"/>
      <c r="E299" s="127"/>
      <c r="F299" s="127"/>
      <c r="G299" s="127"/>
      <c r="H299" s="127"/>
      <c r="I299" s="127"/>
      <c r="J299" s="28"/>
      <c r="K299" s="28"/>
      <c r="L299" s="2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26"/>
      <c r="B300" s="126"/>
      <c r="C300" s="126"/>
      <c r="D300" s="127"/>
      <c r="E300" s="127"/>
      <c r="F300" s="127"/>
      <c r="G300" s="127"/>
      <c r="H300" s="127"/>
      <c r="I300" s="127"/>
      <c r="J300" s="28"/>
      <c r="K300" s="28"/>
      <c r="L300" s="2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26"/>
      <c r="B301" s="126"/>
      <c r="C301" s="126"/>
      <c r="D301" s="127"/>
      <c r="E301" s="127"/>
      <c r="F301" s="127"/>
      <c r="G301" s="127"/>
      <c r="H301" s="127"/>
      <c r="I301" s="127"/>
      <c r="J301" s="28"/>
      <c r="K301" s="28"/>
      <c r="L301" s="2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26"/>
      <c r="B302" s="126"/>
      <c r="C302" s="126"/>
      <c r="D302" s="127"/>
      <c r="E302" s="127"/>
      <c r="F302" s="127"/>
      <c r="G302" s="127"/>
      <c r="H302" s="127"/>
      <c r="I302" s="127"/>
      <c r="J302" s="28"/>
      <c r="K302" s="28"/>
      <c r="L302" s="2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26"/>
      <c r="B303" s="126"/>
      <c r="C303" s="126"/>
      <c r="D303" s="127"/>
      <c r="E303" s="127"/>
      <c r="F303" s="127"/>
      <c r="G303" s="127"/>
      <c r="H303" s="127"/>
      <c r="I303" s="127"/>
      <c r="J303" s="28"/>
      <c r="K303" s="28"/>
      <c r="L303" s="2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26"/>
      <c r="B304" s="126"/>
      <c r="C304" s="126"/>
      <c r="D304" s="127"/>
      <c r="E304" s="127"/>
      <c r="F304" s="127"/>
      <c r="G304" s="127"/>
      <c r="H304" s="127"/>
      <c r="I304" s="127"/>
      <c r="J304" s="28"/>
      <c r="K304" s="28"/>
      <c r="L304" s="2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26"/>
      <c r="B305" s="126"/>
      <c r="C305" s="126"/>
      <c r="D305" s="127"/>
      <c r="E305" s="127"/>
      <c r="F305" s="127"/>
      <c r="G305" s="127"/>
      <c r="H305" s="127"/>
      <c r="I305" s="127"/>
      <c r="J305" s="28"/>
      <c r="K305" s="28"/>
      <c r="L305" s="2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2"/>
      <c r="K306" s="2"/>
      <c r="L306" s="2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2"/>
      <c r="K307" s="2"/>
      <c r="L307" s="2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2"/>
      <c r="K308" s="2"/>
      <c r="L308" s="2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2"/>
      <c r="K309" s="2"/>
      <c r="L309" s="2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2"/>
      <c r="K310" s="2"/>
      <c r="L310" s="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2"/>
      <c r="K311" s="2"/>
      <c r="L311" s="2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2"/>
      <c r="K312" s="2"/>
      <c r="L312" s="2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2"/>
      <c r="K313" s="2"/>
      <c r="L313" s="2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2"/>
      <c r="K314" s="2"/>
      <c r="L314" s="2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2"/>
      <c r="K315" s="2"/>
      <c r="L315" s="2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2"/>
      <c r="K316" s="2"/>
      <c r="L316" s="2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2"/>
      <c r="K317" s="2"/>
      <c r="L317" s="2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2"/>
      <c r="K318" s="2"/>
      <c r="L318" s="2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2"/>
      <c r="K319" s="2"/>
      <c r="L319" s="2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2"/>
      <c r="K320" s="2"/>
      <c r="L320" s="2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2"/>
      <c r="K321" s="2"/>
      <c r="L321" s="2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2"/>
      <c r="K322" s="2"/>
      <c r="L322" s="2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2"/>
      <c r="K323" s="2"/>
      <c r="L323" s="2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2"/>
      <c r="K324" s="2"/>
      <c r="L324" s="2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2"/>
      <c r="K325" s="2"/>
      <c r="L325" s="2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2"/>
      <c r="K326" s="2"/>
      <c r="L326" s="2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2"/>
      <c r="K327" s="2"/>
      <c r="L327" s="2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2"/>
      <c r="K328" s="2"/>
      <c r="L328" s="2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2"/>
      <c r="K329" s="2"/>
      <c r="L329" s="2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2"/>
      <c r="K330" s="2"/>
      <c r="L330" s="2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2"/>
      <c r="K331" s="2"/>
      <c r="L331" s="2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2"/>
      <c r="K332" s="2"/>
      <c r="L332" s="2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2"/>
      <c r="K333" s="2"/>
      <c r="L333" s="2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2"/>
      <c r="K334" s="2"/>
      <c r="L334" s="2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2"/>
      <c r="K335" s="2"/>
      <c r="L335" s="2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2"/>
      <c r="K336" s="2"/>
      <c r="L336" s="2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2"/>
      <c r="K337" s="2"/>
      <c r="L337" s="2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2"/>
      <c r="K338" s="2"/>
      <c r="L338" s="2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2"/>
      <c r="K339" s="2"/>
      <c r="L339" s="2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2"/>
      <c r="K340" s="2"/>
      <c r="L340" s="2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2"/>
      <c r="K341" s="2"/>
      <c r="L341" s="2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2"/>
      <c r="K342" s="2"/>
      <c r="L342" s="2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2"/>
      <c r="K343" s="2"/>
      <c r="L343" s="2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2"/>
      <c r="K344" s="2"/>
      <c r="L344" s="2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2"/>
      <c r="K345" s="2"/>
      <c r="L345" s="2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2"/>
      <c r="K346" s="2"/>
      <c r="L346" s="2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2"/>
      <c r="K347" s="2"/>
      <c r="L347" s="2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2"/>
      <c r="K348" s="2"/>
      <c r="L348" s="2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2"/>
      <c r="K349" s="2"/>
      <c r="L349" s="2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2"/>
      <c r="K350" s="2"/>
      <c r="L350" s="2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2"/>
      <c r="K351" s="2"/>
      <c r="L351" s="2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2"/>
      <c r="K352" s="2"/>
      <c r="L352" s="2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2"/>
      <c r="K353" s="2"/>
      <c r="L353" s="2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2"/>
      <c r="K354" s="2"/>
      <c r="L354" s="2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2"/>
      <c r="K355" s="2"/>
      <c r="L355" s="2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2"/>
      <c r="K356" s="2"/>
      <c r="L356" s="2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2"/>
      <c r="K357" s="2"/>
      <c r="L357" s="2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2"/>
      <c r="K358" s="2"/>
      <c r="L358" s="2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2"/>
      <c r="K359" s="2"/>
      <c r="L359" s="2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2"/>
      <c r="K360" s="2"/>
      <c r="L360" s="2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2"/>
      <c r="K361" s="2"/>
      <c r="L361" s="2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2"/>
      <c r="K362" s="2"/>
      <c r="L362" s="2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2"/>
      <c r="K363" s="2"/>
      <c r="L363" s="2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2"/>
      <c r="K364" s="2"/>
      <c r="L364" s="2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2"/>
      <c r="K365" s="2"/>
      <c r="L365" s="2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2"/>
      <c r="K366" s="2"/>
      <c r="L366" s="2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2"/>
      <c r="K367" s="2"/>
      <c r="L367" s="2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2"/>
      <c r="K368" s="2"/>
      <c r="L368" s="2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2"/>
      <c r="K369" s="2"/>
      <c r="L369" s="2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2"/>
      <c r="K370" s="2"/>
      <c r="L370" s="2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2"/>
      <c r="K371" s="2"/>
      <c r="L371" s="2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2"/>
      <c r="K372" s="2"/>
      <c r="L372" s="2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2"/>
      <c r="K373" s="2"/>
      <c r="L373" s="2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2"/>
      <c r="K374" s="2"/>
      <c r="L374" s="2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2"/>
      <c r="K375" s="2"/>
      <c r="L375" s="2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2"/>
      <c r="K376" s="2"/>
      <c r="L376" s="2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2"/>
      <c r="K377" s="2"/>
      <c r="L377" s="2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2"/>
      <c r="K378" s="2"/>
      <c r="L378" s="2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2"/>
      <c r="K379" s="2"/>
      <c r="L379" s="2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2"/>
      <c r="K380" s="2"/>
      <c r="L380" s="2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2"/>
      <c r="K381" s="2"/>
      <c r="L381" s="2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2"/>
      <c r="K382" s="2"/>
      <c r="L382" s="2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2"/>
      <c r="K383" s="2"/>
      <c r="L383" s="2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2"/>
      <c r="K384" s="2"/>
      <c r="L384" s="2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2"/>
      <c r="K385" s="2"/>
      <c r="L385" s="2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2"/>
      <c r="K386" s="2"/>
      <c r="L386" s="2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2"/>
      <c r="K387" s="2"/>
      <c r="L387" s="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2"/>
      <c r="K388" s="2"/>
      <c r="L388" s="2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2"/>
      <c r="K389" s="2"/>
      <c r="L389" s="2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2"/>
      <c r="K390" s="2"/>
      <c r="L390" s="2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2"/>
      <c r="K391" s="2"/>
      <c r="L391" s="2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2"/>
      <c r="K392" s="2"/>
      <c r="L392" s="2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2"/>
      <c r="K393" s="2"/>
      <c r="L393" s="2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2"/>
      <c r="K394" s="2"/>
      <c r="L394" s="2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2"/>
      <c r="K395" s="2"/>
      <c r="L395" s="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2"/>
      <c r="K396" s="2"/>
      <c r="L396" s="2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2"/>
      <c r="K397" s="2"/>
      <c r="L397" s="2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2"/>
      <c r="K398" s="2"/>
      <c r="L398" s="2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2"/>
      <c r="K399" s="2"/>
      <c r="L399" s="2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2"/>
      <c r="K400" s="2"/>
      <c r="L400" s="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2"/>
      <c r="K401" s="2"/>
      <c r="L401" s="2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2"/>
      <c r="K402" s="2"/>
      <c r="L402" s="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2"/>
      <c r="K403" s="2"/>
      <c r="L403" s="2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2"/>
      <c r="K404" s="2"/>
      <c r="L404" s="2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2"/>
      <c r="K405" s="2"/>
      <c r="L405" s="2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2"/>
      <c r="K406" s="2"/>
      <c r="L406" s="2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2"/>
      <c r="K407" s="2"/>
      <c r="L407" s="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2"/>
      <c r="K408" s="2"/>
      <c r="L408" s="2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2"/>
      <c r="K409" s="2"/>
      <c r="L409" s="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2"/>
      <c r="K410" s="2"/>
      <c r="L410" s="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2"/>
      <c r="K411" s="2"/>
      <c r="L411" s="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2"/>
      <c r="K412" s="2"/>
      <c r="L412" s="2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2"/>
      <c r="K413" s="2"/>
      <c r="L413" s="2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2"/>
      <c r="K414" s="2"/>
      <c r="L414" s="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2"/>
      <c r="K415" s="2"/>
      <c r="L415" s="2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2"/>
      <c r="K416" s="2"/>
      <c r="L416" s="2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2"/>
      <c r="K417" s="2"/>
      <c r="L417" s="2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2"/>
      <c r="K418" s="2"/>
      <c r="L418" s="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2"/>
      <c r="K419" s="2"/>
      <c r="L419" s="2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2"/>
      <c r="K420" s="2"/>
      <c r="L420" s="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2"/>
      <c r="K421" s="2"/>
      <c r="L421" s="2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2"/>
      <c r="K422" s="2"/>
      <c r="L422" s="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2"/>
      <c r="K423" s="2"/>
      <c r="L423" s="2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2"/>
      <c r="K424" s="2"/>
      <c r="L424" s="2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2"/>
      <c r="K425" s="2"/>
      <c r="L425" s="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2"/>
      <c r="K426" s="2"/>
      <c r="L426" s="2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2"/>
      <c r="K427" s="2"/>
      <c r="L427" s="2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2"/>
      <c r="K428" s="2"/>
      <c r="L428" s="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2"/>
      <c r="K429" s="2"/>
      <c r="L429" s="2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2"/>
      <c r="K430" s="2"/>
      <c r="L430" s="2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2"/>
      <c r="K431" s="2"/>
      <c r="L431" s="2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2"/>
      <c r="K432" s="2"/>
      <c r="L432" s="2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2"/>
      <c r="K433" s="2"/>
      <c r="L433" s="2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2"/>
      <c r="K434" s="2"/>
      <c r="L434" s="2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2"/>
      <c r="K435" s="2"/>
      <c r="L435" s="2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2"/>
      <c r="K436" s="2"/>
      <c r="L436" s="2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2"/>
      <c r="K437" s="2"/>
      <c r="L437" s="2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2"/>
      <c r="K438" s="2"/>
      <c r="L438" s="2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2"/>
      <c r="K439" s="2"/>
      <c r="L439" s="2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2"/>
      <c r="K440" s="2"/>
      <c r="L440" s="2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2"/>
      <c r="K441" s="2"/>
      <c r="L441" s="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2"/>
      <c r="K442" s="2"/>
      <c r="L442" s="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2"/>
      <c r="K443" s="2"/>
      <c r="L443" s="2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2"/>
      <c r="K444" s="2"/>
      <c r="L444" s="2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2"/>
      <c r="K445" s="2"/>
      <c r="L445" s="2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2"/>
      <c r="K446" s="2"/>
      <c r="L446" s="2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2"/>
      <c r="K447" s="2"/>
      <c r="L447" s="2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2"/>
      <c r="K448" s="2"/>
      <c r="L448" s="2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2"/>
      <c r="K449" s="2"/>
      <c r="L449" s="2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2"/>
      <c r="K450" s="2"/>
      <c r="L450" s="2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2"/>
      <c r="K451" s="2"/>
      <c r="L451" s="2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2"/>
      <c r="K452" s="2"/>
      <c r="L452" s="2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2"/>
      <c r="K453" s="2"/>
      <c r="L453" s="2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2"/>
      <c r="K454" s="2"/>
      <c r="L454" s="2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2"/>
      <c r="K455" s="2"/>
      <c r="L455" s="2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2"/>
      <c r="K456" s="2"/>
      <c r="L456" s="2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2"/>
      <c r="K457" s="2"/>
      <c r="L457" s="2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2"/>
      <c r="K458" s="2"/>
      <c r="L458" s="2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2"/>
      <c r="K459" s="2"/>
      <c r="L459" s="2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2"/>
      <c r="K460" s="2"/>
      <c r="L460" s="2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2"/>
      <c r="K461" s="2"/>
      <c r="L461" s="2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2"/>
      <c r="K462" s="2"/>
      <c r="L462" s="2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2"/>
      <c r="K463" s="2"/>
      <c r="L463" s="2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2"/>
      <c r="K464" s="2"/>
      <c r="L464" s="2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2"/>
      <c r="K465" s="2"/>
      <c r="L465" s="2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2"/>
      <c r="K466" s="2"/>
      <c r="L466" s="2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2"/>
      <c r="K467" s="2"/>
      <c r="L467" s="2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2"/>
      <c r="K468" s="2"/>
      <c r="L468" s="2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2"/>
      <c r="K469" s="2"/>
      <c r="L469" s="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2"/>
      <c r="K470" s="2"/>
      <c r="L470" s="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2"/>
      <c r="K471" s="2"/>
      <c r="L471" s="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2"/>
      <c r="K472" s="2"/>
      <c r="L472" s="2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2"/>
      <c r="K473" s="2"/>
      <c r="L473" s="2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2"/>
      <c r="K474" s="2"/>
      <c r="L474" s="2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2"/>
      <c r="K475" s="2"/>
      <c r="L475" s="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2"/>
      <c r="K476" s="2"/>
      <c r="L476" s="2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2"/>
      <c r="K477" s="2"/>
      <c r="L477" s="2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2"/>
      <c r="K478" s="2"/>
      <c r="L478" s="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2"/>
      <c r="K479" s="2"/>
      <c r="L479" s="2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2"/>
      <c r="K480" s="2"/>
      <c r="L480" s="2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2"/>
      <c r="K481" s="2"/>
      <c r="L481" s="2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2"/>
      <c r="K482" s="2"/>
      <c r="L482" s="2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2"/>
      <c r="K483" s="2"/>
      <c r="L483" s="2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2"/>
      <c r="K484" s="2"/>
      <c r="L484" s="2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2"/>
      <c r="K485" s="2"/>
      <c r="L485" s="2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2"/>
      <c r="K486" s="2"/>
      <c r="L486" s="2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2"/>
      <c r="K487" s="2"/>
      <c r="L487" s="2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2"/>
      <c r="K488" s="2"/>
      <c r="L488" s="2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2"/>
      <c r="K489" s="2"/>
      <c r="L489" s="2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2"/>
      <c r="K490" s="2"/>
      <c r="L490" s="2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2"/>
      <c r="K491" s="2"/>
      <c r="L491" s="2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2"/>
      <c r="K492" s="2"/>
      <c r="L492" s="2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2"/>
      <c r="K493" s="2"/>
      <c r="L493" s="2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2"/>
      <c r="K494" s="2"/>
      <c r="L494" s="2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2"/>
      <c r="K495" s="2"/>
      <c r="L495" s="2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2"/>
      <c r="K496" s="2"/>
      <c r="L496" s="2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2"/>
      <c r="K497" s="2"/>
      <c r="L497" s="2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2"/>
      <c r="K498" s="2"/>
      <c r="L498" s="2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2"/>
      <c r="K499" s="2"/>
      <c r="L499" s="2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2"/>
      <c r="K500" s="2"/>
      <c r="L500" s="2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2"/>
      <c r="K501" s="2"/>
      <c r="L501" s="2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2"/>
      <c r="K502" s="2"/>
      <c r="L502" s="2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2"/>
      <c r="K503" s="2"/>
      <c r="L503" s="2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2"/>
      <c r="K504" s="2"/>
      <c r="L504" s="2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2"/>
      <c r="K505" s="2"/>
      <c r="L505" s="2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2"/>
      <c r="K506" s="2"/>
      <c r="L506" s="2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2"/>
      <c r="K507" s="2"/>
      <c r="L507" s="2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2"/>
      <c r="K508" s="2"/>
      <c r="L508" s="2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2"/>
      <c r="K509" s="2"/>
      <c r="L509" s="2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2"/>
      <c r="K510" s="2"/>
      <c r="L510" s="2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2"/>
      <c r="K511" s="2"/>
      <c r="L511" s="2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2"/>
      <c r="K512" s="2"/>
      <c r="L512" s="2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2"/>
      <c r="K513" s="2"/>
      <c r="L513" s="2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2"/>
      <c r="K514" s="2"/>
      <c r="L514" s="2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2"/>
      <c r="K515" s="2"/>
      <c r="L515" s="2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2"/>
      <c r="K516" s="2"/>
      <c r="L516" s="2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2"/>
      <c r="K517" s="2"/>
      <c r="L517" s="2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2"/>
      <c r="K518" s="2"/>
      <c r="L518" s="2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2"/>
      <c r="K519" s="2"/>
      <c r="L519" s="2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2"/>
      <c r="K520" s="2"/>
      <c r="L520" s="2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2"/>
      <c r="K521" s="2"/>
      <c r="L521" s="2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2"/>
      <c r="K522" s="2"/>
      <c r="L522" s="2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2"/>
      <c r="K523" s="2"/>
      <c r="L523" s="2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2"/>
      <c r="K524" s="2"/>
      <c r="L524" s="2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2"/>
      <c r="K525" s="2"/>
      <c r="L525" s="2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2"/>
      <c r="K526" s="2"/>
      <c r="L526" s="2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2"/>
      <c r="K527" s="2"/>
      <c r="L527" s="2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2"/>
      <c r="K528" s="2"/>
      <c r="L528" s="2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2"/>
      <c r="K529" s="2"/>
      <c r="L529" s="2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2"/>
      <c r="K530" s="2"/>
      <c r="L530" s="2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2"/>
      <c r="K531" s="2"/>
      <c r="L531" s="2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2"/>
      <c r="K532" s="2"/>
      <c r="L532" s="2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2"/>
      <c r="K533" s="2"/>
      <c r="L533" s="2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2"/>
      <c r="K534" s="2"/>
      <c r="L534" s="2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2"/>
      <c r="K535" s="2"/>
      <c r="L535" s="2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2"/>
      <c r="K536" s="2"/>
      <c r="L536" s="2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2"/>
      <c r="K537" s="2"/>
      <c r="L537" s="2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2"/>
      <c r="K538" s="2"/>
      <c r="L538" s="2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2"/>
      <c r="K539" s="2"/>
      <c r="L539" s="2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2"/>
      <c r="K540" s="2"/>
      <c r="L540" s="2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2"/>
      <c r="K541" s="2"/>
      <c r="L541" s="2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2"/>
      <c r="K542" s="2"/>
      <c r="L542" s="2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2"/>
      <c r="K543" s="2"/>
      <c r="L543" s="2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2"/>
      <c r="K544" s="2"/>
      <c r="L544" s="2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2"/>
      <c r="K545" s="2"/>
      <c r="L545" s="2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2"/>
      <c r="K546" s="2"/>
      <c r="L546" s="2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2"/>
      <c r="K547" s="2"/>
      <c r="L547" s="2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2"/>
      <c r="K548" s="2"/>
      <c r="L548" s="2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2"/>
      <c r="K549" s="2"/>
      <c r="L549" s="2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2"/>
      <c r="K550" s="2"/>
      <c r="L550" s="2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2"/>
      <c r="K551" s="2"/>
      <c r="L551" s="2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2"/>
      <c r="K552" s="2"/>
      <c r="L552" s="2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2"/>
      <c r="K553" s="2"/>
      <c r="L553" s="2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2"/>
      <c r="K554" s="2"/>
      <c r="L554" s="2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2"/>
      <c r="K555" s="2"/>
      <c r="L555" s="2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2"/>
      <c r="K556" s="2"/>
      <c r="L556" s="2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2"/>
      <c r="K557" s="2"/>
      <c r="L557" s="2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2"/>
      <c r="K558" s="2"/>
      <c r="L558" s="2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2"/>
      <c r="K559" s="2"/>
      <c r="L559" s="2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2"/>
      <c r="K560" s="2"/>
      <c r="L560" s="2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2"/>
      <c r="K561" s="2"/>
      <c r="L561" s="2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2"/>
      <c r="K562" s="2"/>
      <c r="L562" s="2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2"/>
      <c r="K563" s="2"/>
      <c r="L563" s="2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2"/>
      <c r="K564" s="2"/>
      <c r="L564" s="2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2"/>
      <c r="K565" s="2"/>
      <c r="L565" s="2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2"/>
      <c r="K566" s="2"/>
      <c r="L566" s="2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2"/>
      <c r="K567" s="2"/>
      <c r="L567" s="2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2"/>
      <c r="K568" s="2"/>
      <c r="L568" s="2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2"/>
      <c r="K569" s="2"/>
      <c r="L569" s="2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2"/>
      <c r="K570" s="2"/>
      <c r="L570" s="2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2"/>
      <c r="K571" s="2"/>
      <c r="L571" s="2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2"/>
      <c r="K572" s="2"/>
      <c r="L572" s="2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2"/>
      <c r="K573" s="2"/>
      <c r="L573" s="2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2"/>
      <c r="K574" s="2"/>
      <c r="L574" s="2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2"/>
      <c r="K575" s="2"/>
      <c r="L575" s="2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2"/>
      <c r="K576" s="2"/>
      <c r="L576" s="2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2"/>
      <c r="K577" s="2"/>
      <c r="L577" s="2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2"/>
      <c r="K578" s="2"/>
      <c r="L578" s="2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2"/>
      <c r="K579" s="2"/>
      <c r="L579" s="2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2"/>
      <c r="K580" s="2"/>
      <c r="L580" s="2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2"/>
      <c r="K581" s="2"/>
      <c r="L581" s="2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2"/>
      <c r="K582" s="2"/>
      <c r="L582" s="2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2"/>
      <c r="K583" s="2"/>
      <c r="L583" s="2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2"/>
      <c r="K584" s="2"/>
      <c r="L584" s="2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2"/>
      <c r="K585" s="2"/>
      <c r="L585" s="2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2"/>
      <c r="K586" s="2"/>
      <c r="L586" s="2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2"/>
      <c r="K587" s="2"/>
      <c r="L587" s="2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2"/>
      <c r="K588" s="2"/>
      <c r="L588" s="2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2"/>
      <c r="K589" s="2"/>
      <c r="L589" s="2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2"/>
      <c r="K590" s="2"/>
      <c r="L590" s="2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2"/>
      <c r="K591" s="2"/>
      <c r="L591" s="2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2"/>
      <c r="K592" s="2"/>
      <c r="L592" s="2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2"/>
      <c r="K593" s="2"/>
      <c r="L593" s="2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2"/>
      <c r="K594" s="2"/>
      <c r="L594" s="2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2"/>
      <c r="K595" s="2"/>
      <c r="L595" s="2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2"/>
      <c r="K596" s="2"/>
      <c r="L596" s="2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2"/>
      <c r="K597" s="2"/>
      <c r="L597" s="2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2"/>
      <c r="K598" s="2"/>
      <c r="L598" s="2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2"/>
      <c r="K599" s="2"/>
      <c r="L599" s="2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2"/>
      <c r="K600" s="2"/>
      <c r="L600" s="2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2"/>
      <c r="K601" s="2"/>
      <c r="L601" s="2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2"/>
      <c r="K602" s="2"/>
      <c r="L602" s="2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2"/>
      <c r="K603" s="2"/>
      <c r="L603" s="2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2"/>
      <c r="K604" s="2"/>
      <c r="L604" s="2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2"/>
      <c r="K605" s="2"/>
      <c r="L605" s="2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2"/>
      <c r="K606" s="2"/>
      <c r="L606" s="2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2"/>
      <c r="K607" s="2"/>
      <c r="L607" s="2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2"/>
      <c r="K608" s="2"/>
      <c r="L608" s="2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2"/>
      <c r="K609" s="2"/>
      <c r="L609" s="2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2"/>
      <c r="K610" s="2"/>
      <c r="L610" s="2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2"/>
      <c r="K611" s="2"/>
      <c r="L611" s="2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2"/>
      <c r="K612" s="2"/>
      <c r="L612" s="2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2"/>
      <c r="K613" s="2"/>
      <c r="L613" s="2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2"/>
      <c r="K614" s="2"/>
      <c r="L614" s="2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2"/>
      <c r="K615" s="2"/>
      <c r="L615" s="2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2"/>
      <c r="K616" s="2"/>
      <c r="L616" s="2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2"/>
      <c r="K617" s="2"/>
      <c r="L617" s="2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2"/>
      <c r="K618" s="2"/>
      <c r="L618" s="2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2"/>
      <c r="K619" s="2"/>
      <c r="L619" s="2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2"/>
      <c r="K620" s="2"/>
      <c r="L620" s="2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2"/>
      <c r="K621" s="2"/>
      <c r="L621" s="2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2"/>
      <c r="K622" s="2"/>
      <c r="L622" s="2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2"/>
      <c r="K623" s="2"/>
      <c r="L623" s="2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2"/>
      <c r="K624" s="2"/>
      <c r="L624" s="2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2"/>
      <c r="K625" s="2"/>
      <c r="L625" s="2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2"/>
      <c r="K626" s="2"/>
      <c r="L626" s="2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2"/>
      <c r="K627" s="2"/>
      <c r="L627" s="2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2"/>
      <c r="K628" s="2"/>
      <c r="L628" s="2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2"/>
      <c r="K629" s="2"/>
      <c r="L629" s="2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2"/>
      <c r="K630" s="2"/>
      <c r="L630" s="2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2"/>
      <c r="K631" s="2"/>
      <c r="L631" s="2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2"/>
      <c r="K632" s="2"/>
      <c r="L632" s="2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2"/>
      <c r="K633" s="2"/>
      <c r="L633" s="2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2"/>
      <c r="K634" s="2"/>
      <c r="L634" s="2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2"/>
      <c r="K635" s="2"/>
      <c r="L635" s="2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2"/>
      <c r="K636" s="2"/>
      <c r="L636" s="2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2"/>
      <c r="K637" s="2"/>
      <c r="L637" s="2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2"/>
      <c r="K638" s="2"/>
      <c r="L638" s="2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2"/>
      <c r="K639" s="2"/>
      <c r="L639" s="2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2"/>
      <c r="K640" s="2"/>
      <c r="L640" s="2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2"/>
      <c r="K641" s="2"/>
      <c r="L641" s="2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2"/>
      <c r="K642" s="2"/>
      <c r="L642" s="2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2"/>
      <c r="K643" s="2"/>
      <c r="L643" s="2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2"/>
      <c r="K644" s="2"/>
      <c r="L644" s="2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2"/>
      <c r="K645" s="2"/>
      <c r="L645" s="2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2"/>
      <c r="K646" s="2"/>
      <c r="L646" s="2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2"/>
      <c r="K647" s="2"/>
      <c r="L647" s="2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2"/>
      <c r="K648" s="2"/>
      <c r="L648" s="2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2"/>
      <c r="K649" s="2"/>
      <c r="L649" s="2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2"/>
      <c r="K650" s="2"/>
      <c r="L650" s="2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2"/>
      <c r="K651" s="2"/>
      <c r="L651" s="2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2"/>
      <c r="K652" s="2"/>
      <c r="L652" s="2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2"/>
      <c r="K653" s="2"/>
      <c r="L653" s="2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2"/>
      <c r="K654" s="2"/>
      <c r="L654" s="2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2"/>
      <c r="K655" s="2"/>
      <c r="L655" s="2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2"/>
      <c r="K656" s="2"/>
      <c r="L656" s="2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2"/>
      <c r="K657" s="2"/>
      <c r="L657" s="2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2"/>
      <c r="K658" s="2"/>
      <c r="L658" s="2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2"/>
      <c r="K659" s="2"/>
      <c r="L659" s="2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2"/>
      <c r="K660" s="2"/>
      <c r="L660" s="2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2"/>
      <c r="K661" s="2"/>
      <c r="L661" s="2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2"/>
      <c r="K662" s="2"/>
      <c r="L662" s="2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2"/>
      <c r="K663" s="2"/>
      <c r="L663" s="2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2"/>
      <c r="K664" s="2"/>
      <c r="L664" s="2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2"/>
      <c r="K665" s="2"/>
      <c r="L665" s="2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2"/>
      <c r="K666" s="2"/>
      <c r="L666" s="2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2"/>
      <c r="K667" s="2"/>
      <c r="L667" s="2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2"/>
      <c r="K668" s="2"/>
      <c r="L668" s="2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2"/>
      <c r="K669" s="2"/>
      <c r="L669" s="2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2"/>
      <c r="K670" s="2"/>
      <c r="L670" s="2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2"/>
      <c r="K671" s="2"/>
      <c r="L671" s="2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2"/>
      <c r="K672" s="2"/>
      <c r="L672" s="2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2"/>
      <c r="K673" s="2"/>
      <c r="L673" s="2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2"/>
      <c r="K674" s="2"/>
      <c r="L674" s="2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2"/>
      <c r="K675" s="2"/>
      <c r="L675" s="2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2"/>
      <c r="K676" s="2"/>
      <c r="L676" s="2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2"/>
      <c r="K677" s="2"/>
      <c r="L677" s="2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2"/>
      <c r="K678" s="2"/>
      <c r="L678" s="2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2"/>
      <c r="K679" s="2"/>
      <c r="L679" s="2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2"/>
      <c r="K680" s="2"/>
      <c r="L680" s="2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2"/>
      <c r="K681" s="2"/>
      <c r="L681" s="2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2"/>
      <c r="K682" s="2"/>
      <c r="L682" s="2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2"/>
      <c r="K683" s="2"/>
      <c r="L683" s="2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2"/>
      <c r="K684" s="2"/>
      <c r="L684" s="2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2"/>
      <c r="K685" s="2"/>
      <c r="L685" s="2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2"/>
      <c r="K686" s="2"/>
      <c r="L686" s="2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2"/>
      <c r="K687" s="2"/>
      <c r="L687" s="2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2"/>
      <c r="K688" s="2"/>
      <c r="L688" s="2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2"/>
      <c r="K689" s="2"/>
      <c r="L689" s="2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2"/>
      <c r="K690" s="2"/>
      <c r="L690" s="2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2"/>
      <c r="K691" s="2"/>
      <c r="L691" s="2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2"/>
      <c r="K692" s="2"/>
      <c r="L692" s="2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2"/>
      <c r="K693" s="2"/>
      <c r="L693" s="2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2"/>
      <c r="K694" s="2"/>
      <c r="L694" s="2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2"/>
      <c r="K695" s="2"/>
      <c r="L695" s="2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2"/>
      <c r="K696" s="2"/>
      <c r="L696" s="2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2"/>
      <c r="K697" s="2"/>
      <c r="L697" s="2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2"/>
      <c r="K698" s="2"/>
      <c r="L698" s="2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2"/>
      <c r="K699" s="2"/>
      <c r="L699" s="2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2"/>
      <c r="K700" s="2"/>
      <c r="L700" s="2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2"/>
      <c r="K701" s="2"/>
      <c r="L701" s="2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2"/>
      <c r="K702" s="2"/>
      <c r="L702" s="2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2"/>
      <c r="K703" s="2"/>
      <c r="L703" s="2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2"/>
      <c r="K704" s="2"/>
      <c r="L704" s="2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2"/>
      <c r="K705" s="2"/>
      <c r="L705" s="2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2"/>
      <c r="K706" s="2"/>
      <c r="L706" s="2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2"/>
      <c r="K707" s="2"/>
      <c r="L707" s="2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2"/>
      <c r="K708" s="2"/>
      <c r="L708" s="2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2"/>
      <c r="K709" s="2"/>
      <c r="L709" s="2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2"/>
      <c r="K710" s="2"/>
      <c r="L710" s="2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2"/>
      <c r="K711" s="2"/>
      <c r="L711" s="2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2"/>
      <c r="K712" s="2"/>
      <c r="L712" s="2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2"/>
      <c r="K713" s="2"/>
      <c r="L713" s="2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2"/>
      <c r="K714" s="2"/>
      <c r="L714" s="2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2"/>
      <c r="K715" s="2"/>
      <c r="L715" s="2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2"/>
      <c r="K716" s="2"/>
      <c r="L716" s="2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2"/>
      <c r="K717" s="2"/>
      <c r="L717" s="2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2"/>
      <c r="K718" s="2"/>
      <c r="L718" s="2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2"/>
      <c r="K719" s="2"/>
      <c r="L719" s="2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2"/>
      <c r="K720" s="2"/>
      <c r="L720" s="2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2"/>
      <c r="K721" s="2"/>
      <c r="L721" s="2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2"/>
      <c r="K722" s="2"/>
      <c r="L722" s="2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2"/>
      <c r="K723" s="2"/>
      <c r="L723" s="2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2"/>
      <c r="K724" s="2"/>
      <c r="L724" s="2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2"/>
      <c r="K725" s="2"/>
      <c r="L725" s="2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2"/>
      <c r="K726" s="2"/>
      <c r="L726" s="2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2"/>
      <c r="K727" s="2"/>
      <c r="L727" s="2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2"/>
      <c r="K728" s="2"/>
      <c r="L728" s="2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2"/>
      <c r="K729" s="2"/>
      <c r="L729" s="2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2"/>
      <c r="K730" s="2"/>
      <c r="L730" s="2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2"/>
      <c r="K731" s="2"/>
      <c r="L731" s="2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2"/>
      <c r="K732" s="2"/>
      <c r="L732" s="2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2"/>
      <c r="K733" s="2"/>
      <c r="L733" s="2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2"/>
      <c r="K734" s="2"/>
      <c r="L734" s="2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2"/>
      <c r="K735" s="2"/>
      <c r="L735" s="2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2"/>
      <c r="K736" s="2"/>
      <c r="L736" s="2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2"/>
      <c r="K737" s="2"/>
      <c r="L737" s="2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2"/>
      <c r="K738" s="2"/>
      <c r="L738" s="2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2"/>
      <c r="K739" s="2"/>
      <c r="L739" s="2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2"/>
      <c r="K740" s="2"/>
      <c r="L740" s="2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2"/>
      <c r="K741" s="2"/>
      <c r="L741" s="2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2"/>
      <c r="K742" s="2"/>
      <c r="L742" s="2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2"/>
      <c r="K743" s="2"/>
      <c r="L743" s="2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2"/>
      <c r="K744" s="2"/>
      <c r="L744" s="2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2"/>
      <c r="K745" s="2"/>
      <c r="L745" s="2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2"/>
      <c r="K746" s="2"/>
      <c r="L746" s="2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2"/>
      <c r="K747" s="2"/>
      <c r="L747" s="2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2"/>
      <c r="K748" s="2"/>
      <c r="L748" s="2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2"/>
      <c r="K749" s="2"/>
      <c r="L749" s="2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2"/>
      <c r="K750" s="2"/>
      <c r="L750" s="2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2"/>
      <c r="K751" s="2"/>
      <c r="L751" s="2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2"/>
      <c r="K752" s="2"/>
      <c r="L752" s="2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2"/>
      <c r="K753" s="2"/>
      <c r="L753" s="2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2"/>
      <c r="K754" s="2"/>
      <c r="L754" s="2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2"/>
      <c r="K755" s="2"/>
      <c r="L755" s="2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2"/>
      <c r="K756" s="2"/>
      <c r="L756" s="2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2"/>
      <c r="K757" s="2"/>
      <c r="L757" s="2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2"/>
      <c r="K758" s="2"/>
      <c r="L758" s="2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2"/>
      <c r="K759" s="2"/>
      <c r="L759" s="2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2"/>
      <c r="K760" s="2"/>
      <c r="L760" s="2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2"/>
      <c r="K761" s="2"/>
      <c r="L761" s="2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2"/>
      <c r="K762" s="2"/>
      <c r="L762" s="2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2"/>
      <c r="K763" s="2"/>
      <c r="L763" s="2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2"/>
      <c r="K764" s="2"/>
      <c r="L764" s="2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2"/>
      <c r="K765" s="2"/>
      <c r="L765" s="2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2"/>
      <c r="K766" s="2"/>
      <c r="L766" s="2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2"/>
      <c r="K767" s="2"/>
      <c r="L767" s="2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2"/>
      <c r="K768" s="2"/>
      <c r="L768" s="2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2"/>
      <c r="K769" s="2"/>
      <c r="L769" s="2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2"/>
      <c r="K770" s="2"/>
      <c r="L770" s="2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2"/>
      <c r="K771" s="2"/>
      <c r="L771" s="2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2"/>
      <c r="K772" s="2"/>
      <c r="L772" s="2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2"/>
      <c r="K773" s="2"/>
      <c r="L773" s="2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2"/>
      <c r="K774" s="2"/>
      <c r="L774" s="2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2"/>
      <c r="K775" s="2"/>
      <c r="L775" s="2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2"/>
      <c r="K776" s="2"/>
      <c r="L776" s="2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2"/>
      <c r="K777" s="2"/>
      <c r="L777" s="2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2"/>
      <c r="K778" s="2"/>
      <c r="L778" s="2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2"/>
      <c r="K779" s="2"/>
      <c r="L779" s="2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2"/>
      <c r="K780" s="2"/>
      <c r="L780" s="2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2"/>
      <c r="K781" s="2"/>
      <c r="L781" s="2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2"/>
      <c r="K782" s="2"/>
      <c r="L782" s="2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2"/>
      <c r="K783" s="2"/>
      <c r="L783" s="2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2"/>
      <c r="K784" s="2"/>
      <c r="L784" s="2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2"/>
      <c r="K785" s="2"/>
      <c r="L785" s="2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2"/>
      <c r="K786" s="2"/>
      <c r="L786" s="2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2"/>
      <c r="K787" s="2"/>
      <c r="L787" s="2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2"/>
      <c r="K788" s="2"/>
      <c r="L788" s="2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2"/>
      <c r="K789" s="2"/>
      <c r="L789" s="2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2"/>
      <c r="K790" s="2"/>
      <c r="L790" s="2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2"/>
      <c r="K791" s="2"/>
      <c r="L791" s="2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2"/>
      <c r="K792" s="2"/>
      <c r="L792" s="2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2"/>
      <c r="K793" s="2"/>
      <c r="L793" s="2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2"/>
      <c r="K794" s="2"/>
      <c r="L794" s="2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2"/>
      <c r="K795" s="2"/>
      <c r="L795" s="2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2"/>
      <c r="K796" s="2"/>
      <c r="L796" s="2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2"/>
      <c r="K797" s="2"/>
      <c r="L797" s="2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2"/>
      <c r="K798" s="2"/>
      <c r="L798" s="2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2"/>
      <c r="K799" s="2"/>
      <c r="L799" s="2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2"/>
      <c r="K800" s="2"/>
      <c r="L800" s="2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2"/>
      <c r="K801" s="2"/>
      <c r="L801" s="2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2"/>
      <c r="K802" s="2"/>
      <c r="L802" s="2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2"/>
      <c r="K803" s="2"/>
      <c r="L803" s="2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2"/>
      <c r="K804" s="2"/>
      <c r="L804" s="2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2"/>
      <c r="K805" s="2"/>
      <c r="L805" s="2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2"/>
      <c r="K806" s="2"/>
      <c r="L806" s="2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2"/>
      <c r="K807" s="2"/>
      <c r="L807" s="2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2"/>
      <c r="K808" s="2"/>
      <c r="L808" s="2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2"/>
      <c r="K809" s="2"/>
      <c r="L809" s="2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2"/>
      <c r="K810" s="2"/>
      <c r="L810" s="2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2"/>
      <c r="K811" s="2"/>
      <c r="L811" s="2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2"/>
      <c r="K812" s="2"/>
      <c r="L812" s="2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2"/>
      <c r="K813" s="2"/>
      <c r="L813" s="2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2"/>
      <c r="K814" s="2"/>
      <c r="L814" s="2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2"/>
      <c r="K815" s="2"/>
      <c r="L815" s="2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2"/>
      <c r="K816" s="2"/>
      <c r="L816" s="2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2"/>
      <c r="K817" s="2"/>
      <c r="L817" s="2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2"/>
      <c r="K818" s="2"/>
      <c r="L818" s="2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2"/>
      <c r="K819" s="2"/>
      <c r="L819" s="2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2"/>
      <c r="K820" s="2"/>
      <c r="L820" s="2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2"/>
      <c r="K821" s="2"/>
      <c r="L821" s="2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2"/>
      <c r="K822" s="2"/>
      <c r="L822" s="2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2"/>
      <c r="K823" s="2"/>
      <c r="L823" s="2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2"/>
      <c r="K824" s="2"/>
      <c r="L824" s="2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2"/>
      <c r="K825" s="2"/>
      <c r="L825" s="2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2"/>
      <c r="K826" s="2"/>
      <c r="L826" s="2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2"/>
      <c r="K827" s="2"/>
      <c r="L827" s="2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2"/>
      <c r="K828" s="2"/>
      <c r="L828" s="2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2"/>
      <c r="K829" s="2"/>
      <c r="L829" s="2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2"/>
      <c r="K830" s="2"/>
      <c r="L830" s="2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2"/>
      <c r="K831" s="2"/>
      <c r="L831" s="2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2"/>
      <c r="K832" s="2"/>
      <c r="L832" s="2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2"/>
      <c r="K833" s="2"/>
      <c r="L833" s="2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2"/>
      <c r="K834" s="2"/>
      <c r="L834" s="2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2"/>
      <c r="K835" s="2"/>
      <c r="L835" s="2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2"/>
      <c r="K836" s="2"/>
      <c r="L836" s="2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2"/>
      <c r="K837" s="2"/>
      <c r="L837" s="2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2"/>
      <c r="K838" s="2"/>
      <c r="L838" s="2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2"/>
      <c r="K839" s="2"/>
      <c r="L839" s="2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2"/>
      <c r="K840" s="2"/>
      <c r="L840" s="2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2"/>
      <c r="K841" s="2"/>
      <c r="L841" s="2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2"/>
      <c r="K842" s="2"/>
      <c r="L842" s="2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2"/>
      <c r="K843" s="2"/>
      <c r="L843" s="2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2"/>
      <c r="K844" s="2"/>
      <c r="L844" s="2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2"/>
      <c r="K845" s="2"/>
      <c r="L845" s="2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2"/>
      <c r="K846" s="2"/>
      <c r="L846" s="2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2"/>
      <c r="K847" s="2"/>
      <c r="L847" s="2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2"/>
      <c r="K848" s="2"/>
      <c r="L848" s="2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2"/>
      <c r="K849" s="2"/>
      <c r="L849" s="2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2"/>
      <c r="K850" s="2"/>
      <c r="L850" s="2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2"/>
      <c r="K851" s="2"/>
      <c r="L851" s="2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2"/>
      <c r="K852" s="2"/>
      <c r="L852" s="2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2"/>
      <c r="K853" s="2"/>
      <c r="L853" s="2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2"/>
      <c r="K854" s="2"/>
      <c r="L854" s="2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2"/>
      <c r="K855" s="2"/>
      <c r="L855" s="2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2"/>
      <c r="K856" s="2"/>
      <c r="L856" s="2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2"/>
      <c r="K857" s="2"/>
      <c r="L857" s="2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2"/>
      <c r="K858" s="2"/>
      <c r="L858" s="2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2"/>
      <c r="K859" s="2"/>
      <c r="L859" s="2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2"/>
      <c r="K860" s="2"/>
      <c r="L860" s="2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2"/>
      <c r="K861" s="2"/>
      <c r="L861" s="2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2"/>
      <c r="K862" s="2"/>
      <c r="L862" s="2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2"/>
      <c r="K863" s="2"/>
      <c r="L863" s="2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2"/>
      <c r="K864" s="2"/>
      <c r="L864" s="2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2"/>
      <c r="K865" s="2"/>
      <c r="L865" s="2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2"/>
      <c r="K866" s="2"/>
      <c r="L866" s="2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2"/>
      <c r="K867" s="2"/>
      <c r="L867" s="2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2"/>
      <c r="K868" s="2"/>
      <c r="L868" s="2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2"/>
      <c r="K869" s="2"/>
      <c r="L869" s="2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2"/>
      <c r="K870" s="2"/>
      <c r="L870" s="2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2"/>
      <c r="K871" s="2"/>
      <c r="L871" s="2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2"/>
      <c r="K872" s="2"/>
      <c r="L872" s="2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2"/>
      <c r="K873" s="2"/>
      <c r="L873" s="2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2"/>
      <c r="K874" s="2"/>
      <c r="L874" s="2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2"/>
      <c r="K875" s="2"/>
      <c r="L875" s="2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2"/>
      <c r="K876" s="2"/>
      <c r="L876" s="2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2"/>
      <c r="K877" s="2"/>
      <c r="L877" s="2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2"/>
      <c r="K878" s="2"/>
      <c r="L878" s="2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2"/>
      <c r="K879" s="2"/>
      <c r="L879" s="2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2"/>
      <c r="K880" s="2"/>
      <c r="L880" s="2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2"/>
      <c r="K881" s="2"/>
      <c r="L881" s="2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2"/>
      <c r="K882" s="2"/>
      <c r="L882" s="2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2"/>
      <c r="K883" s="2"/>
      <c r="L883" s="2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2"/>
      <c r="K884" s="2"/>
      <c r="L884" s="2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2"/>
      <c r="K885" s="2"/>
      <c r="L885" s="2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2"/>
      <c r="K886" s="2"/>
      <c r="L886" s="2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2"/>
      <c r="K887" s="2"/>
      <c r="L887" s="2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2"/>
      <c r="K888" s="2"/>
      <c r="L888" s="2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2"/>
      <c r="K889" s="2"/>
      <c r="L889" s="2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2"/>
      <c r="K890" s="2"/>
      <c r="L890" s="2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2"/>
      <c r="K891" s="2"/>
      <c r="L891" s="2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2"/>
      <c r="K892" s="2"/>
      <c r="L892" s="2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2"/>
      <c r="K893" s="2"/>
      <c r="L893" s="2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2"/>
      <c r="K894" s="2"/>
      <c r="L894" s="2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2"/>
      <c r="K895" s="2"/>
      <c r="L895" s="2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2"/>
      <c r="K896" s="2"/>
      <c r="L896" s="2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2"/>
      <c r="K897" s="2"/>
      <c r="L897" s="2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2"/>
      <c r="K898" s="2"/>
      <c r="L898" s="2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2"/>
      <c r="K899" s="2"/>
      <c r="L899" s="2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2"/>
      <c r="K900" s="2"/>
      <c r="L900" s="2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2"/>
      <c r="K901" s="2"/>
      <c r="L901" s="2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2"/>
      <c r="K902" s="2"/>
      <c r="L902" s="2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2"/>
      <c r="K903" s="2"/>
      <c r="L903" s="2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2"/>
      <c r="K904" s="2"/>
      <c r="L904" s="2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2"/>
      <c r="K905" s="2"/>
      <c r="L905" s="2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2"/>
      <c r="K906" s="2"/>
      <c r="L906" s="2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2"/>
      <c r="K907" s="2"/>
      <c r="L907" s="2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2"/>
      <c r="K908" s="2"/>
      <c r="L908" s="2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2"/>
      <c r="K909" s="2"/>
      <c r="L909" s="2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2"/>
      <c r="K910" s="2"/>
      <c r="L910" s="2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2"/>
      <c r="K911" s="2"/>
      <c r="L911" s="2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2"/>
      <c r="K912" s="2"/>
      <c r="L912" s="2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2"/>
      <c r="K913" s="2"/>
      <c r="L913" s="2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2"/>
      <c r="K914" s="2"/>
      <c r="L914" s="2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2"/>
      <c r="K915" s="2"/>
      <c r="L915" s="2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2"/>
      <c r="K916" s="2"/>
      <c r="L916" s="2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2"/>
      <c r="K917" s="2"/>
      <c r="L917" s="2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2"/>
      <c r="K918" s="2"/>
      <c r="L918" s="2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2"/>
      <c r="K919" s="2"/>
      <c r="L919" s="2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2"/>
      <c r="K920" s="2"/>
      <c r="L920" s="2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2"/>
      <c r="K921" s="2"/>
      <c r="L921" s="2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2"/>
      <c r="K922" s="2"/>
      <c r="L922" s="2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2"/>
      <c r="K923" s="2"/>
      <c r="L923" s="2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2"/>
      <c r="K924" s="2"/>
      <c r="L924" s="2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2"/>
      <c r="K925" s="2"/>
      <c r="L925" s="2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2"/>
      <c r="K926" s="2"/>
      <c r="L926" s="2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2"/>
      <c r="K927" s="2"/>
      <c r="L927" s="2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2"/>
      <c r="K928" s="2"/>
      <c r="L928" s="2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2"/>
      <c r="K929" s="2"/>
      <c r="L929" s="2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2"/>
      <c r="K930" s="2"/>
      <c r="L930" s="2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2"/>
      <c r="K931" s="2"/>
      <c r="L931" s="2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2"/>
      <c r="K932" s="2"/>
      <c r="L932" s="2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2"/>
      <c r="K933" s="2"/>
      <c r="L933" s="2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2"/>
      <c r="K934" s="2"/>
      <c r="L934" s="2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2"/>
      <c r="K935" s="2"/>
      <c r="L935" s="2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2"/>
      <c r="K936" s="2"/>
      <c r="L936" s="2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2"/>
      <c r="K937" s="2"/>
      <c r="L937" s="2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2"/>
      <c r="K938" s="2"/>
      <c r="L938" s="2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2"/>
      <c r="K939" s="2"/>
      <c r="L939" s="2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2"/>
      <c r="K940" s="2"/>
      <c r="L940" s="2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2"/>
      <c r="K941" s="2"/>
      <c r="L941" s="2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2"/>
      <c r="K942" s="2"/>
      <c r="L942" s="2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2"/>
      <c r="K943" s="2"/>
      <c r="L943" s="2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2"/>
      <c r="K944" s="2"/>
      <c r="L944" s="2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2"/>
      <c r="K945" s="2"/>
      <c r="L945" s="2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2"/>
      <c r="K946" s="2"/>
      <c r="L946" s="2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2"/>
      <c r="K947" s="2"/>
      <c r="L947" s="2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2"/>
      <c r="K948" s="2"/>
      <c r="L948" s="2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2"/>
      <c r="K949" s="2"/>
      <c r="L949" s="2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2"/>
      <c r="K950" s="2"/>
      <c r="L950" s="2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2"/>
      <c r="K951" s="2"/>
      <c r="L951" s="2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2"/>
      <c r="K952" s="2"/>
      <c r="L952" s="2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2"/>
      <c r="K953" s="2"/>
      <c r="L953" s="2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2"/>
      <c r="K954" s="2"/>
      <c r="L954" s="2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2"/>
      <c r="K955" s="2"/>
      <c r="L955" s="2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2"/>
      <c r="K956" s="2"/>
      <c r="L956" s="2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2"/>
      <c r="K957" s="2"/>
      <c r="L957" s="2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2"/>
      <c r="K958" s="2"/>
      <c r="L958" s="2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2"/>
      <c r="K959" s="2"/>
      <c r="L959" s="2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2"/>
      <c r="K960" s="2"/>
      <c r="L960" s="2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2"/>
      <c r="K961" s="2"/>
      <c r="L961" s="2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2"/>
      <c r="K962" s="2"/>
      <c r="L962" s="2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2"/>
      <c r="K963" s="2"/>
      <c r="L963" s="2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2"/>
      <c r="K964" s="2"/>
      <c r="L964" s="2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2"/>
      <c r="K965" s="2"/>
      <c r="L965" s="2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2"/>
      <c r="K966" s="2"/>
      <c r="L966" s="2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2"/>
      <c r="K967" s="2"/>
      <c r="L967" s="2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2"/>
      <c r="K968" s="2"/>
      <c r="L968" s="2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2"/>
      <c r="K969" s="2"/>
      <c r="L969" s="2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2"/>
      <c r="K970" s="2"/>
      <c r="L970" s="2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2"/>
      <c r="K971" s="2"/>
      <c r="L971" s="2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2"/>
      <c r="K972" s="2"/>
      <c r="L972" s="2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2"/>
      <c r="K973" s="2"/>
      <c r="L973" s="2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2"/>
      <c r="K974" s="2"/>
      <c r="L974" s="2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2"/>
      <c r="K975" s="2"/>
      <c r="L975" s="2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2"/>
      <c r="K976" s="2"/>
      <c r="L976" s="2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2"/>
      <c r="K977" s="2"/>
      <c r="L977" s="2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2"/>
      <c r="K978" s="2"/>
      <c r="L978" s="2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2"/>
      <c r="K979" s="2"/>
      <c r="L979" s="2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2"/>
      <c r="K980" s="2"/>
      <c r="L980" s="2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2"/>
      <c r="K981" s="2"/>
      <c r="L981" s="2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2"/>
      <c r="K982" s="2"/>
      <c r="L982" s="2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2"/>
      <c r="K983" s="2"/>
      <c r="L983" s="2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2"/>
      <c r="K984" s="2"/>
      <c r="L984" s="2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2"/>
      <c r="K985" s="2"/>
      <c r="L985" s="2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2"/>
      <c r="K986" s="2"/>
      <c r="L986" s="2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2"/>
      <c r="K987" s="2"/>
      <c r="L987" s="2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2"/>
      <c r="K988" s="2"/>
      <c r="L988" s="2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2"/>
      <c r="K989" s="2"/>
      <c r="L989" s="2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2"/>
      <c r="K990" s="2"/>
      <c r="L990" s="2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2"/>
      <c r="K991" s="2"/>
      <c r="L991" s="2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2"/>
      <c r="K992" s="2"/>
      <c r="L992" s="2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2"/>
      <c r="K993" s="2"/>
      <c r="L993" s="2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2"/>
      <c r="K994" s="2"/>
      <c r="L994" s="2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2"/>
      <c r="K995" s="2"/>
      <c r="L995" s="2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2"/>
      <c r="K996" s="2"/>
      <c r="L996" s="2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2"/>
      <c r="K997" s="2"/>
      <c r="L997" s="2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2"/>
      <c r="K998" s="2"/>
      <c r="L998" s="2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2"/>
      <c r="K999" s="2"/>
      <c r="L999" s="2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0">
    <mergeCell ref="E5:E6"/>
    <mergeCell ref="F5:I5"/>
    <mergeCell ref="F1:J1"/>
    <mergeCell ref="A2:J2"/>
    <mergeCell ref="A3:J3"/>
    <mergeCell ref="A5:A6"/>
    <mergeCell ref="B5:B6"/>
    <mergeCell ref="C5:C6"/>
    <mergeCell ref="D5:D6"/>
    <mergeCell ref="J5:J6"/>
  </mergeCells>
  <pageMargins left="0.55118110236220474" right="0.27559055118110237" top="0.35433070866141736" bottom="0.35433070866141736" header="0" footer="0"/>
  <pageSetup scale="7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109375" customWidth="1"/>
    <col min="2" max="2" width="29.33203125" customWidth="1"/>
    <col min="3" max="3" width="9.21875" customWidth="1"/>
    <col min="4" max="4" width="17.88671875" customWidth="1"/>
    <col min="5" max="5" width="18.21875" customWidth="1"/>
    <col min="6" max="9" width="12.6640625" customWidth="1"/>
    <col min="10" max="10" width="8.88671875" customWidth="1"/>
    <col min="11" max="11" width="21.6640625" customWidth="1"/>
    <col min="12" max="14" width="8.88671875" customWidth="1"/>
    <col min="15" max="25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273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'VĂN SANG(7)'!A5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60">
        <v>44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60">
        <v>250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7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47.019999999999996</v>
      </c>
      <c r="E9" s="17">
        <f t="shared" si="0"/>
        <v>65.540000000000006</v>
      </c>
      <c r="F9" s="17">
        <f t="shared" si="0"/>
        <v>51.01</v>
      </c>
      <c r="G9" s="17">
        <f t="shared" si="0"/>
        <v>50.809999999999995</v>
      </c>
      <c r="H9" s="17">
        <f t="shared" ref="H9:H23" si="1">F9/E9*100</f>
        <v>77.830332621299959</v>
      </c>
      <c r="I9" s="17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0.7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8.25</v>
      </c>
      <c r="F10" s="17">
        <f t="shared" si="2"/>
        <v>2.38</v>
      </c>
      <c r="G10" s="17">
        <f t="shared" si="2"/>
        <v>2.38</v>
      </c>
      <c r="H10" s="17">
        <f t="shared" si="1"/>
        <v>28.848484848484844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0.7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22.782875000000001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133"/>
      <c r="K11" s="133"/>
      <c r="L11" s="133"/>
      <c r="M11" s="133"/>
      <c r="N11" s="133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0.7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19.092874999999999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133"/>
      <c r="K12" s="133"/>
      <c r="L12" s="133"/>
      <c r="M12" s="133"/>
      <c r="N12" s="133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0.7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7.25</v>
      </c>
      <c r="F13" s="17">
        <f t="shared" si="5"/>
        <v>1.38</v>
      </c>
      <c r="G13" s="17">
        <f t="shared" si="5"/>
        <v>1.38</v>
      </c>
      <c r="H13" s="17">
        <f t="shared" si="1"/>
        <v>19.034482758620687</v>
      </c>
      <c r="I13" s="17"/>
      <c r="J13" s="126"/>
      <c r="K13" s="156"/>
      <c r="L13" s="156"/>
      <c r="M13" s="156"/>
      <c r="N13" s="12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26.335000000000001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7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19.092874999999999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1.38</v>
      </c>
      <c r="F16" s="17">
        <v>1.38</v>
      </c>
      <c r="G16" s="17">
        <v>1.38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0.7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0.7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4.6229999999999993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0.7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5.87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44"/>
      <c r="O19" s="86"/>
      <c r="P19" s="86"/>
      <c r="Q19" s="86"/>
      <c r="R19" s="86"/>
      <c r="S19" s="86"/>
      <c r="T19" s="86"/>
      <c r="U19" s="86"/>
      <c r="V19" s="86"/>
      <c r="W19" s="1"/>
      <c r="X19" s="1"/>
      <c r="Y19" s="1"/>
      <c r="Z19" s="1"/>
    </row>
    <row r="20" spans="1:26" ht="30.7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19.170000000000002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28"/>
      <c r="M20" s="28"/>
      <c r="N20" s="44"/>
      <c r="O20" s="86"/>
      <c r="P20" s="86"/>
      <c r="Q20" s="86"/>
      <c r="R20" s="86"/>
      <c r="S20" s="86"/>
      <c r="T20" s="86"/>
      <c r="U20" s="86"/>
      <c r="V20" s="86"/>
      <c r="W20" s="1"/>
      <c r="X20" s="1"/>
      <c r="Y20" s="1"/>
      <c r="Z20" s="1"/>
    </row>
    <row r="21" spans="1:26" ht="30.7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11.252790000000001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28"/>
      <c r="M21" s="28"/>
      <c r="N21" s="44"/>
      <c r="O21" s="86"/>
      <c r="P21" s="86"/>
      <c r="Q21" s="86"/>
      <c r="R21" s="86"/>
      <c r="S21" s="86"/>
      <c r="T21" s="86"/>
      <c r="U21" s="86"/>
      <c r="V21" s="86"/>
      <c r="W21" s="1"/>
      <c r="X21" s="1"/>
      <c r="Y21" s="1"/>
      <c r="Z21" s="1"/>
    </row>
    <row r="22" spans="1:26" ht="30.75" customHeight="1" x14ac:dyDescent="0.25">
      <c r="A22" s="40" t="s">
        <v>32</v>
      </c>
      <c r="B22" s="41" t="s">
        <v>33</v>
      </c>
      <c r="C22" s="40" t="s">
        <v>18</v>
      </c>
      <c r="D22" s="17"/>
      <c r="E22" s="17">
        <v>5.87</v>
      </c>
      <c r="F22" s="31">
        <v>0</v>
      </c>
      <c r="G22" s="17">
        <v>0</v>
      </c>
      <c r="H22" s="17">
        <f t="shared" si="1"/>
        <v>0</v>
      </c>
      <c r="I22" s="31"/>
      <c r="J22" s="53"/>
      <c r="K22" s="53"/>
      <c r="L22" s="53"/>
      <c r="M22" s="53"/>
      <c r="N22" s="61"/>
      <c r="O22" s="152"/>
      <c r="P22" s="152"/>
      <c r="Q22" s="152"/>
      <c r="R22" s="152"/>
      <c r="S22" s="152"/>
      <c r="T22" s="152"/>
      <c r="U22" s="152"/>
      <c r="V22" s="86"/>
      <c r="W22" s="1"/>
      <c r="X22" s="1"/>
      <c r="Y22" s="1"/>
      <c r="Z22" s="1"/>
    </row>
    <row r="23" spans="1:26" ht="30.7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3"/>
      <c r="K23" s="53"/>
      <c r="L23" s="53"/>
      <c r="M23" s="53"/>
      <c r="N23" s="61"/>
      <c r="O23" s="152"/>
      <c r="P23" s="152"/>
      <c r="Q23" s="152"/>
      <c r="R23" s="152"/>
      <c r="S23" s="152"/>
      <c r="T23" s="152"/>
      <c r="U23" s="152"/>
      <c r="V23" s="86"/>
      <c r="W23" s="1"/>
      <c r="X23" s="1"/>
      <c r="Y23" s="1"/>
      <c r="Z23" s="1"/>
    </row>
    <row r="24" spans="1:26" ht="30.75" customHeight="1" x14ac:dyDescent="0.25">
      <c r="A24" s="40"/>
      <c r="B24" s="27" t="s">
        <v>27</v>
      </c>
      <c r="C24" s="30" t="s">
        <v>21</v>
      </c>
      <c r="D24" s="31"/>
      <c r="E24" s="31"/>
      <c r="F24" s="31"/>
      <c r="G24" s="31"/>
      <c r="H24" s="17"/>
      <c r="I24" s="31"/>
      <c r="J24" s="53"/>
      <c r="K24" s="53"/>
      <c r="L24" s="53"/>
      <c r="M24" s="53"/>
      <c r="N24" s="61"/>
      <c r="O24" s="152"/>
      <c r="P24" s="152"/>
      <c r="Q24" s="152"/>
      <c r="R24" s="152"/>
      <c r="S24" s="152"/>
      <c r="T24" s="152"/>
      <c r="U24" s="152"/>
      <c r="V24" s="86"/>
      <c r="W24" s="1"/>
      <c r="X24" s="1"/>
      <c r="Y24" s="1"/>
      <c r="Z24" s="1"/>
    </row>
    <row r="25" spans="1:26" ht="30.75" customHeight="1" x14ac:dyDescent="0.25">
      <c r="A25" s="40" t="s">
        <v>32</v>
      </c>
      <c r="B25" s="41" t="s">
        <v>34</v>
      </c>
      <c r="C25" s="40" t="s">
        <v>18</v>
      </c>
      <c r="D25" s="17"/>
      <c r="E25" s="17"/>
      <c r="F25" s="31">
        <v>0</v>
      </c>
      <c r="G25" s="31"/>
      <c r="H25" s="17"/>
      <c r="I25" s="31"/>
      <c r="J25" s="53"/>
      <c r="K25" s="53"/>
      <c r="L25" s="53"/>
      <c r="M25" s="53"/>
      <c r="N25" s="53"/>
      <c r="O25" s="33"/>
      <c r="P25" s="33"/>
      <c r="Q25" s="153"/>
      <c r="R25" s="153"/>
      <c r="S25" s="153"/>
      <c r="T25" s="153"/>
      <c r="U25" s="153"/>
      <c r="V25" s="1"/>
      <c r="W25" s="1"/>
      <c r="X25" s="1"/>
      <c r="Y25" s="1"/>
      <c r="Z25" s="1"/>
    </row>
    <row r="26" spans="1:26" ht="30.7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/>
      <c r="G26" s="31"/>
      <c r="H26" s="17"/>
      <c r="I26" s="31"/>
      <c r="J26" s="53"/>
      <c r="K26" s="53"/>
      <c r="L26" s="53"/>
      <c r="M26" s="53"/>
      <c r="N26" s="53"/>
      <c r="O26" s="33"/>
      <c r="P26" s="33"/>
      <c r="Q26" s="153"/>
      <c r="R26" s="153"/>
      <c r="S26" s="153"/>
      <c r="T26" s="153"/>
      <c r="U26" s="153"/>
      <c r="V26" s="1"/>
      <c r="W26" s="1"/>
      <c r="X26" s="1"/>
      <c r="Y26" s="1"/>
      <c r="Z26" s="1"/>
    </row>
    <row r="27" spans="1:26" ht="30.75" customHeight="1" x14ac:dyDescent="0.25">
      <c r="A27" s="40"/>
      <c r="B27" s="27" t="s">
        <v>27</v>
      </c>
      <c r="C27" s="30" t="s">
        <v>21</v>
      </c>
      <c r="D27" s="31"/>
      <c r="E27" s="31"/>
      <c r="F27" s="31"/>
      <c r="G27" s="31"/>
      <c r="H27" s="17"/>
      <c r="I27" s="31"/>
      <c r="J27" s="53"/>
      <c r="K27" s="53"/>
      <c r="L27" s="53"/>
      <c r="M27" s="53"/>
      <c r="N27" s="53"/>
      <c r="O27" s="33"/>
      <c r="P27" s="33"/>
      <c r="Q27" s="153"/>
      <c r="R27" s="153"/>
      <c r="S27" s="153"/>
      <c r="T27" s="153"/>
      <c r="U27" s="153"/>
      <c r="V27" s="1"/>
      <c r="W27" s="1"/>
      <c r="X27" s="1"/>
      <c r="Y27" s="1"/>
      <c r="Z27" s="1"/>
    </row>
    <row r="28" spans="1:26" ht="30.7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2">D31+D34</f>
        <v>1</v>
      </c>
      <c r="E28" s="17">
        <f t="shared" si="12"/>
        <v>1</v>
      </c>
      <c r="F28" s="17">
        <f t="shared" si="12"/>
        <v>1</v>
      </c>
      <c r="G28" s="17">
        <f t="shared" si="12"/>
        <v>1</v>
      </c>
      <c r="H28" s="17">
        <f t="shared" ref="H28:H30" si="13">F28/E28*100</f>
        <v>100</v>
      </c>
      <c r="I28" s="17"/>
      <c r="J28" s="53"/>
      <c r="K28" s="53"/>
      <c r="L28" s="53"/>
      <c r="M28" s="53"/>
      <c r="N28" s="53"/>
      <c r="O28" s="33"/>
      <c r="P28" s="33"/>
      <c r="Q28" s="153"/>
      <c r="R28" s="153"/>
      <c r="S28" s="153"/>
      <c r="T28" s="153"/>
      <c r="U28" s="153"/>
      <c r="V28" s="1"/>
      <c r="W28" s="1"/>
      <c r="X28" s="1"/>
      <c r="Y28" s="1"/>
      <c r="Z28" s="1"/>
    </row>
    <row r="29" spans="1:26" ht="30.75" customHeight="1" x14ac:dyDescent="0.25">
      <c r="A29" s="15"/>
      <c r="B29" s="27" t="s">
        <v>25</v>
      </c>
      <c r="C29" s="30" t="s">
        <v>26</v>
      </c>
      <c r="D29" s="31">
        <f t="shared" ref="D29:G29" si="14">D35</f>
        <v>36.85</v>
      </c>
      <c r="E29" s="31">
        <f t="shared" si="14"/>
        <v>36.9</v>
      </c>
      <c r="F29" s="31">
        <f t="shared" si="14"/>
        <v>0</v>
      </c>
      <c r="G29" s="31">
        <f t="shared" si="14"/>
        <v>0</v>
      </c>
      <c r="H29" s="17">
        <f t="shared" si="13"/>
        <v>0</v>
      </c>
      <c r="I29" s="31"/>
      <c r="J29" s="53"/>
      <c r="K29" s="53"/>
      <c r="L29" s="53"/>
      <c r="M29" s="53"/>
      <c r="N29" s="53"/>
      <c r="O29" s="33"/>
      <c r="P29" s="33"/>
      <c r="Q29" s="153"/>
      <c r="R29" s="153"/>
      <c r="S29" s="153"/>
      <c r="T29" s="153"/>
      <c r="U29" s="153"/>
      <c r="V29" s="1"/>
      <c r="W29" s="1"/>
      <c r="X29" s="1"/>
      <c r="Y29" s="1"/>
      <c r="Z29" s="1"/>
    </row>
    <row r="30" spans="1:26" ht="30.75" customHeight="1" x14ac:dyDescent="0.25">
      <c r="A30" s="15"/>
      <c r="B30" s="27" t="s">
        <v>27</v>
      </c>
      <c r="C30" s="30" t="s">
        <v>21</v>
      </c>
      <c r="D30" s="31">
        <f t="shared" ref="D30:G30" si="15">D28*D29/10</f>
        <v>3.6850000000000001</v>
      </c>
      <c r="E30" s="31">
        <f t="shared" si="15"/>
        <v>3.69</v>
      </c>
      <c r="F30" s="31">
        <f t="shared" si="15"/>
        <v>0</v>
      </c>
      <c r="G30" s="31">
        <f t="shared" si="15"/>
        <v>0</v>
      </c>
      <c r="H30" s="17">
        <f t="shared" si="13"/>
        <v>0</v>
      </c>
      <c r="I30" s="31"/>
      <c r="J30" s="53"/>
      <c r="K30" s="53"/>
      <c r="L30" s="53"/>
      <c r="M30" s="53"/>
      <c r="N30" s="53"/>
      <c r="O30" s="33"/>
      <c r="P30" s="33"/>
      <c r="Q30" s="153"/>
      <c r="R30" s="153"/>
      <c r="S30" s="153"/>
      <c r="T30" s="153"/>
      <c r="U30" s="153"/>
      <c r="V30" s="1"/>
      <c r="W30" s="1"/>
      <c r="X30" s="1"/>
      <c r="Y30" s="1"/>
      <c r="Z30" s="1"/>
    </row>
    <row r="31" spans="1:26" ht="30.7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7"/>
      <c r="I31" s="17"/>
      <c r="J31" s="53"/>
      <c r="K31" s="69"/>
      <c r="L31" s="177"/>
      <c r="M31" s="177"/>
      <c r="N31" s="177"/>
      <c r="O31" s="177"/>
      <c r="P31" s="33"/>
      <c r="Q31" s="153"/>
      <c r="R31" s="153"/>
      <c r="S31" s="153"/>
      <c r="T31" s="153"/>
      <c r="U31" s="153"/>
      <c r="V31" s="1"/>
      <c r="W31" s="1"/>
      <c r="X31" s="1"/>
      <c r="Y31" s="1"/>
      <c r="Z31" s="1"/>
    </row>
    <row r="32" spans="1:26" ht="30.7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53"/>
      <c r="K32" s="69"/>
      <c r="L32" s="177"/>
      <c r="M32" s="177"/>
      <c r="N32" s="177"/>
      <c r="O32" s="177"/>
      <c r="P32" s="33"/>
      <c r="Q32" s="153"/>
      <c r="R32" s="153"/>
      <c r="S32" s="153"/>
      <c r="T32" s="153"/>
      <c r="U32" s="153"/>
      <c r="V32" s="1"/>
      <c r="W32" s="1"/>
      <c r="X32" s="1"/>
      <c r="Y32" s="1"/>
      <c r="Z32" s="1"/>
    </row>
    <row r="33" spans="1:26" ht="30.7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53"/>
      <c r="K33" s="69"/>
      <c r="L33" s="177"/>
      <c r="M33" s="177"/>
      <c r="N33" s="177"/>
      <c r="O33" s="177"/>
      <c r="P33" s="33"/>
      <c r="Q33" s="153"/>
      <c r="R33" s="153"/>
      <c r="S33" s="153"/>
      <c r="T33" s="153"/>
      <c r="U33" s="153"/>
      <c r="V33" s="1"/>
      <c r="W33" s="1"/>
      <c r="X33" s="1"/>
      <c r="Y33" s="1"/>
      <c r="Z33" s="1"/>
    </row>
    <row r="34" spans="1:26" ht="30.75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7">
        <f t="shared" ref="H34:H50" si="16">F34/E34*100</f>
        <v>100</v>
      </c>
      <c r="I34" s="96"/>
      <c r="J34" s="154"/>
      <c r="K34" s="44"/>
      <c r="L34" s="44"/>
      <c r="M34" s="44"/>
      <c r="N34" s="44"/>
      <c r="O34" s="44"/>
      <c r="P34" s="153"/>
      <c r="Q34" s="153"/>
      <c r="R34" s="153"/>
      <c r="S34" s="153"/>
      <c r="T34" s="153"/>
      <c r="U34" s="153"/>
      <c r="V34" s="1"/>
      <c r="W34" s="1"/>
      <c r="X34" s="1"/>
      <c r="Y34" s="1"/>
      <c r="Z34" s="1"/>
    </row>
    <row r="35" spans="1:26" ht="30.7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6"/>
        <v>0</v>
      </c>
      <c r="I35" s="31"/>
      <c r="J35" s="154"/>
      <c r="K35" s="44"/>
      <c r="L35" s="186"/>
      <c r="M35" s="186"/>
      <c r="N35" s="186"/>
      <c r="O35" s="186"/>
      <c r="P35" s="193"/>
      <c r="Q35" s="193"/>
      <c r="R35" s="193"/>
      <c r="S35" s="193"/>
      <c r="T35" s="193"/>
      <c r="U35" s="193"/>
      <c r="V35" s="183"/>
      <c r="W35" s="183"/>
      <c r="X35" s="183"/>
      <c r="Y35" s="183"/>
      <c r="Z35" s="183"/>
    </row>
    <row r="36" spans="1:26" ht="30.7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3.6850000000000001</v>
      </c>
      <c r="E36" s="31">
        <f t="shared" si="17"/>
        <v>3.69</v>
      </c>
      <c r="F36" s="31">
        <f t="shared" si="17"/>
        <v>0</v>
      </c>
      <c r="G36" s="31">
        <f t="shared" si="17"/>
        <v>0</v>
      </c>
      <c r="H36" s="17">
        <f t="shared" si="16"/>
        <v>0</v>
      </c>
      <c r="I36" s="31"/>
      <c r="J36" s="154"/>
      <c r="K36" s="44"/>
      <c r="L36" s="186"/>
      <c r="M36" s="186"/>
      <c r="N36" s="186"/>
      <c r="O36" s="186"/>
      <c r="P36" s="193"/>
      <c r="Q36" s="193"/>
      <c r="R36" s="193"/>
      <c r="S36" s="193"/>
      <c r="T36" s="193"/>
      <c r="U36" s="193"/>
      <c r="V36" s="183"/>
      <c r="W36" s="183"/>
      <c r="X36" s="183"/>
      <c r="Y36" s="183"/>
      <c r="Z36" s="183"/>
    </row>
    <row r="37" spans="1:26" ht="30.75" customHeight="1" x14ac:dyDescent="0.25">
      <c r="A37" s="15">
        <v>2</v>
      </c>
      <c r="B37" s="16" t="s">
        <v>39</v>
      </c>
      <c r="C37" s="15" t="s">
        <v>18</v>
      </c>
      <c r="D37" s="17">
        <v>16</v>
      </c>
      <c r="E37" s="17">
        <v>21.14</v>
      </c>
      <c r="F37" s="17">
        <v>21.14</v>
      </c>
      <c r="G37" s="17">
        <v>21.14</v>
      </c>
      <c r="H37" s="17">
        <f t="shared" si="16"/>
        <v>100</v>
      </c>
      <c r="I37" s="31"/>
      <c r="J37" s="53"/>
      <c r="K37" s="194"/>
      <c r="L37" s="194"/>
      <c r="M37" s="194"/>
      <c r="N37" s="194"/>
      <c r="O37" s="61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1"/>
    </row>
    <row r="38" spans="1:26" ht="30.7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6"/>
        <v>0</v>
      </c>
      <c r="I38" s="31"/>
      <c r="J38" s="53"/>
      <c r="K38" s="61"/>
      <c r="L38" s="190"/>
      <c r="M38" s="190"/>
      <c r="N38" s="190"/>
      <c r="O38" s="190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83"/>
    </row>
    <row r="39" spans="1:26" ht="30.75" customHeight="1" x14ac:dyDescent="0.25">
      <c r="A39" s="15"/>
      <c r="B39" s="27" t="s">
        <v>27</v>
      </c>
      <c r="C39" s="30" t="s">
        <v>21</v>
      </c>
      <c r="D39" s="31">
        <f t="shared" ref="D39:G39" si="18">D37*D38/10</f>
        <v>220</v>
      </c>
      <c r="E39" s="31">
        <f t="shared" si="18"/>
        <v>295.95999999999998</v>
      </c>
      <c r="F39" s="31">
        <f t="shared" si="18"/>
        <v>0</v>
      </c>
      <c r="G39" s="31">
        <f t="shared" si="18"/>
        <v>0</v>
      </c>
      <c r="H39" s="17">
        <f t="shared" si="16"/>
        <v>0</v>
      </c>
      <c r="I39" s="31"/>
      <c r="J39" s="53"/>
      <c r="K39" s="61"/>
      <c r="L39" s="190"/>
      <c r="M39" s="190"/>
      <c r="N39" s="190"/>
      <c r="O39" s="190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83"/>
    </row>
    <row r="40" spans="1:26" ht="30.7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0.5</v>
      </c>
      <c r="F40" s="17">
        <v>0</v>
      </c>
      <c r="G40" s="17">
        <v>0</v>
      </c>
      <c r="H40" s="17">
        <f t="shared" si="16"/>
        <v>0</v>
      </c>
      <c r="I40" s="31"/>
      <c r="J40" s="53"/>
      <c r="K40" s="61"/>
      <c r="L40" s="190"/>
      <c r="M40" s="190"/>
      <c r="N40" s="190"/>
      <c r="O40" s="190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83"/>
    </row>
    <row r="41" spans="1:26" ht="30.7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31"/>
      <c r="G41" s="31"/>
      <c r="H41" s="17">
        <f t="shared" si="16"/>
        <v>0</v>
      </c>
      <c r="I41" s="31"/>
      <c r="J41" s="53"/>
      <c r="K41" s="61"/>
      <c r="L41" s="190"/>
      <c r="M41" s="190"/>
      <c r="N41" s="190"/>
      <c r="O41" s="190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83"/>
    </row>
    <row r="42" spans="1:26" ht="30.75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19">E40*E41/10</f>
        <v>1.2050000000000001</v>
      </c>
      <c r="F42" s="31">
        <f t="shared" si="19"/>
        <v>0</v>
      </c>
      <c r="G42" s="31">
        <f t="shared" si="19"/>
        <v>0</v>
      </c>
      <c r="H42" s="17">
        <f t="shared" si="16"/>
        <v>0</v>
      </c>
      <c r="I42" s="31"/>
      <c r="J42" s="53"/>
      <c r="K42" s="61"/>
      <c r="L42" s="190"/>
      <c r="M42" s="190"/>
      <c r="N42" s="190"/>
      <c r="O42" s="190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83"/>
    </row>
    <row r="43" spans="1:26" ht="30.7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6"/>
        <v>54</v>
      </c>
      <c r="I43" s="17"/>
      <c r="J43" s="126"/>
      <c r="K43" s="51"/>
      <c r="L43" s="179"/>
      <c r="M43" s="179"/>
      <c r="N43" s="179"/>
      <c r="O43" s="17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.7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6"/>
        <v>0</v>
      </c>
      <c r="I44" s="31"/>
      <c r="J44" s="126"/>
      <c r="K44" s="135"/>
      <c r="L44" s="126"/>
      <c r="M44" s="126"/>
      <c r="N44" s="12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.75" customHeight="1" x14ac:dyDescent="0.25">
      <c r="A45" s="30"/>
      <c r="B45" s="47" t="s">
        <v>27</v>
      </c>
      <c r="C45" s="48" t="s">
        <v>21</v>
      </c>
      <c r="D45" s="31">
        <f t="shared" ref="D45:G45" si="20">D43*D44/10</f>
        <v>5</v>
      </c>
      <c r="E45" s="31">
        <f t="shared" si="20"/>
        <v>4.9249999999999998</v>
      </c>
      <c r="F45" s="31">
        <f t="shared" si="20"/>
        <v>0</v>
      </c>
      <c r="G45" s="31">
        <f t="shared" si="20"/>
        <v>0</v>
      </c>
      <c r="H45" s="17">
        <f t="shared" si="16"/>
        <v>0</v>
      </c>
      <c r="I45" s="31"/>
      <c r="J45" s="126"/>
      <c r="K45" s="126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.7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1">D47+D55+D64</f>
        <v>17.04</v>
      </c>
      <c r="E46" s="17">
        <f t="shared" si="21"/>
        <v>25.84</v>
      </c>
      <c r="F46" s="17">
        <f t="shared" si="21"/>
        <v>17.54</v>
      </c>
      <c r="G46" s="17">
        <f t="shared" si="21"/>
        <v>17.34</v>
      </c>
      <c r="H46" s="17">
        <f t="shared" si="16"/>
        <v>67.879256965944265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.7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2">D48+D49</f>
        <v>12.54</v>
      </c>
      <c r="E47" s="17">
        <f t="shared" si="22"/>
        <v>20.54</v>
      </c>
      <c r="F47" s="17">
        <f t="shared" si="22"/>
        <v>12.739999999999998</v>
      </c>
      <c r="G47" s="17">
        <f t="shared" si="22"/>
        <v>12.54</v>
      </c>
      <c r="H47" s="17">
        <f t="shared" si="16"/>
        <v>62.025316455696199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.75" customHeight="1" x14ac:dyDescent="0.25">
      <c r="A48" s="57" t="s">
        <v>32</v>
      </c>
      <c r="B48" s="58" t="s">
        <v>45</v>
      </c>
      <c r="C48" s="59" t="s">
        <v>18</v>
      </c>
      <c r="D48" s="31">
        <v>5.7</v>
      </c>
      <c r="E48" s="31">
        <f>D48+D49</f>
        <v>12.54</v>
      </c>
      <c r="F48" s="31">
        <v>12.54</v>
      </c>
      <c r="G48" s="31">
        <v>12.54</v>
      </c>
      <c r="H48" s="31">
        <f t="shared" si="16"/>
        <v>100</v>
      </c>
      <c r="I48" s="31"/>
      <c r="J48" s="53"/>
      <c r="K48" s="53"/>
      <c r="L48" s="53"/>
      <c r="M48" s="53"/>
      <c r="N48" s="53"/>
      <c r="O48" s="33"/>
      <c r="P48" s="33"/>
      <c r="Q48" s="33"/>
      <c r="R48" s="1"/>
      <c r="S48" s="1"/>
      <c r="T48" s="1"/>
      <c r="U48" s="1"/>
      <c r="V48" s="1"/>
      <c r="W48" s="1"/>
      <c r="X48" s="1"/>
      <c r="Y48" s="1"/>
      <c r="Z48" s="1"/>
    </row>
    <row r="49" spans="1:26" ht="30.7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3">D50+D51</f>
        <v>6.84</v>
      </c>
      <c r="E49" s="17">
        <f t="shared" si="23"/>
        <v>8</v>
      </c>
      <c r="F49" s="17">
        <f t="shared" si="23"/>
        <v>0.2</v>
      </c>
      <c r="G49" s="17">
        <f t="shared" si="23"/>
        <v>0</v>
      </c>
      <c r="H49" s="17">
        <f t="shared" si="16"/>
        <v>2.5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0.75" customHeight="1" x14ac:dyDescent="0.25">
      <c r="A50" s="59" t="s">
        <v>47</v>
      </c>
      <c r="B50" s="64" t="s">
        <v>48</v>
      </c>
      <c r="C50" s="59" t="s">
        <v>18</v>
      </c>
      <c r="D50" s="31">
        <v>6.84</v>
      </c>
      <c r="E50" s="31">
        <v>8</v>
      </c>
      <c r="F50" s="31">
        <v>0.2</v>
      </c>
      <c r="G50" s="31">
        <v>0</v>
      </c>
      <c r="H50" s="17">
        <f t="shared" si="16"/>
        <v>2.5</v>
      </c>
      <c r="I50" s="31"/>
      <c r="J50" s="35"/>
      <c r="K50" s="126"/>
      <c r="L50" s="126"/>
      <c r="M50" s="126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.75" customHeight="1" x14ac:dyDescent="0.25">
      <c r="A51" s="59" t="s">
        <v>47</v>
      </c>
      <c r="B51" s="64" t="s">
        <v>49</v>
      </c>
      <c r="C51" s="30" t="s">
        <v>18</v>
      </c>
      <c r="D51" s="31"/>
      <c r="E51" s="31"/>
      <c r="F51" s="31"/>
      <c r="G51" s="31"/>
      <c r="H51" s="17"/>
      <c r="I51" s="31"/>
      <c r="J51" s="126"/>
      <c r="K51" s="126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.7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4">D53+D54</f>
        <v>5.71</v>
      </c>
      <c r="E52" s="17">
        <f t="shared" si="24"/>
        <v>4.8449999999999998</v>
      </c>
      <c r="F52" s="17">
        <f t="shared" si="24"/>
        <v>4.84</v>
      </c>
      <c r="G52" s="17">
        <f t="shared" si="24"/>
        <v>4.84</v>
      </c>
      <c r="H52" s="17">
        <f t="shared" ref="H52:H53" si="25">F52/E52*100</f>
        <v>99.896800825593402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0.75" customHeight="1" x14ac:dyDescent="0.25">
      <c r="A53" s="66" t="s">
        <v>47</v>
      </c>
      <c r="B53" s="64" t="s">
        <v>51</v>
      </c>
      <c r="C53" s="30" t="s">
        <v>18</v>
      </c>
      <c r="D53" s="31">
        <v>3.71</v>
      </c>
      <c r="E53" s="31">
        <f>D48*85%</f>
        <v>4.8449999999999998</v>
      </c>
      <c r="F53" s="31">
        <v>4.84</v>
      </c>
      <c r="G53" s="31">
        <v>4.84</v>
      </c>
      <c r="H53" s="31">
        <f t="shared" si="25"/>
        <v>99.896800825593402</v>
      </c>
      <c r="I53" s="31"/>
      <c r="J53" s="126"/>
      <c r="K53" s="126"/>
      <c r="L53" s="126"/>
      <c r="M53" s="135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.75" customHeight="1" x14ac:dyDescent="0.25">
      <c r="A54" s="30"/>
      <c r="B54" s="64" t="s">
        <v>52</v>
      </c>
      <c r="C54" s="30" t="s">
        <v>18</v>
      </c>
      <c r="D54" s="31">
        <v>2</v>
      </c>
      <c r="E54" s="31"/>
      <c r="F54" s="31"/>
      <c r="G54" s="31"/>
      <c r="H54" s="17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.7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6">D56+D57</f>
        <v>4.5</v>
      </c>
      <c r="E55" s="17">
        <f t="shared" si="26"/>
        <v>5.3</v>
      </c>
      <c r="F55" s="17">
        <f t="shared" si="26"/>
        <v>4.8</v>
      </c>
      <c r="G55" s="17">
        <f t="shared" si="26"/>
        <v>4.8</v>
      </c>
      <c r="H55" s="17">
        <f t="shared" ref="H55:H63" si="27">F55/E55*100</f>
        <v>90.566037735849065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.75" customHeight="1" x14ac:dyDescent="0.25">
      <c r="A56" s="30" t="s">
        <v>32</v>
      </c>
      <c r="B56" s="58" t="s">
        <v>50</v>
      </c>
      <c r="C56" s="30" t="s">
        <v>18</v>
      </c>
      <c r="D56" s="31">
        <v>4.5</v>
      </c>
      <c r="E56" s="31">
        <f>D56+E58</f>
        <v>4.8</v>
      </c>
      <c r="F56" s="31">
        <v>4.8</v>
      </c>
      <c r="G56" s="31">
        <v>4.8</v>
      </c>
      <c r="H56" s="31">
        <f t="shared" si="27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.7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8">D58+D61</f>
        <v>0</v>
      </c>
      <c r="E57" s="31">
        <f t="shared" si="28"/>
        <v>0.5</v>
      </c>
      <c r="F57" s="31">
        <f t="shared" si="28"/>
        <v>0</v>
      </c>
      <c r="G57" s="31">
        <f t="shared" si="28"/>
        <v>0</v>
      </c>
      <c r="H57" s="17">
        <f t="shared" si="27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.7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29">D59+D60</f>
        <v>0</v>
      </c>
      <c r="E58" s="71">
        <f t="shared" si="29"/>
        <v>0.30000000000000004</v>
      </c>
      <c r="F58" s="71">
        <f t="shared" si="29"/>
        <v>0</v>
      </c>
      <c r="G58" s="71">
        <f t="shared" si="29"/>
        <v>0</v>
      </c>
      <c r="H58" s="17">
        <f t="shared" si="27"/>
        <v>0</v>
      </c>
      <c r="I58" s="71"/>
      <c r="J58" s="138"/>
      <c r="K58" s="97"/>
      <c r="L58" s="97"/>
      <c r="M58" s="97"/>
      <c r="N58" s="97"/>
      <c r="O58" s="97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0.7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7">
        <f t="shared" si="27"/>
        <v>0</v>
      </c>
      <c r="I59" s="31"/>
      <c r="J59" s="135"/>
      <c r="K59" s="137"/>
      <c r="L59" s="137"/>
      <c r="M59" s="137"/>
      <c r="N59" s="137"/>
      <c r="O59" s="13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.7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7">
        <f t="shared" si="27"/>
        <v>0</v>
      </c>
      <c r="I60" s="31"/>
      <c r="J60" s="135"/>
      <c r="K60" s="137"/>
      <c r="L60" s="137"/>
      <c r="M60" s="137"/>
      <c r="N60" s="137"/>
      <c r="O60" s="13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.7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0">D62+D63</f>
        <v>0</v>
      </c>
      <c r="E61" s="71">
        <f t="shared" si="30"/>
        <v>0.2</v>
      </c>
      <c r="F61" s="71">
        <f t="shared" si="30"/>
        <v>0</v>
      </c>
      <c r="G61" s="71">
        <f t="shared" si="30"/>
        <v>0</v>
      </c>
      <c r="H61" s="17">
        <f t="shared" si="27"/>
        <v>0</v>
      </c>
      <c r="I61" s="71"/>
      <c r="J61" s="135"/>
      <c r="K61" s="97"/>
      <c r="L61" s="138"/>
      <c r="M61" s="138"/>
      <c r="N61" s="138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0.7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0.1</v>
      </c>
      <c r="F62" s="31">
        <v>0</v>
      </c>
      <c r="G62" s="31">
        <v>0</v>
      </c>
      <c r="H62" s="17">
        <f t="shared" si="27"/>
        <v>0</v>
      </c>
      <c r="I62" s="31"/>
      <c r="J62" s="135"/>
      <c r="K62" s="137"/>
      <c r="L62" s="137"/>
      <c r="M62" s="137"/>
      <c r="N62" s="137"/>
      <c r="O62" s="13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.7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7"/>
        <v>0</v>
      </c>
      <c r="I63" s="31"/>
      <c r="J63" s="135"/>
      <c r="K63" s="137"/>
      <c r="L63" s="137"/>
      <c r="M63" s="137"/>
      <c r="N63" s="137"/>
      <c r="O63" s="13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.7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F64" si="31">D65+D66</f>
        <v>0</v>
      </c>
      <c r="E64" s="17">
        <f t="shared" si="31"/>
        <v>0</v>
      </c>
      <c r="F64" s="17">
        <f t="shared" si="31"/>
        <v>0</v>
      </c>
      <c r="G64" s="17"/>
      <c r="H64" s="17"/>
      <c r="I64" s="17"/>
      <c r="J64" s="135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.75" customHeight="1" x14ac:dyDescent="0.25">
      <c r="A65" s="30" t="s">
        <v>47</v>
      </c>
      <c r="B65" s="58" t="s">
        <v>45</v>
      </c>
      <c r="C65" s="30" t="s">
        <v>18</v>
      </c>
      <c r="D65" s="31"/>
      <c r="E65" s="31"/>
      <c r="F65" s="31"/>
      <c r="G65" s="31"/>
      <c r="H65" s="17"/>
      <c r="I65" s="31"/>
      <c r="J65" s="135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.7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.7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2">D68+D71</f>
        <v>12.479999999999999</v>
      </c>
      <c r="E67" s="17">
        <f t="shared" si="32"/>
        <v>9.81</v>
      </c>
      <c r="F67" s="17">
        <f t="shared" si="32"/>
        <v>9.68</v>
      </c>
      <c r="G67" s="17">
        <f t="shared" si="32"/>
        <v>9.68</v>
      </c>
      <c r="H67" s="17">
        <f>F67/E67*100</f>
        <v>98.674821610601413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.7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F68" si="33">D69+D70</f>
        <v>0</v>
      </c>
      <c r="E68" s="17">
        <f t="shared" si="33"/>
        <v>0</v>
      </c>
      <c r="F68" s="17">
        <f t="shared" si="33"/>
        <v>0</v>
      </c>
      <c r="G68" s="17"/>
      <c r="H68" s="17"/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.75" customHeight="1" x14ac:dyDescent="0.25">
      <c r="A69" s="30" t="s">
        <v>47</v>
      </c>
      <c r="B69" s="58" t="s">
        <v>69</v>
      </c>
      <c r="C69" s="30" t="s">
        <v>18</v>
      </c>
      <c r="D69" s="31"/>
      <c r="E69" s="31"/>
      <c r="F69" s="31"/>
      <c r="G69" s="31"/>
      <c r="H69" s="17"/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.75" customHeight="1" x14ac:dyDescent="0.25">
      <c r="A70" s="30" t="s">
        <v>47</v>
      </c>
      <c r="B70" s="58" t="s">
        <v>70</v>
      </c>
      <c r="C70" s="30" t="s">
        <v>18</v>
      </c>
      <c r="D70" s="31"/>
      <c r="E70" s="31"/>
      <c r="F70" s="31"/>
      <c r="G70" s="31"/>
      <c r="H70" s="17"/>
      <c r="I70" s="31"/>
      <c r="J70" s="126"/>
      <c r="K70" s="126"/>
      <c r="L70" s="126"/>
      <c r="M70" s="126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.7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4">D72+D73</f>
        <v>12.479999999999999</v>
      </c>
      <c r="E71" s="17">
        <f t="shared" si="34"/>
        <v>9.81</v>
      </c>
      <c r="F71" s="17">
        <f t="shared" si="34"/>
        <v>9.68</v>
      </c>
      <c r="G71" s="17">
        <f t="shared" si="34"/>
        <v>9.68</v>
      </c>
      <c r="H71" s="17">
        <f t="shared" ref="H71:H75" si="35">F71/E71*100</f>
        <v>98.674821610601413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.7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6">D75+D82</f>
        <v>11.54</v>
      </c>
      <c r="E72" s="87">
        <f t="shared" si="36"/>
        <v>9.68</v>
      </c>
      <c r="F72" s="87">
        <f t="shared" si="36"/>
        <v>9.68</v>
      </c>
      <c r="G72" s="87">
        <f t="shared" si="36"/>
        <v>9.68</v>
      </c>
      <c r="H72" s="17">
        <f t="shared" si="35"/>
        <v>100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.7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7">D76+D83</f>
        <v>0.94</v>
      </c>
      <c r="E73" s="17">
        <f t="shared" si="37"/>
        <v>0.13</v>
      </c>
      <c r="F73" s="17">
        <f t="shared" si="37"/>
        <v>0</v>
      </c>
      <c r="G73" s="17">
        <f t="shared" si="37"/>
        <v>0</v>
      </c>
      <c r="H73" s="17">
        <f t="shared" si="35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.7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38">D75+D76</f>
        <v>9.18</v>
      </c>
      <c r="E74" s="91">
        <f t="shared" si="38"/>
        <v>9.18</v>
      </c>
      <c r="F74" s="91">
        <f t="shared" si="38"/>
        <v>9.18</v>
      </c>
      <c r="G74" s="91">
        <f t="shared" si="38"/>
        <v>9.18</v>
      </c>
      <c r="H74" s="17">
        <f t="shared" si="35"/>
        <v>100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0.75" customHeight="1" x14ac:dyDescent="0.25">
      <c r="A75" s="57" t="s">
        <v>32</v>
      </c>
      <c r="B75" s="93" t="s">
        <v>45</v>
      </c>
      <c r="C75" s="30" t="s">
        <v>18</v>
      </c>
      <c r="D75" s="60">
        <f>7.74+1</f>
        <v>8.74</v>
      </c>
      <c r="E75" s="60">
        <f>D75+D76</f>
        <v>9.18</v>
      </c>
      <c r="F75" s="31">
        <v>9.18</v>
      </c>
      <c r="G75" s="31">
        <v>9.18</v>
      </c>
      <c r="H75" s="31">
        <f t="shared" si="35"/>
        <v>100</v>
      </c>
      <c r="I75" s="31"/>
      <c r="J75" s="126"/>
      <c r="K75" s="126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0.7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39">SUM(D77:D80)</f>
        <v>0.44</v>
      </c>
      <c r="E76" s="141">
        <f t="shared" si="39"/>
        <v>0</v>
      </c>
      <c r="F76" s="141">
        <f t="shared" si="39"/>
        <v>0</v>
      </c>
      <c r="G76" s="141">
        <f t="shared" si="39"/>
        <v>0</v>
      </c>
      <c r="H76" s="17"/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0.75" customHeight="1" x14ac:dyDescent="0.25">
      <c r="A77" s="46" t="s">
        <v>47</v>
      </c>
      <c r="B77" s="94" t="s">
        <v>80</v>
      </c>
      <c r="C77" s="46" t="s">
        <v>18</v>
      </c>
      <c r="D77" s="31"/>
      <c r="E77" s="31"/>
      <c r="F77" s="31"/>
      <c r="G77" s="31"/>
      <c r="H77" s="17"/>
      <c r="I77" s="31"/>
      <c r="J77" s="138"/>
      <c r="K77" s="138"/>
      <c r="L77" s="97"/>
      <c r="M77" s="143"/>
      <c r="N77" s="143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 x14ac:dyDescent="0.25">
      <c r="A78" s="46" t="s">
        <v>47</v>
      </c>
      <c r="B78" s="94" t="s">
        <v>81</v>
      </c>
      <c r="C78" s="46" t="s">
        <v>18</v>
      </c>
      <c r="D78" s="31"/>
      <c r="E78" s="31">
        <v>0</v>
      </c>
      <c r="F78" s="31"/>
      <c r="G78" s="31"/>
      <c r="H78" s="17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0.75" customHeight="1" x14ac:dyDescent="0.25">
      <c r="A79" s="46" t="s">
        <v>47</v>
      </c>
      <c r="B79" s="94" t="s">
        <v>82</v>
      </c>
      <c r="C79" s="46" t="s">
        <v>18</v>
      </c>
      <c r="D79" s="31">
        <v>0.44</v>
      </c>
      <c r="E79" s="31"/>
      <c r="F79" s="31"/>
      <c r="G79" s="31"/>
      <c r="H79" s="17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0.75" customHeight="1" x14ac:dyDescent="0.25">
      <c r="A80" s="46" t="s">
        <v>47</v>
      </c>
      <c r="B80" s="144" t="s">
        <v>83</v>
      </c>
      <c r="C80" s="46" t="s">
        <v>18</v>
      </c>
      <c r="D80" s="31"/>
      <c r="E80" s="31"/>
      <c r="F80" s="31"/>
      <c r="G80" s="31"/>
      <c r="H80" s="17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0">D82+D83</f>
        <v>3.3</v>
      </c>
      <c r="E81" s="91">
        <f t="shared" si="40"/>
        <v>0.63</v>
      </c>
      <c r="F81" s="91">
        <f t="shared" si="40"/>
        <v>0.5</v>
      </c>
      <c r="G81" s="91">
        <f t="shared" si="40"/>
        <v>0.5</v>
      </c>
      <c r="H81" s="17">
        <f t="shared" ref="H81:H83" si="41">F81/E81*100</f>
        <v>79.365079365079367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0.75" customHeight="1" x14ac:dyDescent="0.25">
      <c r="A82" s="107" t="s">
        <v>47</v>
      </c>
      <c r="B82" s="94" t="s">
        <v>85</v>
      </c>
      <c r="C82" s="46" t="s">
        <v>18</v>
      </c>
      <c r="D82" s="71">
        <v>2.8</v>
      </c>
      <c r="E82" s="71">
        <v>0.5</v>
      </c>
      <c r="F82" s="71">
        <v>0.5</v>
      </c>
      <c r="G82" s="71">
        <v>0.5</v>
      </c>
      <c r="H82" s="71">
        <f t="shared" si="41"/>
        <v>100</v>
      </c>
      <c r="I82" s="71"/>
      <c r="J82" s="138"/>
      <c r="K82" s="142"/>
      <c r="L82" s="143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0.7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2">SUM(D84:D87)</f>
        <v>0.5</v>
      </c>
      <c r="E83" s="60">
        <f t="shared" si="42"/>
        <v>0.13</v>
      </c>
      <c r="F83" s="60">
        <f t="shared" si="42"/>
        <v>0</v>
      </c>
      <c r="G83" s="60">
        <f t="shared" si="42"/>
        <v>0</v>
      </c>
      <c r="H83" s="17">
        <f t="shared" si="41"/>
        <v>0</v>
      </c>
      <c r="I83" s="60"/>
      <c r="J83" s="138"/>
      <c r="K83" s="138"/>
      <c r="L83" s="97"/>
      <c r="M83" s="97"/>
      <c r="N83" s="97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0.7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31"/>
      <c r="I84" s="31"/>
      <c r="J84" s="97"/>
      <c r="K84" s="97"/>
      <c r="L84" s="97"/>
      <c r="M84" s="97"/>
      <c r="N84" s="9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.7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31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.7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31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0.75" customHeight="1" x14ac:dyDescent="0.25">
      <c r="A87" s="107" t="s">
        <v>47</v>
      </c>
      <c r="B87" s="94" t="s">
        <v>89</v>
      </c>
      <c r="C87" s="46" t="s">
        <v>18</v>
      </c>
      <c r="D87" s="31">
        <v>0.5</v>
      </c>
      <c r="E87" s="31">
        <v>0.13</v>
      </c>
      <c r="F87" s="31">
        <v>0</v>
      </c>
      <c r="G87" s="31">
        <v>0</v>
      </c>
      <c r="H87" s="17">
        <f t="shared" ref="H87:H91" si="43">F87/E87*100</f>
        <v>0</v>
      </c>
      <c r="I87" s="31"/>
      <c r="J87" s="97"/>
      <c r="K87" s="97"/>
      <c r="L87" s="97"/>
      <c r="M87" s="196"/>
      <c r="N87" s="196"/>
      <c r="O87" s="33"/>
      <c r="P87" s="33"/>
      <c r="Q87" s="33"/>
      <c r="R87" s="153"/>
      <c r="S87" s="153"/>
      <c r="T87" s="1"/>
      <c r="U87" s="1"/>
      <c r="V87" s="1"/>
      <c r="W87" s="1"/>
      <c r="X87" s="1"/>
      <c r="Y87" s="1"/>
      <c r="Z87" s="1"/>
    </row>
    <row r="88" spans="1:26" ht="30.75" customHeight="1" x14ac:dyDescent="0.25">
      <c r="A88" s="15" t="s">
        <v>90</v>
      </c>
      <c r="B88" s="24" t="s">
        <v>91</v>
      </c>
      <c r="C88" s="15"/>
      <c r="D88" s="17">
        <f t="shared" ref="D88:G88" si="44">SUM(D89:D93)</f>
        <v>344</v>
      </c>
      <c r="E88" s="17">
        <f t="shared" si="44"/>
        <v>328</v>
      </c>
      <c r="F88" s="17">
        <f t="shared" si="44"/>
        <v>275</v>
      </c>
      <c r="G88" s="17">
        <f t="shared" si="44"/>
        <v>275</v>
      </c>
      <c r="H88" s="17">
        <f t="shared" si="43"/>
        <v>83.841463414634148</v>
      </c>
      <c r="I88" s="17"/>
      <c r="J88" s="28"/>
      <c r="K88" s="28"/>
      <c r="L88" s="134"/>
      <c r="M88" s="134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.75" customHeight="1" x14ac:dyDescent="0.25">
      <c r="A89" s="30">
        <v>1</v>
      </c>
      <c r="B89" s="27" t="s">
        <v>92</v>
      </c>
      <c r="C89" s="30" t="s">
        <v>93</v>
      </c>
      <c r="D89" s="31">
        <f>29+5</f>
        <v>34</v>
      </c>
      <c r="E89" s="31">
        <f>30+16</f>
        <v>46</v>
      </c>
      <c r="F89" s="31">
        <v>44</v>
      </c>
      <c r="G89" s="31">
        <f t="shared" ref="G89:G91" si="45">F89</f>
        <v>44</v>
      </c>
      <c r="H89" s="31">
        <f t="shared" si="43"/>
        <v>95.652173913043484</v>
      </c>
      <c r="I89" s="31"/>
      <c r="J89" s="55"/>
      <c r="K89" s="176"/>
      <c r="L89" s="171"/>
      <c r="M89" s="172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0.75" customHeight="1" x14ac:dyDescent="0.25">
      <c r="A90" s="30">
        <v>2</v>
      </c>
      <c r="B90" s="27" t="s">
        <v>94</v>
      </c>
      <c r="C90" s="30" t="s">
        <v>93</v>
      </c>
      <c r="D90" s="31">
        <f>49+5</f>
        <v>54</v>
      </c>
      <c r="E90" s="31">
        <f>50+8</f>
        <v>58</v>
      </c>
      <c r="F90" s="31">
        <v>56</v>
      </c>
      <c r="G90" s="31">
        <f t="shared" si="45"/>
        <v>56</v>
      </c>
      <c r="H90" s="31">
        <f t="shared" si="43"/>
        <v>96.551724137931032</v>
      </c>
      <c r="I90" s="31"/>
      <c r="J90" s="55"/>
      <c r="K90" s="176"/>
      <c r="L90" s="171"/>
      <c r="M90" s="172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0.75" customHeight="1" x14ac:dyDescent="0.25">
      <c r="A91" s="30">
        <v>3</v>
      </c>
      <c r="B91" s="27" t="s">
        <v>97</v>
      </c>
      <c r="C91" s="30" t="s">
        <v>93</v>
      </c>
      <c r="D91" s="31">
        <f>33-5</f>
        <v>28</v>
      </c>
      <c r="E91" s="31">
        <f>29+9</f>
        <v>38</v>
      </c>
      <c r="F91" s="31">
        <v>32</v>
      </c>
      <c r="G91" s="31">
        <f t="shared" si="45"/>
        <v>32</v>
      </c>
      <c r="H91" s="31">
        <f t="shared" si="43"/>
        <v>84.210526315789465</v>
      </c>
      <c r="I91" s="31"/>
      <c r="J91" s="55"/>
      <c r="K91" s="79"/>
      <c r="L91" s="171"/>
      <c r="M91" s="172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0.75" customHeight="1" x14ac:dyDescent="0.25">
      <c r="A92" s="30">
        <v>4</v>
      </c>
      <c r="B92" s="27" t="s">
        <v>98</v>
      </c>
      <c r="C92" s="30" t="s">
        <v>93</v>
      </c>
      <c r="D92" s="31"/>
      <c r="E92" s="31"/>
      <c r="F92" s="31"/>
      <c r="G92" s="31"/>
      <c r="H92" s="17"/>
      <c r="I92" s="31"/>
      <c r="J92" s="28"/>
      <c r="K92" s="28"/>
      <c r="L92" s="174"/>
      <c r="M92" s="172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.75" customHeight="1" x14ac:dyDescent="0.25">
      <c r="A93" s="30">
        <v>5</v>
      </c>
      <c r="B93" s="27" t="s">
        <v>99</v>
      </c>
      <c r="C93" s="30" t="s">
        <v>93</v>
      </c>
      <c r="D93" s="31">
        <f>213+15</f>
        <v>228</v>
      </c>
      <c r="E93" s="31">
        <f>206-20</f>
        <v>186</v>
      </c>
      <c r="F93" s="31">
        <v>143</v>
      </c>
      <c r="G93" s="31">
        <f>F93</f>
        <v>143</v>
      </c>
      <c r="H93" s="31">
        <f>F93/E93*100</f>
        <v>76.881720430107521</v>
      </c>
      <c r="I93" s="31"/>
      <c r="J93" s="79"/>
      <c r="K93" s="79"/>
      <c r="L93" s="174"/>
      <c r="M93" s="172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0.7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6">D95</f>
        <v>0</v>
      </c>
      <c r="E94" s="17">
        <f t="shared" si="46"/>
        <v>0</v>
      </c>
      <c r="F94" s="17">
        <f t="shared" si="46"/>
        <v>0</v>
      </c>
      <c r="G94" s="17">
        <f t="shared" si="46"/>
        <v>0</v>
      </c>
      <c r="H94" s="17"/>
      <c r="I94" s="17"/>
      <c r="J94" s="19"/>
      <c r="K94" s="65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0.75" customHeight="1" x14ac:dyDescent="0.25">
      <c r="A95" s="46" t="s">
        <v>47</v>
      </c>
      <c r="B95" s="76" t="s">
        <v>102</v>
      </c>
      <c r="C95" s="46" t="s">
        <v>18</v>
      </c>
      <c r="D95" s="31"/>
      <c r="E95" s="31"/>
      <c r="F95" s="31"/>
      <c r="G95" s="31"/>
      <c r="H95" s="17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.7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7">D97+D98</f>
        <v>2.8</v>
      </c>
      <c r="E96" s="17">
        <f t="shared" si="47"/>
        <v>2.75</v>
      </c>
      <c r="F96" s="17">
        <f t="shared" si="47"/>
        <v>0</v>
      </c>
      <c r="G96" s="17">
        <f t="shared" si="47"/>
        <v>0</v>
      </c>
      <c r="H96" s="17">
        <f t="shared" ref="H96:H98" si="48">F96/E96*100</f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.75" customHeight="1" x14ac:dyDescent="0.25">
      <c r="A97" s="30" t="s">
        <v>47</v>
      </c>
      <c r="B97" s="93" t="s">
        <v>263</v>
      </c>
      <c r="C97" s="46" t="s">
        <v>18</v>
      </c>
      <c r="D97" s="31"/>
      <c r="E97" s="31">
        <v>2.1</v>
      </c>
      <c r="F97" s="31"/>
      <c r="G97" s="31"/>
      <c r="H97" s="17">
        <f t="shared" si="48"/>
        <v>0</v>
      </c>
      <c r="I97" s="31"/>
      <c r="J97" s="28"/>
      <c r="K97" s="115"/>
      <c r="L97" s="35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.75" customHeight="1" x14ac:dyDescent="0.25">
      <c r="A98" s="123" t="s">
        <v>47</v>
      </c>
      <c r="B98" s="93" t="s">
        <v>109</v>
      </c>
      <c r="C98" s="46" t="s">
        <v>18</v>
      </c>
      <c r="D98" s="31">
        <v>2.8</v>
      </c>
      <c r="E98" s="31">
        <f>1.9-1.25</f>
        <v>0.64999999999999991</v>
      </c>
      <c r="F98" s="31"/>
      <c r="G98" s="31"/>
      <c r="H98" s="17">
        <f t="shared" si="48"/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5000000000000004" bottom="0.46" header="0" footer="0"/>
  <pageSetup scale="95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21875" customWidth="1"/>
    <col min="2" max="2" width="30.5546875" customWidth="1"/>
    <col min="3" max="3" width="10.21875" customWidth="1"/>
    <col min="4" max="5" width="16.77734375" customWidth="1"/>
    <col min="6" max="9" width="12.6640625" customWidth="1"/>
    <col min="10" max="10" width="8.88671875" customWidth="1"/>
    <col min="11" max="11" width="21.21875" customWidth="1"/>
    <col min="12" max="14" width="8.88671875" customWidth="1"/>
    <col min="15" max="23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274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'ĐĂK NEANG(8)'!A5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60">
        <v>117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60">
        <v>850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185.26</v>
      </c>
      <c r="E9" s="17">
        <f t="shared" si="0"/>
        <v>191.57999999999998</v>
      </c>
      <c r="F9" s="17">
        <f t="shared" si="0"/>
        <v>155.47</v>
      </c>
      <c r="G9" s="17">
        <f t="shared" si="0"/>
        <v>155.47</v>
      </c>
      <c r="H9" s="17">
        <f t="shared" ref="H9:H24" si="1">F9/E9*100</f>
        <v>81.151477189685778</v>
      </c>
      <c r="I9" s="17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3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27.1</v>
      </c>
      <c r="F10" s="17">
        <f t="shared" si="2"/>
        <v>3.08</v>
      </c>
      <c r="G10" s="17">
        <f t="shared" si="2"/>
        <v>3.08</v>
      </c>
      <c r="H10" s="17">
        <f t="shared" si="1"/>
        <v>11.365313653136532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3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72.424350000000004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133"/>
      <c r="K11" s="133"/>
      <c r="L11" s="133"/>
      <c r="M11" s="133"/>
      <c r="N11" s="133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3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68.734350000000006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133"/>
      <c r="K12" s="133"/>
      <c r="L12" s="133"/>
      <c r="M12" s="133"/>
      <c r="N12" s="133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3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26.1</v>
      </c>
      <c r="F13" s="17">
        <f t="shared" si="5"/>
        <v>2.08</v>
      </c>
      <c r="G13" s="17">
        <f t="shared" si="5"/>
        <v>2.08</v>
      </c>
      <c r="H13" s="17">
        <f t="shared" si="1"/>
        <v>7.969348659003832</v>
      </c>
      <c r="I13" s="17"/>
      <c r="J13" s="126"/>
      <c r="K13" s="53"/>
      <c r="L13" s="53"/>
      <c r="M13" s="53"/>
      <c r="N13" s="5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26.335000000000001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68.734350000000006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2.08</v>
      </c>
      <c r="F16" s="17">
        <v>2.08</v>
      </c>
      <c r="G16" s="17">
        <v>2.08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6.9680000000000009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24.02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28"/>
      <c r="O19" s="2"/>
      <c r="P19" s="86"/>
      <c r="Q19" s="86"/>
      <c r="R19" s="86"/>
      <c r="S19" s="86"/>
      <c r="T19" s="86"/>
      <c r="U19" s="86"/>
      <c r="V19" s="1"/>
      <c r="W19" s="1"/>
      <c r="X19" s="1"/>
      <c r="Y19" s="1"/>
      <c r="Z19" s="1"/>
    </row>
    <row r="20" spans="1:26" ht="33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19.170000000000002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28"/>
      <c r="M20" s="28"/>
      <c r="N20" s="28"/>
      <c r="O20" s="2"/>
      <c r="P20" s="86"/>
      <c r="Q20" s="86"/>
      <c r="R20" s="86"/>
      <c r="S20" s="86"/>
      <c r="T20" s="86"/>
      <c r="U20" s="86"/>
      <c r="V20" s="1"/>
      <c r="W20" s="1"/>
      <c r="X20" s="1"/>
      <c r="Y20" s="1"/>
      <c r="Z20" s="1"/>
    </row>
    <row r="21" spans="1:26" ht="33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46.046340000000001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28"/>
      <c r="M21" s="28"/>
      <c r="N21" s="28"/>
      <c r="O21" s="2"/>
      <c r="P21" s="86"/>
      <c r="Q21" s="86"/>
      <c r="R21" s="86"/>
      <c r="S21" s="86"/>
      <c r="T21" s="86"/>
      <c r="U21" s="86"/>
      <c r="V21" s="1"/>
      <c r="W21" s="1"/>
      <c r="X21" s="1"/>
      <c r="Y21" s="1"/>
      <c r="Z21" s="1"/>
    </row>
    <row r="22" spans="1:26" ht="33" customHeight="1" x14ac:dyDescent="0.25">
      <c r="A22" s="40" t="s">
        <v>32</v>
      </c>
      <c r="B22" s="41" t="s">
        <v>33</v>
      </c>
      <c r="C22" s="40" t="s">
        <v>18</v>
      </c>
      <c r="D22" s="96"/>
      <c r="E22" s="96">
        <v>24.02</v>
      </c>
      <c r="F22" s="31">
        <v>0</v>
      </c>
      <c r="G22" s="96">
        <v>0</v>
      </c>
      <c r="H22" s="17">
        <f t="shared" si="1"/>
        <v>0</v>
      </c>
      <c r="I22" s="31"/>
      <c r="J22" s="53"/>
      <c r="K22" s="53"/>
      <c r="L22" s="53"/>
      <c r="M22" s="53"/>
      <c r="N22" s="53"/>
      <c r="O22" s="33"/>
      <c r="P22" s="152"/>
      <c r="Q22" s="152"/>
      <c r="R22" s="152"/>
      <c r="S22" s="152"/>
      <c r="T22" s="152"/>
      <c r="U22" s="86"/>
      <c r="V22" s="1"/>
      <c r="W22" s="1"/>
      <c r="X22" s="1"/>
      <c r="Y22" s="1"/>
      <c r="Z22" s="1"/>
    </row>
    <row r="23" spans="1:26" ht="33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3"/>
      <c r="K23" s="53"/>
      <c r="L23" s="53"/>
      <c r="M23" s="53"/>
      <c r="N23" s="53"/>
      <c r="O23" s="33"/>
      <c r="P23" s="152"/>
      <c r="Q23" s="152"/>
      <c r="R23" s="152"/>
      <c r="S23" s="152"/>
      <c r="T23" s="152"/>
      <c r="U23" s="86"/>
      <c r="V23" s="1"/>
      <c r="W23" s="1"/>
      <c r="X23" s="1"/>
      <c r="Y23" s="1"/>
      <c r="Z23" s="1"/>
    </row>
    <row r="24" spans="1:26" ht="33" customHeight="1" x14ac:dyDescent="0.25">
      <c r="A24" s="40"/>
      <c r="B24" s="27" t="s">
        <v>27</v>
      </c>
      <c r="C24" s="30" t="s">
        <v>21</v>
      </c>
      <c r="D24" s="17"/>
      <c r="E24" s="31">
        <f t="shared" ref="E24:G24" si="12">E22*E23/10</f>
        <v>92.092680000000001</v>
      </c>
      <c r="F24" s="31">
        <f t="shared" si="12"/>
        <v>0</v>
      </c>
      <c r="G24" s="31">
        <f t="shared" si="12"/>
        <v>0</v>
      </c>
      <c r="H24" s="17">
        <f t="shared" si="1"/>
        <v>0</v>
      </c>
      <c r="I24" s="31"/>
      <c r="J24" s="53"/>
      <c r="K24" s="176"/>
      <c r="L24" s="53"/>
      <c r="M24" s="53"/>
      <c r="N24" s="53"/>
      <c r="O24" s="33"/>
      <c r="P24" s="152"/>
      <c r="Q24" s="152"/>
      <c r="R24" s="152"/>
      <c r="S24" s="152"/>
      <c r="T24" s="152"/>
      <c r="U24" s="86"/>
      <c r="V24" s="1"/>
      <c r="W24" s="1"/>
      <c r="X24" s="1"/>
      <c r="Y24" s="1"/>
      <c r="Z24" s="1"/>
    </row>
    <row r="25" spans="1:26" ht="33" customHeight="1" x14ac:dyDescent="0.25">
      <c r="A25" s="40" t="s">
        <v>32</v>
      </c>
      <c r="B25" s="41" t="s">
        <v>34</v>
      </c>
      <c r="C25" s="40" t="s">
        <v>18</v>
      </c>
      <c r="D25" s="17"/>
      <c r="E25" s="17"/>
      <c r="F25" s="31">
        <v>0</v>
      </c>
      <c r="G25" s="31">
        <v>0</v>
      </c>
      <c r="H25" s="17"/>
      <c r="I25" s="31"/>
      <c r="J25" s="154"/>
      <c r="K25" s="154"/>
      <c r="L25" s="154"/>
      <c r="M25" s="154"/>
      <c r="N25" s="154"/>
      <c r="O25" s="153"/>
      <c r="P25" s="153"/>
      <c r="Q25" s="153"/>
      <c r="R25" s="153"/>
      <c r="S25" s="153"/>
      <c r="T25" s="153"/>
      <c r="U25" s="1"/>
      <c r="V25" s="1"/>
      <c r="W25" s="1"/>
      <c r="X25" s="1"/>
      <c r="Y25" s="1"/>
      <c r="Z25" s="1"/>
    </row>
    <row r="26" spans="1:26" ht="33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/>
      <c r="G26" s="31"/>
      <c r="H26" s="17"/>
      <c r="I26" s="31"/>
      <c r="J26" s="154"/>
      <c r="K26" s="154"/>
      <c r="L26" s="154"/>
      <c r="M26" s="154"/>
      <c r="N26" s="154"/>
      <c r="O26" s="153"/>
      <c r="P26" s="153"/>
      <c r="Q26" s="153"/>
      <c r="R26" s="153"/>
      <c r="S26" s="153"/>
      <c r="T26" s="153"/>
      <c r="U26" s="1"/>
      <c r="V26" s="1"/>
      <c r="W26" s="1"/>
      <c r="X26" s="1"/>
      <c r="Y26" s="1"/>
      <c r="Z26" s="1"/>
    </row>
    <row r="27" spans="1:26" ht="33" customHeight="1" x14ac:dyDescent="0.25">
      <c r="A27" s="40"/>
      <c r="B27" s="27" t="s">
        <v>27</v>
      </c>
      <c r="C27" s="30" t="s">
        <v>21</v>
      </c>
      <c r="D27" s="17"/>
      <c r="E27" s="17"/>
      <c r="F27" s="31"/>
      <c r="G27" s="31"/>
      <c r="H27" s="17"/>
      <c r="I27" s="31"/>
      <c r="J27" s="154"/>
      <c r="K27" s="154"/>
      <c r="L27" s="154"/>
      <c r="M27" s="154"/>
      <c r="N27" s="154"/>
      <c r="O27" s="153"/>
      <c r="P27" s="153"/>
      <c r="Q27" s="153"/>
      <c r="R27" s="153"/>
      <c r="S27" s="153"/>
      <c r="T27" s="153"/>
      <c r="U27" s="1"/>
      <c r="V27" s="1"/>
      <c r="W27" s="1"/>
      <c r="X27" s="1"/>
      <c r="Y27" s="1"/>
      <c r="Z27" s="1"/>
    </row>
    <row r="28" spans="1:26" ht="33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17">
        <f t="shared" ref="H28:H30" si="14">F28/E28*100</f>
        <v>100</v>
      </c>
      <c r="I28" s="17"/>
      <c r="J28" s="154"/>
      <c r="K28" s="154"/>
      <c r="L28" s="154"/>
      <c r="M28" s="154"/>
      <c r="N28" s="154"/>
      <c r="O28" s="153"/>
      <c r="P28" s="153"/>
      <c r="Q28" s="153"/>
      <c r="R28" s="153"/>
      <c r="S28" s="153"/>
      <c r="T28" s="153"/>
      <c r="U28" s="1"/>
      <c r="V28" s="1"/>
      <c r="W28" s="1"/>
      <c r="X28" s="1"/>
      <c r="Y28" s="1"/>
      <c r="Z28" s="1"/>
    </row>
    <row r="29" spans="1:26" ht="33" customHeight="1" x14ac:dyDescent="0.25">
      <c r="A29" s="15"/>
      <c r="B29" s="27" t="s">
        <v>25</v>
      </c>
      <c r="C29" s="30" t="s">
        <v>26</v>
      </c>
      <c r="D29" s="31">
        <f t="shared" ref="D29:G29" si="15">D35</f>
        <v>36.85</v>
      </c>
      <c r="E29" s="31">
        <f t="shared" si="15"/>
        <v>36.9</v>
      </c>
      <c r="F29" s="31">
        <f t="shared" si="15"/>
        <v>0</v>
      </c>
      <c r="G29" s="31">
        <f t="shared" si="15"/>
        <v>0</v>
      </c>
      <c r="H29" s="17">
        <f t="shared" si="14"/>
        <v>0</v>
      </c>
      <c r="I29" s="31"/>
      <c r="J29" s="154"/>
      <c r="K29" s="154"/>
      <c r="L29" s="154"/>
      <c r="M29" s="154"/>
      <c r="N29" s="154"/>
      <c r="O29" s="153"/>
      <c r="P29" s="153"/>
      <c r="Q29" s="153"/>
      <c r="R29" s="153"/>
      <c r="S29" s="153"/>
      <c r="T29" s="153"/>
      <c r="U29" s="1"/>
      <c r="V29" s="1"/>
      <c r="W29" s="1"/>
      <c r="X29" s="1"/>
      <c r="Y29" s="1"/>
      <c r="Z29" s="1"/>
    </row>
    <row r="30" spans="1:26" ht="33" customHeight="1" x14ac:dyDescent="0.25">
      <c r="A30" s="15"/>
      <c r="B30" s="27" t="s">
        <v>27</v>
      </c>
      <c r="C30" s="30" t="s">
        <v>21</v>
      </c>
      <c r="D30" s="31">
        <f t="shared" ref="D30:G30" si="16">D28*D29/10</f>
        <v>3.6850000000000001</v>
      </c>
      <c r="E30" s="31">
        <f t="shared" si="16"/>
        <v>3.69</v>
      </c>
      <c r="F30" s="31">
        <f t="shared" si="16"/>
        <v>0</v>
      </c>
      <c r="G30" s="31">
        <f t="shared" si="16"/>
        <v>0</v>
      </c>
      <c r="H30" s="17">
        <f t="shared" si="14"/>
        <v>0</v>
      </c>
      <c r="I30" s="31"/>
      <c r="J30" s="154"/>
      <c r="K30" s="154"/>
      <c r="L30" s="154"/>
      <c r="M30" s="154"/>
      <c r="N30" s="154"/>
      <c r="O30" s="153"/>
      <c r="P30" s="153"/>
      <c r="Q30" s="153"/>
      <c r="R30" s="153"/>
      <c r="S30" s="153"/>
      <c r="T30" s="153"/>
      <c r="U30" s="1"/>
      <c r="V30" s="1"/>
      <c r="W30" s="1"/>
      <c r="X30" s="1"/>
      <c r="Y30" s="1"/>
      <c r="Z30" s="1"/>
    </row>
    <row r="31" spans="1:26" ht="33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7"/>
      <c r="I31" s="17"/>
      <c r="J31" s="154"/>
      <c r="K31" s="137"/>
      <c r="L31" s="155"/>
      <c r="M31" s="155"/>
      <c r="N31" s="155"/>
      <c r="O31" s="155"/>
      <c r="P31" s="153"/>
      <c r="Q31" s="153"/>
      <c r="R31" s="153"/>
      <c r="S31" s="153"/>
      <c r="T31" s="153"/>
      <c r="U31" s="1"/>
      <c r="V31" s="1"/>
      <c r="W31" s="1"/>
      <c r="X31" s="1"/>
      <c r="Y31" s="1"/>
      <c r="Z31" s="1"/>
    </row>
    <row r="32" spans="1:26" ht="33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154"/>
      <c r="K32" s="137"/>
      <c r="L32" s="155"/>
      <c r="M32" s="155"/>
      <c r="N32" s="155"/>
      <c r="O32" s="155"/>
      <c r="P32" s="153"/>
      <c r="Q32" s="153"/>
      <c r="R32" s="153"/>
      <c r="S32" s="153"/>
      <c r="T32" s="153"/>
      <c r="U32" s="1"/>
      <c r="V32" s="1"/>
      <c r="W32" s="1"/>
      <c r="X32" s="1"/>
      <c r="Y32" s="1"/>
      <c r="Z32" s="1"/>
    </row>
    <row r="33" spans="1:26" ht="33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154"/>
      <c r="K33" s="137"/>
      <c r="L33" s="155"/>
      <c r="M33" s="155"/>
      <c r="N33" s="155"/>
      <c r="O33" s="155"/>
      <c r="P33" s="153"/>
      <c r="Q33" s="153"/>
      <c r="R33" s="153"/>
      <c r="S33" s="153"/>
      <c r="T33" s="153"/>
      <c r="U33" s="1"/>
      <c r="V33" s="1"/>
      <c r="W33" s="1"/>
      <c r="X33" s="1"/>
      <c r="Y33" s="1"/>
      <c r="Z33" s="1"/>
    </row>
    <row r="34" spans="1:26" ht="33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7">
        <f t="shared" ref="H34:H50" si="17">F34/E34*100</f>
        <v>100</v>
      </c>
      <c r="I34" s="17"/>
      <c r="J34" s="154"/>
      <c r="K34" s="44"/>
      <c r="L34" s="44"/>
      <c r="M34" s="44"/>
      <c r="N34" s="44"/>
      <c r="O34" s="44"/>
      <c r="P34" s="153"/>
      <c r="Q34" s="153"/>
      <c r="R34" s="153"/>
      <c r="S34" s="153"/>
      <c r="T34" s="153"/>
      <c r="U34" s="1"/>
      <c r="V34" s="1"/>
      <c r="W34" s="1"/>
      <c r="X34" s="1"/>
      <c r="Y34" s="1"/>
      <c r="Z34" s="1"/>
    </row>
    <row r="35" spans="1:26" ht="33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7"/>
        <v>0</v>
      </c>
      <c r="I35" s="31"/>
      <c r="J35" s="154"/>
      <c r="K35" s="44"/>
      <c r="L35" s="44"/>
      <c r="M35" s="44"/>
      <c r="N35" s="44"/>
      <c r="O35" s="44"/>
      <c r="P35" s="153"/>
      <c r="Q35" s="153"/>
      <c r="R35" s="153"/>
      <c r="S35" s="153"/>
      <c r="T35" s="153"/>
      <c r="U35" s="1"/>
      <c r="V35" s="1"/>
      <c r="W35" s="1"/>
      <c r="X35" s="1"/>
      <c r="Y35" s="1"/>
      <c r="Z35" s="1"/>
    </row>
    <row r="36" spans="1:26" ht="33" customHeight="1" x14ac:dyDescent="0.25">
      <c r="A36" s="40"/>
      <c r="B36" s="27" t="s">
        <v>27</v>
      </c>
      <c r="C36" s="30" t="s">
        <v>21</v>
      </c>
      <c r="D36" s="31">
        <f t="shared" ref="D36:G36" si="18">D34*D35/10</f>
        <v>3.6850000000000001</v>
      </c>
      <c r="E36" s="31">
        <f t="shared" si="18"/>
        <v>3.69</v>
      </c>
      <c r="F36" s="31">
        <f t="shared" si="18"/>
        <v>0</v>
      </c>
      <c r="G36" s="31">
        <f t="shared" si="18"/>
        <v>0</v>
      </c>
      <c r="H36" s="17">
        <f t="shared" si="17"/>
        <v>0</v>
      </c>
      <c r="I36" s="31"/>
      <c r="J36" s="154"/>
      <c r="K36" s="44"/>
      <c r="L36" s="44"/>
      <c r="M36" s="44"/>
      <c r="N36" s="44"/>
      <c r="O36" s="44"/>
      <c r="P36" s="153"/>
      <c r="Q36" s="153"/>
      <c r="R36" s="153"/>
      <c r="S36" s="153"/>
      <c r="T36" s="153"/>
      <c r="U36" s="1"/>
      <c r="V36" s="1"/>
      <c r="W36" s="1"/>
      <c r="X36" s="1"/>
      <c r="Y36" s="1"/>
      <c r="Z36" s="1"/>
    </row>
    <row r="37" spans="1:26" ht="33" customHeight="1" x14ac:dyDescent="0.25">
      <c r="A37" s="15">
        <v>2</v>
      </c>
      <c r="B37" s="16" t="s">
        <v>39</v>
      </c>
      <c r="C37" s="15" t="s">
        <v>18</v>
      </c>
      <c r="D37" s="17">
        <v>114</v>
      </c>
      <c r="E37" s="17">
        <v>99.37</v>
      </c>
      <c r="F37" s="17">
        <v>99.37</v>
      </c>
      <c r="G37" s="17">
        <v>99.37</v>
      </c>
      <c r="H37" s="17">
        <f t="shared" si="17"/>
        <v>100</v>
      </c>
      <c r="I37" s="17"/>
      <c r="J37" s="53"/>
      <c r="K37" s="53"/>
      <c r="L37" s="53"/>
      <c r="M37" s="53"/>
      <c r="N37" s="53"/>
      <c r="O37" s="53"/>
      <c r="P37" s="33"/>
      <c r="Q37" s="33"/>
      <c r="R37" s="33"/>
      <c r="S37" s="33"/>
      <c r="T37" s="33"/>
      <c r="U37" s="33"/>
      <c r="V37" s="33"/>
      <c r="W37" s="33"/>
      <c r="X37" s="1"/>
      <c r="Y37" s="1"/>
      <c r="Z37" s="1"/>
    </row>
    <row r="38" spans="1:26" ht="33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7"/>
        <v>0</v>
      </c>
      <c r="I38" s="31"/>
      <c r="J38" s="53"/>
      <c r="K38" s="53"/>
      <c r="L38" s="53"/>
      <c r="M38" s="53"/>
      <c r="N38" s="53"/>
      <c r="O38" s="53"/>
      <c r="P38" s="33"/>
      <c r="Q38" s="33"/>
      <c r="R38" s="33"/>
      <c r="S38" s="33"/>
      <c r="T38" s="33"/>
      <c r="U38" s="33"/>
      <c r="V38" s="33"/>
      <c r="W38" s="33"/>
      <c r="X38" s="1"/>
      <c r="Y38" s="1"/>
      <c r="Z38" s="1"/>
    </row>
    <row r="39" spans="1:26" ht="33" customHeight="1" x14ac:dyDescent="0.25">
      <c r="A39" s="15"/>
      <c r="B39" s="27" t="s">
        <v>27</v>
      </c>
      <c r="C39" s="30" t="s">
        <v>21</v>
      </c>
      <c r="D39" s="31">
        <f t="shared" ref="D39:G39" si="19">D37*D38/10</f>
        <v>1567.5</v>
      </c>
      <c r="E39" s="31">
        <f t="shared" si="19"/>
        <v>1391.18</v>
      </c>
      <c r="F39" s="31">
        <f t="shared" si="19"/>
        <v>0</v>
      </c>
      <c r="G39" s="31">
        <f t="shared" si="19"/>
        <v>0</v>
      </c>
      <c r="H39" s="17">
        <f t="shared" si="17"/>
        <v>0</v>
      </c>
      <c r="I39" s="31"/>
      <c r="J39" s="53"/>
      <c r="K39" s="53"/>
      <c r="L39" s="53"/>
      <c r="M39" s="53"/>
      <c r="N39" s="53"/>
      <c r="O39" s="53"/>
      <c r="P39" s="33"/>
      <c r="Q39" s="33"/>
      <c r="R39" s="33"/>
      <c r="S39" s="33"/>
      <c r="T39" s="33"/>
      <c r="U39" s="33"/>
      <c r="V39" s="33"/>
      <c r="W39" s="33"/>
      <c r="X39" s="1"/>
      <c r="Y39" s="1"/>
      <c r="Z39" s="1"/>
    </row>
    <row r="40" spans="1:26" ht="33" customHeight="1" x14ac:dyDescent="0.25">
      <c r="A40" s="15">
        <v>3</v>
      </c>
      <c r="B40" s="16" t="s">
        <v>40</v>
      </c>
      <c r="C40" s="15" t="s">
        <v>18</v>
      </c>
      <c r="D40" s="17"/>
      <c r="E40" s="17">
        <v>0.5</v>
      </c>
      <c r="F40" s="17">
        <v>0</v>
      </c>
      <c r="G40" s="17">
        <v>0</v>
      </c>
      <c r="H40" s="17">
        <f t="shared" si="17"/>
        <v>0</v>
      </c>
      <c r="I40" s="31"/>
      <c r="J40" s="53"/>
      <c r="K40" s="53"/>
      <c r="L40" s="53"/>
      <c r="M40" s="53"/>
      <c r="N40" s="53"/>
      <c r="O40" s="53"/>
      <c r="P40" s="33"/>
      <c r="Q40" s="33"/>
      <c r="R40" s="33"/>
      <c r="S40" s="33"/>
      <c r="T40" s="33"/>
      <c r="U40" s="33"/>
      <c r="V40" s="33"/>
      <c r="W40" s="33"/>
      <c r="X40" s="1"/>
      <c r="Y40" s="1"/>
      <c r="Z40" s="1"/>
    </row>
    <row r="41" spans="1:26" ht="33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31"/>
      <c r="G41" s="31"/>
      <c r="H41" s="17">
        <f t="shared" si="17"/>
        <v>0</v>
      </c>
      <c r="I41" s="31"/>
      <c r="J41" s="53"/>
      <c r="K41" s="53"/>
      <c r="L41" s="53"/>
      <c r="M41" s="53"/>
      <c r="N41" s="53"/>
      <c r="O41" s="53"/>
      <c r="P41" s="33"/>
      <c r="Q41" s="33"/>
      <c r="R41" s="33"/>
      <c r="S41" s="33"/>
      <c r="T41" s="33"/>
      <c r="U41" s="33"/>
      <c r="V41" s="33"/>
      <c r="W41" s="33"/>
      <c r="X41" s="1"/>
      <c r="Y41" s="1"/>
      <c r="Z41" s="1"/>
    </row>
    <row r="42" spans="1:26" ht="33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20">E40*E41/10</f>
        <v>1.2050000000000001</v>
      </c>
      <c r="F42" s="31">
        <f t="shared" si="20"/>
        <v>0</v>
      </c>
      <c r="G42" s="31">
        <f t="shared" si="20"/>
        <v>0</v>
      </c>
      <c r="H42" s="17">
        <f t="shared" si="17"/>
        <v>0</v>
      </c>
      <c r="I42" s="31"/>
      <c r="J42" s="53"/>
      <c r="K42" s="53"/>
      <c r="L42" s="53"/>
      <c r="M42" s="53"/>
      <c r="N42" s="53"/>
      <c r="O42" s="53"/>
      <c r="P42" s="33"/>
      <c r="Q42" s="33"/>
      <c r="R42" s="33"/>
      <c r="S42" s="33"/>
      <c r="T42" s="33"/>
      <c r="U42" s="33"/>
      <c r="V42" s="33"/>
      <c r="W42" s="33"/>
      <c r="X42" s="1"/>
      <c r="Y42" s="1"/>
      <c r="Z42" s="1"/>
    </row>
    <row r="43" spans="1:26" ht="33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7"/>
        <v>54</v>
      </c>
      <c r="I43" s="17"/>
      <c r="J43" s="126"/>
      <c r="K43" s="35"/>
      <c r="L43" s="79"/>
      <c r="M43" s="79"/>
      <c r="N43" s="79"/>
      <c r="O43" s="7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3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7"/>
        <v>0</v>
      </c>
      <c r="I44" s="31"/>
      <c r="J44" s="126"/>
      <c r="K44" s="35"/>
      <c r="L44" s="126"/>
      <c r="M44" s="126"/>
      <c r="N44" s="12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3" customHeight="1" x14ac:dyDescent="0.25">
      <c r="A45" s="30"/>
      <c r="B45" s="47" t="s">
        <v>27</v>
      </c>
      <c r="C45" s="48" t="s">
        <v>21</v>
      </c>
      <c r="D45" s="31">
        <f t="shared" ref="D45:G45" si="21">D43*D44/10</f>
        <v>5</v>
      </c>
      <c r="E45" s="31">
        <f t="shared" si="21"/>
        <v>4.9249999999999998</v>
      </c>
      <c r="F45" s="31">
        <f t="shared" si="21"/>
        <v>0</v>
      </c>
      <c r="G45" s="31">
        <f t="shared" si="21"/>
        <v>0</v>
      </c>
      <c r="H45" s="17">
        <f t="shared" si="17"/>
        <v>0</v>
      </c>
      <c r="I45" s="31"/>
      <c r="J45" s="126"/>
      <c r="K45" s="126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3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2">D47+D55+D64</f>
        <v>37.71</v>
      </c>
      <c r="E46" s="17">
        <f t="shared" si="22"/>
        <v>47.31</v>
      </c>
      <c r="F46" s="17">
        <f t="shared" si="22"/>
        <v>38.31</v>
      </c>
      <c r="G46" s="17">
        <f t="shared" si="22"/>
        <v>38.31</v>
      </c>
      <c r="H46" s="17">
        <f t="shared" si="17"/>
        <v>80.976537729866834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3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3">D48+D49</f>
        <v>29.21</v>
      </c>
      <c r="E47" s="17">
        <f t="shared" si="23"/>
        <v>37.21</v>
      </c>
      <c r="F47" s="17">
        <f t="shared" si="23"/>
        <v>29.21</v>
      </c>
      <c r="G47" s="17">
        <f t="shared" si="23"/>
        <v>29.21</v>
      </c>
      <c r="H47" s="17">
        <f t="shared" si="17"/>
        <v>78.50040311744155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3" customHeight="1" x14ac:dyDescent="0.25">
      <c r="A48" s="57" t="s">
        <v>32</v>
      </c>
      <c r="B48" s="58" t="s">
        <v>45</v>
      </c>
      <c r="C48" s="59" t="s">
        <v>18</v>
      </c>
      <c r="D48" s="31">
        <v>28.35</v>
      </c>
      <c r="E48" s="31">
        <f>D48+D49</f>
        <v>29.21</v>
      </c>
      <c r="F48" s="31">
        <v>29.21</v>
      </c>
      <c r="G48" s="31">
        <v>29.21</v>
      </c>
      <c r="H48" s="17">
        <f t="shared" si="17"/>
        <v>100</v>
      </c>
      <c r="I48" s="31"/>
      <c r="J48" s="53"/>
      <c r="K48" s="53"/>
      <c r="L48" s="53"/>
      <c r="M48" s="53"/>
      <c r="N48" s="53"/>
      <c r="O48" s="33"/>
      <c r="P48" s="33"/>
      <c r="Q48" s="33"/>
      <c r="R48" s="1"/>
      <c r="S48" s="1"/>
      <c r="T48" s="1"/>
      <c r="U48" s="1"/>
      <c r="V48" s="1"/>
      <c r="W48" s="1"/>
      <c r="X48" s="1"/>
      <c r="Y48" s="1"/>
      <c r="Z48" s="1"/>
    </row>
    <row r="49" spans="1:26" ht="33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4">D50+D51</f>
        <v>0.86</v>
      </c>
      <c r="E49" s="17">
        <f t="shared" si="24"/>
        <v>8</v>
      </c>
      <c r="F49" s="17">
        <f t="shared" si="24"/>
        <v>0</v>
      </c>
      <c r="G49" s="17">
        <f t="shared" si="24"/>
        <v>0</v>
      </c>
      <c r="H49" s="17">
        <f t="shared" si="17"/>
        <v>0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3" customHeight="1" x14ac:dyDescent="0.25">
      <c r="A50" s="59" t="s">
        <v>47</v>
      </c>
      <c r="B50" s="64" t="s">
        <v>48</v>
      </c>
      <c r="C50" s="59" t="s">
        <v>18</v>
      </c>
      <c r="D50" s="31"/>
      <c r="E50" s="31">
        <v>8</v>
      </c>
      <c r="F50" s="31"/>
      <c r="G50" s="31">
        <v>0</v>
      </c>
      <c r="H50" s="17">
        <f t="shared" si="17"/>
        <v>0</v>
      </c>
      <c r="I50" s="31"/>
      <c r="J50" s="35"/>
      <c r="K50" s="126"/>
      <c r="L50" s="126"/>
      <c r="M50" s="126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3" customHeight="1" x14ac:dyDescent="0.25">
      <c r="A51" s="59" t="s">
        <v>47</v>
      </c>
      <c r="B51" s="64" t="s">
        <v>49</v>
      </c>
      <c r="C51" s="30" t="s">
        <v>18</v>
      </c>
      <c r="D51" s="31">
        <v>0.86</v>
      </c>
      <c r="E51" s="31">
        <v>0</v>
      </c>
      <c r="F51" s="31"/>
      <c r="G51" s="31"/>
      <c r="H51" s="17"/>
      <c r="I51" s="31"/>
      <c r="J51" s="126"/>
      <c r="K51" s="53"/>
      <c r="L51" s="53"/>
      <c r="M51" s="53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3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5">D53+D54</f>
        <v>17.43</v>
      </c>
      <c r="E52" s="17">
        <f t="shared" si="25"/>
        <v>24.0975</v>
      </c>
      <c r="F52" s="17">
        <f t="shared" si="25"/>
        <v>24.1</v>
      </c>
      <c r="G52" s="17">
        <f t="shared" si="25"/>
        <v>24.1</v>
      </c>
      <c r="H52" s="17">
        <f t="shared" ref="H52:H53" si="26">F52/E52*100</f>
        <v>100.01037452017844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3" customHeight="1" x14ac:dyDescent="0.25">
      <c r="A53" s="66" t="s">
        <v>47</v>
      </c>
      <c r="B53" s="64" t="s">
        <v>51</v>
      </c>
      <c r="C53" s="30" t="s">
        <v>18</v>
      </c>
      <c r="D53" s="31">
        <f>18.43-6</f>
        <v>12.43</v>
      </c>
      <c r="E53" s="31">
        <f>D48*85%</f>
        <v>24.0975</v>
      </c>
      <c r="F53" s="31">
        <v>24.1</v>
      </c>
      <c r="G53" s="31">
        <v>24.1</v>
      </c>
      <c r="H53" s="31">
        <f t="shared" si="26"/>
        <v>100.01037452017844</v>
      </c>
      <c r="I53" s="31"/>
      <c r="J53" s="126"/>
      <c r="K53" s="126"/>
      <c r="L53" s="135"/>
      <c r="M53" s="126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3" customHeight="1" x14ac:dyDescent="0.25">
      <c r="A54" s="30"/>
      <c r="B54" s="64" t="s">
        <v>52</v>
      </c>
      <c r="C54" s="30" t="s">
        <v>18</v>
      </c>
      <c r="D54" s="31">
        <v>5</v>
      </c>
      <c r="E54" s="31"/>
      <c r="F54" s="31"/>
      <c r="G54" s="31"/>
      <c r="H54" s="17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3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7">D56+D57</f>
        <v>8.5</v>
      </c>
      <c r="E55" s="17">
        <f t="shared" si="27"/>
        <v>10.1</v>
      </c>
      <c r="F55" s="17">
        <f t="shared" si="27"/>
        <v>9.1</v>
      </c>
      <c r="G55" s="17">
        <f t="shared" si="27"/>
        <v>9.1</v>
      </c>
      <c r="H55" s="17">
        <f t="shared" ref="H55:H63" si="28">F55/E55*100</f>
        <v>90.099009900990097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3" customHeight="1" x14ac:dyDescent="0.25">
      <c r="A56" s="30" t="s">
        <v>32</v>
      </c>
      <c r="B56" s="58" t="s">
        <v>50</v>
      </c>
      <c r="C56" s="30" t="s">
        <v>18</v>
      </c>
      <c r="D56" s="31">
        <v>8.5</v>
      </c>
      <c r="E56" s="31">
        <f>D56+E58</f>
        <v>9.1</v>
      </c>
      <c r="F56" s="31">
        <v>9.1</v>
      </c>
      <c r="G56" s="31">
        <v>9.1</v>
      </c>
      <c r="H56" s="17">
        <f t="shared" si="28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3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9">D58+D61</f>
        <v>0</v>
      </c>
      <c r="E57" s="31">
        <f t="shared" si="29"/>
        <v>1</v>
      </c>
      <c r="F57" s="31">
        <f t="shared" si="29"/>
        <v>0</v>
      </c>
      <c r="G57" s="31">
        <f t="shared" si="29"/>
        <v>0</v>
      </c>
      <c r="H57" s="17">
        <f t="shared" si="28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3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30">D59+D60</f>
        <v>0</v>
      </c>
      <c r="E58" s="71">
        <f t="shared" si="30"/>
        <v>0.6</v>
      </c>
      <c r="F58" s="71">
        <f t="shared" si="30"/>
        <v>0</v>
      </c>
      <c r="G58" s="71">
        <f t="shared" si="30"/>
        <v>0</v>
      </c>
      <c r="H58" s="17">
        <f t="shared" si="28"/>
        <v>0</v>
      </c>
      <c r="I58" s="71"/>
      <c r="J58" s="138"/>
      <c r="K58" s="97"/>
      <c r="L58" s="97"/>
      <c r="M58" s="97"/>
      <c r="N58" s="97"/>
      <c r="O58" s="97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3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0.3</v>
      </c>
      <c r="F59" s="31">
        <v>0</v>
      </c>
      <c r="G59" s="31">
        <v>0</v>
      </c>
      <c r="H59" s="17">
        <f t="shared" si="28"/>
        <v>0</v>
      </c>
      <c r="I59" s="31"/>
      <c r="J59" s="35"/>
      <c r="K59" s="28"/>
      <c r="L59" s="137"/>
      <c r="M59" s="137"/>
      <c r="N59" s="137"/>
      <c r="O59" s="13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3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0.3</v>
      </c>
      <c r="F60" s="31">
        <v>0</v>
      </c>
      <c r="G60" s="31">
        <v>0</v>
      </c>
      <c r="H60" s="17">
        <f t="shared" si="28"/>
        <v>0</v>
      </c>
      <c r="I60" s="31"/>
      <c r="J60" s="35"/>
      <c r="K60" s="28"/>
      <c r="L60" s="137"/>
      <c r="M60" s="137"/>
      <c r="N60" s="137"/>
      <c r="O60" s="13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3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1">D62+D63</f>
        <v>0</v>
      </c>
      <c r="E61" s="71">
        <f t="shared" si="31"/>
        <v>0.4</v>
      </c>
      <c r="F61" s="71">
        <f t="shared" si="31"/>
        <v>0</v>
      </c>
      <c r="G61" s="71">
        <f t="shared" si="31"/>
        <v>0</v>
      </c>
      <c r="H61" s="17">
        <f t="shared" si="28"/>
        <v>0</v>
      </c>
      <c r="I61" s="71"/>
      <c r="J61" s="35"/>
      <c r="K61" s="97"/>
      <c r="L61" s="97"/>
      <c r="M61" s="97"/>
      <c r="N61" s="97"/>
      <c r="O61" s="74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3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0.3</v>
      </c>
      <c r="F62" s="31">
        <v>0</v>
      </c>
      <c r="G62" s="31">
        <v>0</v>
      </c>
      <c r="H62" s="17">
        <f t="shared" si="28"/>
        <v>0</v>
      </c>
      <c r="I62" s="31"/>
      <c r="J62" s="35"/>
      <c r="K62" s="28"/>
      <c r="L62" s="137"/>
      <c r="M62" s="137"/>
      <c r="N62" s="137"/>
      <c r="O62" s="13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3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8"/>
        <v>0</v>
      </c>
      <c r="I63" s="31"/>
      <c r="J63" s="35"/>
      <c r="K63" s="28"/>
      <c r="L63" s="137"/>
      <c r="M63" s="137"/>
      <c r="N63" s="137"/>
      <c r="O63" s="13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3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2">D65+D66</f>
        <v>0</v>
      </c>
      <c r="E64" s="17">
        <f t="shared" si="32"/>
        <v>0</v>
      </c>
      <c r="F64" s="17">
        <f t="shared" si="32"/>
        <v>0</v>
      </c>
      <c r="G64" s="17">
        <f t="shared" si="32"/>
        <v>0</v>
      </c>
      <c r="H64" s="17"/>
      <c r="I64" s="17"/>
      <c r="J64" s="126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3" customHeight="1" x14ac:dyDescent="0.25">
      <c r="A65" s="30" t="s">
        <v>47</v>
      </c>
      <c r="B65" s="58" t="s">
        <v>45</v>
      </c>
      <c r="C65" s="30" t="s">
        <v>18</v>
      </c>
      <c r="D65" s="31"/>
      <c r="E65" s="31"/>
      <c r="F65" s="31"/>
      <c r="G65" s="31"/>
      <c r="H65" s="17"/>
      <c r="I65" s="31"/>
      <c r="J65" s="126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3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3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3">D68+D71</f>
        <v>32.049999999999997</v>
      </c>
      <c r="E67" s="17">
        <f t="shared" si="33"/>
        <v>17.299999999999997</v>
      </c>
      <c r="F67" s="17">
        <f t="shared" si="33"/>
        <v>14.44</v>
      </c>
      <c r="G67" s="17">
        <f t="shared" si="33"/>
        <v>14.44</v>
      </c>
      <c r="H67" s="17">
        <f t="shared" ref="H67:H68" si="34">F67/E67*100</f>
        <v>83.468208092485568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3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5">D69+D70</f>
        <v>0</v>
      </c>
      <c r="E68" s="17">
        <f t="shared" si="35"/>
        <v>2</v>
      </c>
      <c r="F68" s="17">
        <f t="shared" si="35"/>
        <v>0</v>
      </c>
      <c r="G68" s="17">
        <f t="shared" si="35"/>
        <v>0</v>
      </c>
      <c r="H68" s="17">
        <f t="shared" si="34"/>
        <v>0</v>
      </c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3" customHeight="1" x14ac:dyDescent="0.25">
      <c r="A69" s="30" t="s">
        <v>47</v>
      </c>
      <c r="B69" s="58" t="s">
        <v>69</v>
      </c>
      <c r="C69" s="30" t="s">
        <v>18</v>
      </c>
      <c r="D69" s="31"/>
      <c r="E69" s="31"/>
      <c r="F69" s="31"/>
      <c r="G69" s="31"/>
      <c r="H69" s="17"/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3" customHeight="1" x14ac:dyDescent="0.25">
      <c r="A70" s="30" t="s">
        <v>47</v>
      </c>
      <c r="B70" s="58" t="s">
        <v>70</v>
      </c>
      <c r="C70" s="30" t="s">
        <v>18</v>
      </c>
      <c r="D70" s="31"/>
      <c r="E70" s="31">
        <v>2</v>
      </c>
      <c r="F70" s="31"/>
      <c r="G70" s="31"/>
      <c r="H70" s="17">
        <f t="shared" ref="H70:H77" si="36">F70/E70*100</f>
        <v>0</v>
      </c>
      <c r="I70" s="31"/>
      <c r="J70" s="126"/>
      <c r="K70" s="126"/>
      <c r="L70" s="126"/>
      <c r="M70" s="126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3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7">D72+D73</f>
        <v>32.049999999999997</v>
      </c>
      <c r="E71" s="17">
        <f t="shared" si="37"/>
        <v>15.299999999999997</v>
      </c>
      <c r="F71" s="17">
        <f t="shared" si="37"/>
        <v>14.44</v>
      </c>
      <c r="G71" s="17">
        <f t="shared" si="37"/>
        <v>14.44</v>
      </c>
      <c r="H71" s="17">
        <f t="shared" si="36"/>
        <v>94.379084967320267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3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8">D75+D82</f>
        <v>30.669999999999998</v>
      </c>
      <c r="E72" s="87">
        <f t="shared" si="38"/>
        <v>14.439999999999998</v>
      </c>
      <c r="F72" s="87">
        <f t="shared" si="38"/>
        <v>14.44</v>
      </c>
      <c r="G72" s="87">
        <f t="shared" si="38"/>
        <v>14.44</v>
      </c>
      <c r="H72" s="17">
        <f t="shared" si="36"/>
        <v>100.00000000000003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3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9">D76+D83</f>
        <v>1.38</v>
      </c>
      <c r="E73" s="17">
        <f t="shared" si="39"/>
        <v>0.86</v>
      </c>
      <c r="F73" s="17">
        <f t="shared" si="39"/>
        <v>0</v>
      </c>
      <c r="G73" s="17">
        <f t="shared" si="39"/>
        <v>0</v>
      </c>
      <c r="H73" s="17">
        <f t="shared" si="36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3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40">D75+D76</f>
        <v>23.939999999999998</v>
      </c>
      <c r="E74" s="91">
        <f t="shared" si="40"/>
        <v>14.439999999999998</v>
      </c>
      <c r="F74" s="91">
        <f t="shared" si="40"/>
        <v>13.94</v>
      </c>
      <c r="G74" s="91">
        <f t="shared" si="40"/>
        <v>13.94</v>
      </c>
      <c r="H74" s="17">
        <f t="shared" si="36"/>
        <v>96.537396121883674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3" customHeight="1" x14ac:dyDescent="0.25">
      <c r="A75" s="57" t="s">
        <v>32</v>
      </c>
      <c r="B75" s="93" t="s">
        <v>45</v>
      </c>
      <c r="C75" s="30" t="s">
        <v>18</v>
      </c>
      <c r="D75" s="60">
        <f>21.06+2</f>
        <v>23.06</v>
      </c>
      <c r="E75" s="60">
        <f>D75+D76-10</f>
        <v>13.939999999999998</v>
      </c>
      <c r="F75" s="31">
        <v>13.94</v>
      </c>
      <c r="G75" s="31">
        <v>13.94</v>
      </c>
      <c r="H75" s="31">
        <f t="shared" si="36"/>
        <v>100.00000000000003</v>
      </c>
      <c r="I75" s="31"/>
      <c r="J75" s="126"/>
      <c r="K75" s="126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3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41">SUM(D77:D80)</f>
        <v>0.88</v>
      </c>
      <c r="E76" s="141">
        <f t="shared" si="41"/>
        <v>0.5</v>
      </c>
      <c r="F76" s="141">
        <f t="shared" si="41"/>
        <v>0</v>
      </c>
      <c r="G76" s="141">
        <f t="shared" si="41"/>
        <v>0</v>
      </c>
      <c r="H76" s="17">
        <f t="shared" si="36"/>
        <v>0</v>
      </c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3" customHeight="1" x14ac:dyDescent="0.25">
      <c r="A77" s="46" t="s">
        <v>47</v>
      </c>
      <c r="B77" s="94" t="s">
        <v>80</v>
      </c>
      <c r="C77" s="46" t="s">
        <v>18</v>
      </c>
      <c r="D77" s="31"/>
      <c r="E77" s="31">
        <v>0.5</v>
      </c>
      <c r="F77" s="31">
        <v>0</v>
      </c>
      <c r="G77" s="31">
        <v>0</v>
      </c>
      <c r="H77" s="17">
        <f t="shared" si="36"/>
        <v>0</v>
      </c>
      <c r="I77" s="31"/>
      <c r="J77" s="138"/>
      <c r="K77" s="138"/>
      <c r="L77" s="97"/>
      <c r="M77" s="143"/>
      <c r="N77" s="143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3" customHeight="1" x14ac:dyDescent="0.25">
      <c r="A78" s="46" t="s">
        <v>47</v>
      </c>
      <c r="B78" s="94" t="s">
        <v>81</v>
      </c>
      <c r="C78" s="46" t="s">
        <v>18</v>
      </c>
      <c r="D78" s="31">
        <v>0.88</v>
      </c>
      <c r="E78" s="31">
        <v>0</v>
      </c>
      <c r="F78" s="31"/>
      <c r="G78" s="31"/>
      <c r="H78" s="17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3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17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3" customHeight="1" x14ac:dyDescent="0.25">
      <c r="A80" s="46" t="s">
        <v>47</v>
      </c>
      <c r="B80" s="144" t="s">
        <v>83</v>
      </c>
      <c r="C80" s="46" t="s">
        <v>18</v>
      </c>
      <c r="D80" s="31"/>
      <c r="E80" s="31"/>
      <c r="F80" s="31"/>
      <c r="G80" s="31"/>
      <c r="H80" s="17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3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2">D82+D83</f>
        <v>8.11</v>
      </c>
      <c r="E81" s="91">
        <f t="shared" si="42"/>
        <v>0.86</v>
      </c>
      <c r="F81" s="91">
        <f t="shared" si="42"/>
        <v>0.5</v>
      </c>
      <c r="G81" s="91">
        <f t="shared" si="42"/>
        <v>0.5</v>
      </c>
      <c r="H81" s="96">
        <f t="shared" ref="H81:H83" si="43">F81/E81*100</f>
        <v>58.139534883720934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3" customHeight="1" x14ac:dyDescent="0.25">
      <c r="A82" s="107" t="s">
        <v>47</v>
      </c>
      <c r="B82" s="94" t="s">
        <v>85</v>
      </c>
      <c r="C82" s="46" t="s">
        <v>18</v>
      </c>
      <c r="D82" s="71">
        <v>7.61</v>
      </c>
      <c r="E82" s="71">
        <v>0.5</v>
      </c>
      <c r="F82" s="71">
        <v>0.5</v>
      </c>
      <c r="G82" s="71">
        <v>0.5</v>
      </c>
      <c r="H82" s="31">
        <f t="shared" si="43"/>
        <v>100</v>
      </c>
      <c r="I82" s="71"/>
      <c r="J82" s="138"/>
      <c r="K82" s="138"/>
      <c r="L82" s="143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3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4">SUM(D84:D87)</f>
        <v>0.5</v>
      </c>
      <c r="E83" s="60">
        <f t="shared" si="44"/>
        <v>0.36</v>
      </c>
      <c r="F83" s="60">
        <f t="shared" si="44"/>
        <v>0</v>
      </c>
      <c r="G83" s="60">
        <f t="shared" si="44"/>
        <v>0</v>
      </c>
      <c r="H83" s="17">
        <f t="shared" si="43"/>
        <v>0</v>
      </c>
      <c r="I83" s="60"/>
      <c r="J83" s="138"/>
      <c r="K83" s="138"/>
      <c r="L83" s="138"/>
      <c r="M83" s="138"/>
      <c r="N83" s="13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3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7"/>
      <c r="I84" s="31"/>
      <c r="J84" s="97"/>
      <c r="K84" s="97"/>
      <c r="L84" s="97"/>
      <c r="M84" s="97"/>
      <c r="N84" s="9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3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7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3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7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3" customHeight="1" x14ac:dyDescent="0.25">
      <c r="A87" s="107" t="s">
        <v>47</v>
      </c>
      <c r="B87" s="94" t="s">
        <v>89</v>
      </c>
      <c r="C87" s="46" t="s">
        <v>18</v>
      </c>
      <c r="D87" s="31">
        <v>0.5</v>
      </c>
      <c r="E87" s="31">
        <v>0.36</v>
      </c>
      <c r="F87" s="31">
        <v>0</v>
      </c>
      <c r="G87" s="31">
        <v>0</v>
      </c>
      <c r="H87" s="17">
        <f t="shared" ref="H87:H91" si="45">F87/E87*100</f>
        <v>0</v>
      </c>
      <c r="I87" s="31"/>
      <c r="J87" s="97"/>
      <c r="K87" s="97"/>
      <c r="L87" s="97"/>
      <c r="M87" s="143"/>
      <c r="N87" s="143"/>
      <c r="O87" s="38"/>
      <c r="P87" s="38"/>
      <c r="Q87" s="38"/>
      <c r="R87" s="45"/>
      <c r="S87" s="45"/>
      <c r="T87" s="1"/>
      <c r="U87" s="1"/>
      <c r="V87" s="1"/>
      <c r="W87" s="1"/>
      <c r="X87" s="1"/>
      <c r="Y87" s="1"/>
      <c r="Z87" s="1"/>
    </row>
    <row r="88" spans="1:26" ht="33" customHeight="1" x14ac:dyDescent="0.25">
      <c r="A88" s="15" t="s">
        <v>90</v>
      </c>
      <c r="B88" s="24" t="s">
        <v>91</v>
      </c>
      <c r="C88" s="15"/>
      <c r="D88" s="17">
        <f t="shared" ref="D88:G88" si="46">SUM(D89:D93)</f>
        <v>881</v>
      </c>
      <c r="E88" s="17">
        <f t="shared" si="46"/>
        <v>823</v>
      </c>
      <c r="F88" s="17">
        <f t="shared" si="46"/>
        <v>761</v>
      </c>
      <c r="G88" s="17">
        <f t="shared" si="46"/>
        <v>761</v>
      </c>
      <c r="H88" s="17">
        <f t="shared" si="45"/>
        <v>92.466585662211415</v>
      </c>
      <c r="I88" s="17"/>
      <c r="J88" s="28"/>
      <c r="K88" s="28"/>
      <c r="L88" s="134"/>
      <c r="M88" s="134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" customHeight="1" x14ac:dyDescent="0.25">
      <c r="A89" s="30">
        <v>1</v>
      </c>
      <c r="B89" s="27" t="s">
        <v>92</v>
      </c>
      <c r="C89" s="30" t="s">
        <v>93</v>
      </c>
      <c r="D89" s="31">
        <v>79</v>
      </c>
      <c r="E89" s="31">
        <f>50+27</f>
        <v>77</v>
      </c>
      <c r="F89" s="31">
        <v>76</v>
      </c>
      <c r="G89" s="31">
        <f t="shared" ref="G89:G91" si="47">F89</f>
        <v>76</v>
      </c>
      <c r="H89" s="31">
        <f t="shared" si="45"/>
        <v>98.701298701298697</v>
      </c>
      <c r="I89" s="31"/>
      <c r="J89" s="55"/>
      <c r="K89" s="176"/>
      <c r="L89" s="171"/>
      <c r="M89" s="172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3" customHeight="1" x14ac:dyDescent="0.25">
      <c r="A90" s="30">
        <v>2</v>
      </c>
      <c r="B90" s="27" t="s">
        <v>94</v>
      </c>
      <c r="C90" s="30" t="s">
        <v>93</v>
      </c>
      <c r="D90" s="31">
        <v>132</v>
      </c>
      <c r="E90" s="31">
        <f>130+21</f>
        <v>151</v>
      </c>
      <c r="F90" s="31">
        <v>148</v>
      </c>
      <c r="G90" s="31">
        <f t="shared" si="47"/>
        <v>148</v>
      </c>
      <c r="H90" s="31">
        <f t="shared" si="45"/>
        <v>98.013245033112582</v>
      </c>
      <c r="I90" s="31"/>
      <c r="J90" s="79"/>
      <c r="K90" s="79"/>
      <c r="L90" s="171"/>
      <c r="M90" s="172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3" customHeight="1" x14ac:dyDescent="0.25">
      <c r="A91" s="30">
        <v>3</v>
      </c>
      <c r="B91" s="27" t="s">
        <v>97</v>
      </c>
      <c r="C91" s="30" t="s">
        <v>93</v>
      </c>
      <c r="D91" s="31">
        <v>75</v>
      </c>
      <c r="E91" s="31">
        <f>76+24</f>
        <v>100</v>
      </c>
      <c r="F91" s="31">
        <v>85</v>
      </c>
      <c r="G91" s="31">
        <f t="shared" si="47"/>
        <v>85</v>
      </c>
      <c r="H91" s="31">
        <f t="shared" si="45"/>
        <v>85</v>
      </c>
      <c r="I91" s="31"/>
      <c r="J91" s="79"/>
      <c r="K91" s="79"/>
      <c r="L91" s="171"/>
      <c r="M91" s="172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3" customHeight="1" x14ac:dyDescent="0.25">
      <c r="A92" s="30">
        <v>4</v>
      </c>
      <c r="B92" s="27" t="s">
        <v>98</v>
      </c>
      <c r="C92" s="30" t="s">
        <v>93</v>
      </c>
      <c r="D92" s="31">
        <v>15</v>
      </c>
      <c r="E92" s="31">
        <f>17-17</f>
        <v>0</v>
      </c>
      <c r="F92" s="31"/>
      <c r="G92" s="31"/>
      <c r="H92" s="17"/>
      <c r="I92" s="31"/>
      <c r="J92" s="28"/>
      <c r="K92" s="53"/>
      <c r="L92" s="174"/>
      <c r="M92" s="172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3" customHeight="1" x14ac:dyDescent="0.25">
      <c r="A93" s="30">
        <v>5</v>
      </c>
      <c r="B93" s="27" t="s">
        <v>99</v>
      </c>
      <c r="C93" s="30" t="s">
        <v>93</v>
      </c>
      <c r="D93" s="31">
        <v>580</v>
      </c>
      <c r="E93" s="31">
        <f>548-53</f>
        <v>495</v>
      </c>
      <c r="F93" s="31">
        <v>452</v>
      </c>
      <c r="G93" s="31">
        <f>F93</f>
        <v>452</v>
      </c>
      <c r="H93" s="31">
        <f t="shared" ref="H93:H95" si="48">F93/E93*100</f>
        <v>91.313131313131308</v>
      </c>
      <c r="I93" s="31"/>
      <c r="J93" s="79"/>
      <c r="K93" s="79"/>
      <c r="L93" s="174"/>
      <c r="M93" s="172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3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9">D95</f>
        <v>1.1000000000000001</v>
      </c>
      <c r="E94" s="17">
        <f t="shared" si="49"/>
        <v>1.1000000000000001</v>
      </c>
      <c r="F94" s="17">
        <f t="shared" si="49"/>
        <v>1.1000000000000001</v>
      </c>
      <c r="G94" s="17">
        <f t="shared" si="49"/>
        <v>1.1000000000000001</v>
      </c>
      <c r="H94" s="17">
        <f t="shared" si="48"/>
        <v>100</v>
      </c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3" customHeight="1" x14ac:dyDescent="0.25">
      <c r="A95" s="46" t="s">
        <v>47</v>
      </c>
      <c r="B95" s="76" t="s">
        <v>102</v>
      </c>
      <c r="C95" s="46" t="s">
        <v>18</v>
      </c>
      <c r="D95" s="31">
        <v>1.1000000000000001</v>
      </c>
      <c r="E95" s="31">
        <v>1.1000000000000001</v>
      </c>
      <c r="F95" s="31">
        <v>1.1000000000000001</v>
      </c>
      <c r="G95" s="31">
        <v>1.1000000000000001</v>
      </c>
      <c r="H95" s="31">
        <f t="shared" si="48"/>
        <v>100</v>
      </c>
      <c r="I95" s="31"/>
      <c r="J95" s="35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3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50">D97+D98</f>
        <v>0</v>
      </c>
      <c r="E96" s="17">
        <f t="shared" si="50"/>
        <v>0</v>
      </c>
      <c r="F96" s="17">
        <f t="shared" si="50"/>
        <v>0</v>
      </c>
      <c r="G96" s="17">
        <f t="shared" si="50"/>
        <v>0</v>
      </c>
      <c r="H96" s="17"/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3" customHeight="1" x14ac:dyDescent="0.25">
      <c r="A97" s="30" t="s">
        <v>47</v>
      </c>
      <c r="B97" s="93" t="s">
        <v>263</v>
      </c>
      <c r="C97" s="46" t="s">
        <v>18</v>
      </c>
      <c r="D97" s="31"/>
      <c r="E97" s="31"/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3" customHeight="1" x14ac:dyDescent="0.25">
      <c r="A98" s="123" t="s">
        <v>47</v>
      </c>
      <c r="B98" s="93" t="s">
        <v>109</v>
      </c>
      <c r="C98" s="46" t="s">
        <v>18</v>
      </c>
      <c r="D98" s="31"/>
      <c r="E98" s="31"/>
      <c r="F98" s="31"/>
      <c r="G98" s="31"/>
      <c r="H98" s="17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43307086614173229" right="0.35433070866141736" top="0.43307086614173229" bottom="0.27559055118110237" header="0" footer="0"/>
  <pageSetup scale="85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88671875" customWidth="1"/>
    <col min="2" max="2" width="29.88671875" customWidth="1"/>
    <col min="3" max="3" width="9.44140625" customWidth="1"/>
    <col min="4" max="5" width="17.21875" customWidth="1"/>
    <col min="6" max="8" width="12.6640625" customWidth="1"/>
    <col min="9" max="9" width="9" customWidth="1"/>
    <col min="10" max="10" width="8.88671875" customWidth="1"/>
    <col min="11" max="11" width="19.109375" customWidth="1"/>
    <col min="12" max="14" width="8.88671875" customWidth="1"/>
    <col min="15" max="25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275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'NGỌC LEANG(9)'!A5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60">
        <v>45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60">
        <v>195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7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51.7</v>
      </c>
      <c r="E9" s="17">
        <f t="shared" si="0"/>
        <v>59.07</v>
      </c>
      <c r="F9" s="17">
        <f t="shared" si="0"/>
        <v>48.150000000000006</v>
      </c>
      <c r="G9" s="17">
        <f t="shared" si="0"/>
        <v>48.150000000000006</v>
      </c>
      <c r="H9" s="17">
        <f t="shared" ref="H9:H11" si="1">F9/E9*100</f>
        <v>81.513458608430682</v>
      </c>
      <c r="I9" s="17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0.7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</v>
      </c>
      <c r="F10" s="17">
        <f t="shared" si="2"/>
        <v>1</v>
      </c>
      <c r="G10" s="17">
        <f t="shared" si="2"/>
        <v>1</v>
      </c>
      <c r="H10" s="17">
        <f t="shared" si="1"/>
        <v>100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0.7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3.69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133"/>
      <c r="K11" s="133"/>
      <c r="L11" s="180"/>
      <c r="M11" s="180"/>
      <c r="N11" s="180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</row>
    <row r="12" spans="1:26" ht="30.7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0</v>
      </c>
      <c r="F12" s="17">
        <f t="shared" si="4"/>
        <v>0</v>
      </c>
      <c r="G12" s="17">
        <f t="shared" si="4"/>
        <v>0</v>
      </c>
      <c r="H12" s="17"/>
      <c r="I12" s="17"/>
      <c r="J12" s="133"/>
      <c r="K12" s="133"/>
      <c r="L12" s="180"/>
      <c r="M12" s="180"/>
      <c r="N12" s="180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</row>
    <row r="13" spans="1:26" ht="30.7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0</v>
      </c>
      <c r="F13" s="17">
        <f t="shared" si="5"/>
        <v>0</v>
      </c>
      <c r="G13" s="17">
        <f t="shared" si="5"/>
        <v>0</v>
      </c>
      <c r="H13" s="17"/>
      <c r="I13" s="17"/>
      <c r="J13" s="126"/>
      <c r="K13" s="126"/>
      <c r="L13" s="126"/>
      <c r="M13" s="126"/>
      <c r="N13" s="12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>F14/E14*100</f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75" customHeight="1" x14ac:dyDescent="0.25">
      <c r="A15" s="15"/>
      <c r="B15" s="27" t="s">
        <v>27</v>
      </c>
      <c r="C15" s="30" t="s">
        <v>21</v>
      </c>
      <c r="D15" s="17">
        <f t="shared" ref="D15:G15" si="7">D13*D14/10</f>
        <v>0</v>
      </c>
      <c r="E15" s="17">
        <f t="shared" si="7"/>
        <v>0</v>
      </c>
      <c r="F15" s="17">
        <f t="shared" si="7"/>
        <v>0</v>
      </c>
      <c r="G15" s="17">
        <f t="shared" si="7"/>
        <v>0</v>
      </c>
      <c r="H15" s="17"/>
      <c r="I15" s="17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0</v>
      </c>
      <c r="F16" s="31">
        <v>0</v>
      </c>
      <c r="G16" s="31">
        <v>0</v>
      </c>
      <c r="H16" s="17"/>
      <c r="I16" s="31"/>
      <c r="J16" s="126"/>
      <c r="K16" s="126"/>
      <c r="L16" s="126"/>
      <c r="M16" s="126"/>
      <c r="N16" s="126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.7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/>
      <c r="H17" s="17">
        <f>F17/E17*100</f>
        <v>0</v>
      </c>
      <c r="I17" s="31"/>
      <c r="J17" s="126"/>
      <c r="K17" s="126"/>
      <c r="L17" s="126"/>
      <c r="M17" s="126"/>
      <c r="N17" s="12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.75" customHeight="1" x14ac:dyDescent="0.25">
      <c r="A18" s="15"/>
      <c r="B18" s="27" t="s">
        <v>27</v>
      </c>
      <c r="C18" s="30" t="s">
        <v>21</v>
      </c>
      <c r="D18" s="17">
        <f t="shared" ref="D18:G18" si="8">D16*D17/10</f>
        <v>0</v>
      </c>
      <c r="E18" s="17">
        <f t="shared" si="8"/>
        <v>0</v>
      </c>
      <c r="F18" s="17">
        <f t="shared" si="8"/>
        <v>0</v>
      </c>
      <c r="G18" s="17">
        <f t="shared" si="8"/>
        <v>0</v>
      </c>
      <c r="H18" s="17"/>
      <c r="I18" s="17"/>
      <c r="J18" s="126"/>
      <c r="K18" s="126"/>
      <c r="L18" s="126"/>
      <c r="M18" s="126"/>
      <c r="N18" s="126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.7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0</v>
      </c>
      <c r="F19" s="17">
        <f t="shared" si="9"/>
        <v>0</v>
      </c>
      <c r="G19" s="17">
        <f t="shared" si="9"/>
        <v>0</v>
      </c>
      <c r="H19" s="17"/>
      <c r="I19" s="17"/>
      <c r="J19" s="126"/>
      <c r="K19" s="126"/>
      <c r="L19" s="126"/>
      <c r="M19" s="126"/>
      <c r="N19" s="12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.7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26.770000000000003</v>
      </c>
      <c r="F20" s="31">
        <f t="shared" si="10"/>
        <v>0</v>
      </c>
      <c r="G20" s="31">
        <f t="shared" si="10"/>
        <v>0</v>
      </c>
      <c r="H20" s="17">
        <f>F20/E20*100</f>
        <v>0</v>
      </c>
      <c r="I20" s="31"/>
      <c r="J20" s="126"/>
      <c r="K20" s="126"/>
      <c r="L20" s="126"/>
      <c r="M20" s="126"/>
      <c r="N20" s="12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.75" customHeight="1" x14ac:dyDescent="0.25">
      <c r="A21" s="40"/>
      <c r="B21" s="27" t="s">
        <v>27</v>
      </c>
      <c r="C21" s="30" t="s">
        <v>21</v>
      </c>
      <c r="D21" s="17">
        <f t="shared" ref="D21:G21" si="11">D19*D20/10</f>
        <v>0</v>
      </c>
      <c r="E21" s="17">
        <f t="shared" si="11"/>
        <v>0</v>
      </c>
      <c r="F21" s="17">
        <f t="shared" si="11"/>
        <v>0</v>
      </c>
      <c r="G21" s="17">
        <f t="shared" si="11"/>
        <v>0</v>
      </c>
      <c r="H21" s="17"/>
      <c r="I21" s="17"/>
      <c r="J21" s="126"/>
      <c r="K21" s="126"/>
      <c r="L21" s="126"/>
      <c r="M21" s="126"/>
      <c r="N21" s="12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.75" customHeight="1" x14ac:dyDescent="0.25">
      <c r="A22" s="40" t="s">
        <v>32</v>
      </c>
      <c r="B22" s="41" t="s">
        <v>33</v>
      </c>
      <c r="C22" s="40" t="s">
        <v>18</v>
      </c>
      <c r="D22" s="17"/>
      <c r="E22" s="17">
        <v>0</v>
      </c>
      <c r="F22" s="17"/>
      <c r="G22" s="17"/>
      <c r="H22" s="17"/>
      <c r="I22" s="17"/>
      <c r="J22" s="126"/>
      <c r="K22" s="126"/>
      <c r="L22" s="126"/>
      <c r="M22" s="126"/>
      <c r="N22" s="12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.7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>F23/E23*100</f>
        <v>0</v>
      </c>
      <c r="I23" s="31"/>
      <c r="J23" s="126"/>
      <c r="K23" s="126"/>
      <c r="L23" s="126"/>
      <c r="M23" s="126"/>
      <c r="N23" s="126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.75" customHeight="1" x14ac:dyDescent="0.25">
      <c r="A24" s="40"/>
      <c r="B24" s="27" t="s">
        <v>27</v>
      </c>
      <c r="C24" s="30" t="s">
        <v>21</v>
      </c>
      <c r="D24" s="17"/>
      <c r="E24" s="17"/>
      <c r="F24" s="17"/>
      <c r="G24" s="17"/>
      <c r="H24" s="17"/>
      <c r="I24" s="17"/>
      <c r="J24" s="126"/>
      <c r="K24" s="126"/>
      <c r="L24" s="126"/>
      <c r="M24" s="126"/>
      <c r="N24" s="126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.75" customHeight="1" x14ac:dyDescent="0.25">
      <c r="A25" s="40" t="s">
        <v>32</v>
      </c>
      <c r="B25" s="41" t="s">
        <v>34</v>
      </c>
      <c r="C25" s="40" t="s">
        <v>18</v>
      </c>
      <c r="D25" s="17"/>
      <c r="E25" s="17"/>
      <c r="F25" s="17"/>
      <c r="G25" s="17"/>
      <c r="H25" s="17"/>
      <c r="I25" s="17"/>
      <c r="J25" s="126"/>
      <c r="K25" s="126"/>
      <c r="L25" s="126"/>
      <c r="M25" s="126"/>
      <c r="N25" s="126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.7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>
        <f>F26/E26*100</f>
        <v>0</v>
      </c>
      <c r="I26" s="31"/>
      <c r="J26" s="126"/>
      <c r="K26" s="126"/>
      <c r="L26" s="126"/>
      <c r="M26" s="126"/>
      <c r="N26" s="126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.75" customHeight="1" x14ac:dyDescent="0.25">
      <c r="A27" s="40"/>
      <c r="B27" s="27" t="s">
        <v>27</v>
      </c>
      <c r="C27" s="30" t="s">
        <v>21</v>
      </c>
      <c r="D27" s="17"/>
      <c r="E27" s="17"/>
      <c r="F27" s="17"/>
      <c r="G27" s="17"/>
      <c r="H27" s="17"/>
      <c r="I27" s="17"/>
      <c r="J27" s="126"/>
      <c r="K27" s="126"/>
      <c r="L27" s="126"/>
      <c r="M27" s="126"/>
      <c r="N27" s="126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.7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2">D31+D34</f>
        <v>1</v>
      </c>
      <c r="E28" s="17">
        <f t="shared" si="12"/>
        <v>1</v>
      </c>
      <c r="F28" s="17">
        <f t="shared" si="12"/>
        <v>1</v>
      </c>
      <c r="G28" s="17">
        <f t="shared" si="12"/>
        <v>1</v>
      </c>
      <c r="H28" s="17">
        <f t="shared" ref="H28:H30" si="13">F28/E28*100</f>
        <v>100</v>
      </c>
      <c r="I28" s="17"/>
      <c r="J28" s="126"/>
      <c r="K28" s="126"/>
      <c r="L28" s="126"/>
      <c r="M28" s="126"/>
      <c r="N28" s="126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.75" customHeight="1" x14ac:dyDescent="0.25">
      <c r="A29" s="15"/>
      <c r="B29" s="27" t="s">
        <v>25</v>
      </c>
      <c r="C29" s="30" t="s">
        <v>26</v>
      </c>
      <c r="D29" s="31">
        <f t="shared" ref="D29:G29" si="14">D35</f>
        <v>36.85</v>
      </c>
      <c r="E29" s="31">
        <f t="shared" si="14"/>
        <v>36.9</v>
      </c>
      <c r="F29" s="31">
        <f t="shared" si="14"/>
        <v>0</v>
      </c>
      <c r="G29" s="31">
        <f t="shared" si="14"/>
        <v>0</v>
      </c>
      <c r="H29" s="17">
        <f t="shared" si="13"/>
        <v>0</v>
      </c>
      <c r="I29" s="31"/>
      <c r="J29" s="126"/>
      <c r="K29" s="126"/>
      <c r="L29" s="126"/>
      <c r="M29" s="126"/>
      <c r="N29" s="126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.75" customHeight="1" x14ac:dyDescent="0.25">
      <c r="A30" s="15"/>
      <c r="B30" s="27" t="s">
        <v>27</v>
      </c>
      <c r="C30" s="30" t="s">
        <v>21</v>
      </c>
      <c r="D30" s="31">
        <f t="shared" ref="D30:G30" si="15">D28*D29/10</f>
        <v>3.6850000000000001</v>
      </c>
      <c r="E30" s="31">
        <f t="shared" si="15"/>
        <v>3.69</v>
      </c>
      <c r="F30" s="31">
        <f t="shared" si="15"/>
        <v>0</v>
      </c>
      <c r="G30" s="31">
        <f t="shared" si="15"/>
        <v>0</v>
      </c>
      <c r="H30" s="17">
        <f t="shared" si="13"/>
        <v>0</v>
      </c>
      <c r="I30" s="31"/>
      <c r="J30" s="126"/>
      <c r="K30" s="126"/>
      <c r="L30" s="126"/>
      <c r="M30" s="126"/>
      <c r="N30" s="126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.7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7"/>
      <c r="I31" s="17"/>
      <c r="J31" s="126"/>
      <c r="K31" s="137"/>
      <c r="L31" s="155"/>
      <c r="M31" s="155"/>
      <c r="N31" s="155"/>
      <c r="O31" s="155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.7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126"/>
      <c r="K32" s="137"/>
      <c r="L32" s="155"/>
      <c r="M32" s="155"/>
      <c r="N32" s="155"/>
      <c r="O32" s="155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.7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126"/>
      <c r="K33" s="137"/>
      <c r="L33" s="155"/>
      <c r="M33" s="155"/>
      <c r="N33" s="155"/>
      <c r="O33" s="155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.75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7">
        <f t="shared" ref="H34:H50" si="16">F34/E34*100</f>
        <v>100</v>
      </c>
      <c r="I34" s="17"/>
      <c r="J34" s="126"/>
      <c r="K34" s="44"/>
      <c r="L34" s="44"/>
      <c r="M34" s="44"/>
      <c r="N34" s="44"/>
      <c r="O34" s="44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.7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6"/>
        <v>0</v>
      </c>
      <c r="I35" s="31"/>
      <c r="J35" s="126"/>
      <c r="K35" s="44"/>
      <c r="L35" s="44"/>
      <c r="M35" s="44"/>
      <c r="N35" s="44"/>
      <c r="O35" s="44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.7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3.6850000000000001</v>
      </c>
      <c r="E36" s="31">
        <f t="shared" si="17"/>
        <v>3.69</v>
      </c>
      <c r="F36" s="31">
        <f t="shared" si="17"/>
        <v>0</v>
      </c>
      <c r="G36" s="31">
        <f t="shared" si="17"/>
        <v>0</v>
      </c>
      <c r="H36" s="17">
        <f t="shared" si="16"/>
        <v>0</v>
      </c>
      <c r="I36" s="31"/>
      <c r="J36" s="126"/>
      <c r="K36" s="44"/>
      <c r="L36" s="44"/>
      <c r="M36" s="44"/>
      <c r="N36" s="44"/>
      <c r="O36" s="44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.75" customHeight="1" x14ac:dyDescent="0.25">
      <c r="A37" s="15">
        <v>2</v>
      </c>
      <c r="B37" s="16" t="s">
        <v>39</v>
      </c>
      <c r="C37" s="15" t="s">
        <v>18</v>
      </c>
      <c r="D37" s="17">
        <v>10.199999999999999</v>
      </c>
      <c r="E37" s="17">
        <v>9.51</v>
      </c>
      <c r="F37" s="17">
        <v>9.51</v>
      </c>
      <c r="G37" s="17">
        <v>9.51</v>
      </c>
      <c r="H37" s="17">
        <f t="shared" si="16"/>
        <v>100</v>
      </c>
      <c r="I37" s="17"/>
      <c r="J37" s="53"/>
      <c r="K37" s="53"/>
      <c r="L37" s="53"/>
      <c r="M37" s="53"/>
      <c r="N37" s="53"/>
      <c r="O37" s="5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1"/>
    </row>
    <row r="38" spans="1:26" ht="30.7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6"/>
        <v>0</v>
      </c>
      <c r="I38" s="31"/>
      <c r="J38" s="53"/>
      <c r="K38" s="53"/>
      <c r="L38" s="53"/>
      <c r="M38" s="53"/>
      <c r="N38" s="53"/>
      <c r="O38" s="5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1"/>
    </row>
    <row r="39" spans="1:26" ht="30.75" customHeight="1" x14ac:dyDescent="0.25">
      <c r="A39" s="15"/>
      <c r="B39" s="27" t="s">
        <v>27</v>
      </c>
      <c r="C39" s="30" t="s">
        <v>21</v>
      </c>
      <c r="D39" s="31">
        <f t="shared" ref="D39:G39" si="18">D37*D38/10</f>
        <v>140.25</v>
      </c>
      <c r="E39" s="31">
        <f t="shared" si="18"/>
        <v>133.13999999999999</v>
      </c>
      <c r="F39" s="31">
        <f t="shared" si="18"/>
        <v>0</v>
      </c>
      <c r="G39" s="31">
        <f t="shared" si="18"/>
        <v>0</v>
      </c>
      <c r="H39" s="17">
        <f t="shared" si="16"/>
        <v>0</v>
      </c>
      <c r="I39" s="31"/>
      <c r="J39" s="53"/>
      <c r="K39" s="53"/>
      <c r="L39" s="53"/>
      <c r="M39" s="53"/>
      <c r="N39" s="53"/>
      <c r="O39" s="5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1"/>
    </row>
    <row r="40" spans="1:26" ht="30.7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si="16"/>
        <v>0</v>
      </c>
      <c r="I40" s="31"/>
      <c r="J40" s="53"/>
      <c r="K40" s="53"/>
      <c r="L40" s="53"/>
      <c r="M40" s="53"/>
      <c r="N40" s="53"/>
      <c r="O40" s="5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1"/>
    </row>
    <row r="41" spans="1:26" ht="30.7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16"/>
        <v>0</v>
      </c>
      <c r="I41" s="31"/>
      <c r="J41" s="53"/>
      <c r="K41" s="53"/>
      <c r="L41" s="53"/>
      <c r="M41" s="53"/>
      <c r="N41" s="53"/>
      <c r="O41" s="5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1"/>
    </row>
    <row r="42" spans="1:26" ht="30.75" customHeight="1" x14ac:dyDescent="0.25">
      <c r="A42" s="15"/>
      <c r="B42" s="27" t="s">
        <v>27</v>
      </c>
      <c r="C42" s="30" t="s">
        <v>21</v>
      </c>
      <c r="D42" s="31">
        <f t="shared" ref="D42:G42" si="19">D40*D41/10</f>
        <v>1.25</v>
      </c>
      <c r="E42" s="31">
        <f t="shared" si="19"/>
        <v>1.2050000000000001</v>
      </c>
      <c r="F42" s="31">
        <f t="shared" si="19"/>
        <v>0</v>
      </c>
      <c r="G42" s="31">
        <f t="shared" si="19"/>
        <v>0</v>
      </c>
      <c r="H42" s="17">
        <f t="shared" si="16"/>
        <v>0</v>
      </c>
      <c r="I42" s="31"/>
      <c r="J42" s="53"/>
      <c r="K42" s="53"/>
      <c r="L42" s="53"/>
      <c r="M42" s="53"/>
      <c r="N42" s="53"/>
      <c r="O42" s="5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1"/>
    </row>
    <row r="43" spans="1:26" ht="30.7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6"/>
        <v>54</v>
      </c>
      <c r="I43" s="17"/>
      <c r="J43" s="126"/>
      <c r="K43" s="35"/>
      <c r="L43" s="79"/>
      <c r="M43" s="79"/>
      <c r="N43" s="79"/>
      <c r="O43" s="7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.7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6"/>
        <v>0</v>
      </c>
      <c r="I44" s="31"/>
      <c r="J44" s="126"/>
      <c r="K44" s="135"/>
      <c r="L44" s="126"/>
      <c r="M44" s="126"/>
      <c r="N44" s="12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.75" customHeight="1" x14ac:dyDescent="0.25">
      <c r="A45" s="30"/>
      <c r="B45" s="47" t="s">
        <v>27</v>
      </c>
      <c r="C45" s="48" t="s">
        <v>21</v>
      </c>
      <c r="D45" s="31">
        <f t="shared" ref="D45:G45" si="20">D43*D44/10</f>
        <v>5</v>
      </c>
      <c r="E45" s="31">
        <f t="shared" si="20"/>
        <v>4.9249999999999998</v>
      </c>
      <c r="F45" s="31">
        <f t="shared" si="20"/>
        <v>0</v>
      </c>
      <c r="G45" s="31">
        <f t="shared" si="20"/>
        <v>0</v>
      </c>
      <c r="H45" s="17">
        <f t="shared" si="16"/>
        <v>0</v>
      </c>
      <c r="I45" s="31"/>
      <c r="J45" s="126"/>
      <c r="K45" s="126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.7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1">D47+D55+D64</f>
        <v>26.55</v>
      </c>
      <c r="E46" s="17">
        <f t="shared" si="21"/>
        <v>35.450000000000003</v>
      </c>
      <c r="F46" s="17">
        <f t="shared" si="21"/>
        <v>26.85</v>
      </c>
      <c r="G46" s="17">
        <f t="shared" si="21"/>
        <v>26.85</v>
      </c>
      <c r="H46" s="17">
        <f t="shared" si="16"/>
        <v>75.740479548660076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.7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2">D48+D49</f>
        <v>22.05</v>
      </c>
      <c r="E47" s="17">
        <f t="shared" si="22"/>
        <v>30.05</v>
      </c>
      <c r="F47" s="17">
        <f t="shared" si="22"/>
        <v>22.05</v>
      </c>
      <c r="G47" s="17">
        <f t="shared" si="22"/>
        <v>22.05</v>
      </c>
      <c r="H47" s="17">
        <f t="shared" si="16"/>
        <v>73.37770382695507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.75" customHeight="1" x14ac:dyDescent="0.25">
      <c r="A48" s="57" t="s">
        <v>32</v>
      </c>
      <c r="B48" s="58" t="s">
        <v>45</v>
      </c>
      <c r="C48" s="59" t="s">
        <v>18</v>
      </c>
      <c r="D48" s="31">
        <v>22.05</v>
      </c>
      <c r="E48" s="31">
        <f>D48+D49</f>
        <v>22.05</v>
      </c>
      <c r="F48" s="31">
        <v>22.05</v>
      </c>
      <c r="G48" s="31">
        <v>22.05</v>
      </c>
      <c r="H48" s="31">
        <f t="shared" si="16"/>
        <v>100</v>
      </c>
      <c r="I48" s="31"/>
      <c r="J48" s="53"/>
      <c r="K48" s="53"/>
      <c r="L48" s="53"/>
      <c r="M48" s="53"/>
      <c r="N48" s="53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.7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3">D50+D51</f>
        <v>0</v>
      </c>
      <c r="E49" s="17">
        <f t="shared" si="23"/>
        <v>8</v>
      </c>
      <c r="F49" s="17">
        <f t="shared" si="23"/>
        <v>0</v>
      </c>
      <c r="G49" s="17">
        <f t="shared" si="23"/>
        <v>0</v>
      </c>
      <c r="H49" s="17">
        <f t="shared" si="16"/>
        <v>0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0.75" customHeight="1" x14ac:dyDescent="0.25">
      <c r="A50" s="59" t="s">
        <v>47</v>
      </c>
      <c r="B50" s="64" t="s">
        <v>48</v>
      </c>
      <c r="C50" s="59" t="s">
        <v>18</v>
      </c>
      <c r="D50" s="31"/>
      <c r="E50" s="31">
        <v>8</v>
      </c>
      <c r="F50" s="31">
        <v>0</v>
      </c>
      <c r="G50" s="31">
        <v>0</v>
      </c>
      <c r="H50" s="17">
        <f t="shared" si="16"/>
        <v>0</v>
      </c>
      <c r="I50" s="31"/>
      <c r="J50" s="35"/>
      <c r="K50" s="126"/>
      <c r="L50" s="126"/>
      <c r="M50" s="126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.75" customHeight="1" x14ac:dyDescent="0.25">
      <c r="A51" s="59" t="s">
        <v>47</v>
      </c>
      <c r="B51" s="64" t="s">
        <v>49</v>
      </c>
      <c r="C51" s="30" t="s">
        <v>18</v>
      </c>
      <c r="D51" s="31"/>
      <c r="E51" s="31"/>
      <c r="F51" s="31"/>
      <c r="G51" s="31"/>
      <c r="H51" s="17"/>
      <c r="I51" s="31"/>
      <c r="J51" s="126"/>
      <c r="K51" s="126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.7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4">D53+D54</f>
        <v>13.33</v>
      </c>
      <c r="E52" s="17">
        <f t="shared" si="24"/>
        <v>18.7425</v>
      </c>
      <c r="F52" s="17">
        <f t="shared" si="24"/>
        <v>18.739999999999998</v>
      </c>
      <c r="G52" s="17">
        <f t="shared" si="24"/>
        <v>18.739999999999998</v>
      </c>
      <c r="H52" s="17">
        <f t="shared" ref="H52:H53" si="25">F52/E52*100</f>
        <v>99.986661331199144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0.75" customHeight="1" x14ac:dyDescent="0.25">
      <c r="A53" s="66" t="s">
        <v>47</v>
      </c>
      <c r="B53" s="64" t="s">
        <v>51</v>
      </c>
      <c r="C53" s="30" t="s">
        <v>18</v>
      </c>
      <c r="D53" s="31">
        <f>14.33-4</f>
        <v>10.33</v>
      </c>
      <c r="E53" s="31">
        <f>D48*85%</f>
        <v>18.7425</v>
      </c>
      <c r="F53" s="31">
        <v>18.739999999999998</v>
      </c>
      <c r="G53" s="31">
        <v>18.739999999999998</v>
      </c>
      <c r="H53" s="31">
        <f t="shared" si="25"/>
        <v>99.986661331199144</v>
      </c>
      <c r="I53" s="31"/>
      <c r="J53" s="126"/>
      <c r="K53" s="126"/>
      <c r="L53" s="135"/>
      <c r="M53" s="126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.75" customHeight="1" x14ac:dyDescent="0.25">
      <c r="A54" s="30"/>
      <c r="B54" s="64" t="s">
        <v>52</v>
      </c>
      <c r="C54" s="30" t="s">
        <v>18</v>
      </c>
      <c r="D54" s="31">
        <v>3</v>
      </c>
      <c r="E54" s="31"/>
      <c r="F54" s="31"/>
      <c r="G54" s="31"/>
      <c r="H54" s="17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.7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6">D56+D57</f>
        <v>4.5</v>
      </c>
      <c r="E55" s="17">
        <f t="shared" si="26"/>
        <v>5.4</v>
      </c>
      <c r="F55" s="17">
        <f t="shared" si="26"/>
        <v>4.8</v>
      </c>
      <c r="G55" s="17">
        <f t="shared" si="26"/>
        <v>4.8</v>
      </c>
      <c r="H55" s="17">
        <f t="shared" ref="H55:H63" si="27">F55/E55*100</f>
        <v>88.888888888888886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.75" customHeight="1" x14ac:dyDescent="0.25">
      <c r="A56" s="30" t="s">
        <v>32</v>
      </c>
      <c r="B56" s="58" t="s">
        <v>50</v>
      </c>
      <c r="C56" s="30" t="s">
        <v>18</v>
      </c>
      <c r="D56" s="31">
        <v>4.5</v>
      </c>
      <c r="E56" s="31">
        <f>D56+E58</f>
        <v>4.8</v>
      </c>
      <c r="F56" s="31">
        <v>4.8</v>
      </c>
      <c r="G56" s="31">
        <v>4.8</v>
      </c>
      <c r="H56" s="31">
        <f t="shared" si="27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.7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8">D58+D61</f>
        <v>0</v>
      </c>
      <c r="E57" s="31">
        <f t="shared" si="28"/>
        <v>0.60000000000000009</v>
      </c>
      <c r="F57" s="31">
        <f t="shared" si="28"/>
        <v>0</v>
      </c>
      <c r="G57" s="31">
        <f t="shared" si="28"/>
        <v>0</v>
      </c>
      <c r="H57" s="17">
        <f t="shared" si="27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.7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29">D59+D60</f>
        <v>0</v>
      </c>
      <c r="E58" s="71">
        <f t="shared" si="29"/>
        <v>0.30000000000000004</v>
      </c>
      <c r="F58" s="71">
        <f t="shared" si="29"/>
        <v>0</v>
      </c>
      <c r="G58" s="71">
        <f t="shared" si="29"/>
        <v>0</v>
      </c>
      <c r="H58" s="17">
        <f t="shared" si="27"/>
        <v>0</v>
      </c>
      <c r="I58" s="71"/>
      <c r="J58" s="138"/>
      <c r="K58" s="97"/>
      <c r="L58" s="97"/>
      <c r="M58" s="97"/>
      <c r="N58" s="97"/>
      <c r="O58" s="97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0.7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7">
        <f t="shared" si="27"/>
        <v>0</v>
      </c>
      <c r="I59" s="31"/>
      <c r="J59" s="35"/>
      <c r="K59" s="137"/>
      <c r="L59" s="137"/>
      <c r="M59" s="137"/>
      <c r="N59" s="137"/>
      <c r="O59" s="13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.7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7">
        <f t="shared" si="27"/>
        <v>0</v>
      </c>
      <c r="I60" s="31"/>
      <c r="J60" s="35"/>
      <c r="K60" s="137"/>
      <c r="L60" s="137"/>
      <c r="M60" s="137"/>
      <c r="N60" s="137"/>
      <c r="O60" s="13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.7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0">D62+D63</f>
        <v>0</v>
      </c>
      <c r="E61" s="71">
        <f t="shared" si="30"/>
        <v>0.30000000000000004</v>
      </c>
      <c r="F61" s="71">
        <f t="shared" si="30"/>
        <v>0</v>
      </c>
      <c r="G61" s="71">
        <f t="shared" si="30"/>
        <v>0</v>
      </c>
      <c r="H61" s="17">
        <f t="shared" si="27"/>
        <v>0</v>
      </c>
      <c r="I61" s="71"/>
      <c r="J61" s="35"/>
      <c r="K61" s="97"/>
      <c r="L61" s="138"/>
      <c r="M61" s="138"/>
      <c r="N61" s="138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0.7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0.2</v>
      </c>
      <c r="F62" s="31">
        <v>0</v>
      </c>
      <c r="G62" s="31">
        <v>0</v>
      </c>
      <c r="H62" s="17">
        <f t="shared" si="27"/>
        <v>0</v>
      </c>
      <c r="I62" s="31"/>
      <c r="J62" s="35"/>
      <c r="K62" s="137"/>
      <c r="L62" s="137"/>
      <c r="M62" s="137"/>
      <c r="N62" s="137"/>
      <c r="O62" s="13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.7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7"/>
        <v>0</v>
      </c>
      <c r="I63" s="31"/>
      <c r="J63" s="35"/>
      <c r="K63" s="137"/>
      <c r="L63" s="137"/>
      <c r="M63" s="137"/>
      <c r="N63" s="137"/>
      <c r="O63" s="13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.7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1">D65+D66</f>
        <v>0</v>
      </c>
      <c r="E64" s="17">
        <f t="shared" si="31"/>
        <v>0</v>
      </c>
      <c r="F64" s="17">
        <f t="shared" si="31"/>
        <v>0</v>
      </c>
      <c r="G64" s="17">
        <f t="shared" si="31"/>
        <v>0</v>
      </c>
      <c r="H64" s="17"/>
      <c r="I64" s="17"/>
      <c r="J64" s="35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.75" customHeight="1" x14ac:dyDescent="0.25">
      <c r="A65" s="30" t="s">
        <v>47</v>
      </c>
      <c r="B65" s="58" t="s">
        <v>45</v>
      </c>
      <c r="C65" s="30" t="s">
        <v>18</v>
      </c>
      <c r="D65" s="31"/>
      <c r="E65" s="31"/>
      <c r="F65" s="31"/>
      <c r="G65" s="31"/>
      <c r="H65" s="17"/>
      <c r="I65" s="31"/>
      <c r="J65" s="126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.7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.7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2">D68+D71</f>
        <v>13.45</v>
      </c>
      <c r="E67" s="17">
        <f t="shared" si="32"/>
        <v>12.61</v>
      </c>
      <c r="F67" s="17">
        <f t="shared" si="32"/>
        <v>10.52</v>
      </c>
      <c r="G67" s="17">
        <f t="shared" si="32"/>
        <v>10.52</v>
      </c>
      <c r="H67" s="17">
        <f t="shared" ref="H67:H75" si="33">F67/E67*100</f>
        <v>83.425852498017449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.7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4">D69+D70</f>
        <v>0.92</v>
      </c>
      <c r="E68" s="17">
        <f t="shared" si="34"/>
        <v>2.87</v>
      </c>
      <c r="F68" s="17">
        <f t="shared" si="34"/>
        <v>0.92</v>
      </c>
      <c r="G68" s="17">
        <f t="shared" si="34"/>
        <v>0.92</v>
      </c>
      <c r="H68" s="17">
        <f t="shared" si="33"/>
        <v>32.055749128919857</v>
      </c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.75" customHeight="1" x14ac:dyDescent="0.25">
      <c r="A69" s="30" t="s">
        <v>47</v>
      </c>
      <c r="B69" s="58" t="s">
        <v>69</v>
      </c>
      <c r="C69" s="30" t="s">
        <v>18</v>
      </c>
      <c r="D69" s="31">
        <v>0.77</v>
      </c>
      <c r="E69" s="31">
        <f>D69+D70</f>
        <v>0.92</v>
      </c>
      <c r="F69" s="31">
        <v>0.92</v>
      </c>
      <c r="G69" s="31">
        <v>0.92</v>
      </c>
      <c r="H69" s="31">
        <f t="shared" si="33"/>
        <v>100</v>
      </c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.75" customHeight="1" x14ac:dyDescent="0.25">
      <c r="A70" s="30" t="s">
        <v>47</v>
      </c>
      <c r="B70" s="58" t="s">
        <v>70</v>
      </c>
      <c r="C70" s="30" t="s">
        <v>18</v>
      </c>
      <c r="D70" s="31">
        <v>0.15</v>
      </c>
      <c r="E70" s="31">
        <v>1.95</v>
      </c>
      <c r="F70" s="31"/>
      <c r="G70" s="31"/>
      <c r="H70" s="17">
        <f t="shared" si="33"/>
        <v>0</v>
      </c>
      <c r="I70" s="31"/>
      <c r="J70" s="126"/>
      <c r="K70" s="28"/>
      <c r="L70" s="35"/>
      <c r="M70" s="28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.7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5">D72+D73</f>
        <v>12.53</v>
      </c>
      <c r="E71" s="17">
        <f t="shared" si="35"/>
        <v>9.74</v>
      </c>
      <c r="F71" s="17">
        <f t="shared" si="35"/>
        <v>9.6</v>
      </c>
      <c r="G71" s="17">
        <f t="shared" si="35"/>
        <v>9.6</v>
      </c>
      <c r="H71" s="17">
        <f t="shared" si="33"/>
        <v>98.562628336755637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.7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6">D75+D82</f>
        <v>12.03</v>
      </c>
      <c r="E72" s="87">
        <f t="shared" si="36"/>
        <v>9.6</v>
      </c>
      <c r="F72" s="87">
        <f t="shared" si="36"/>
        <v>9.6</v>
      </c>
      <c r="G72" s="87">
        <f t="shared" si="36"/>
        <v>9.6</v>
      </c>
      <c r="H72" s="17">
        <f t="shared" si="33"/>
        <v>100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.7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7">D76+D83</f>
        <v>0.5</v>
      </c>
      <c r="E73" s="17">
        <f t="shared" si="37"/>
        <v>0.14000000000000001</v>
      </c>
      <c r="F73" s="17">
        <f t="shared" si="37"/>
        <v>0</v>
      </c>
      <c r="G73" s="17">
        <f t="shared" si="37"/>
        <v>0</v>
      </c>
      <c r="H73" s="17">
        <f t="shared" si="33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.7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38">D75+D76</f>
        <v>9.1</v>
      </c>
      <c r="E74" s="91">
        <f t="shared" si="38"/>
        <v>9.1</v>
      </c>
      <c r="F74" s="91">
        <f t="shared" si="38"/>
        <v>9.1</v>
      </c>
      <c r="G74" s="91">
        <f t="shared" si="38"/>
        <v>9.1</v>
      </c>
      <c r="H74" s="17">
        <f t="shared" si="33"/>
        <v>100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0.75" customHeight="1" x14ac:dyDescent="0.25">
      <c r="A75" s="57" t="s">
        <v>32</v>
      </c>
      <c r="B75" s="93" t="s">
        <v>45</v>
      </c>
      <c r="C75" s="30" t="s">
        <v>18</v>
      </c>
      <c r="D75" s="60">
        <f>8.1+1</f>
        <v>9.1</v>
      </c>
      <c r="E75" s="60">
        <f>D75+D76</f>
        <v>9.1</v>
      </c>
      <c r="F75" s="60">
        <v>9.1</v>
      </c>
      <c r="G75" s="60">
        <v>9.1</v>
      </c>
      <c r="H75" s="31">
        <f t="shared" si="33"/>
        <v>100</v>
      </c>
      <c r="I75" s="31"/>
      <c r="J75" s="126"/>
      <c r="K75" s="126"/>
      <c r="L75" s="115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0.7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39">SUM(D77:D80)</f>
        <v>0</v>
      </c>
      <c r="E76" s="141">
        <f t="shared" si="39"/>
        <v>0</v>
      </c>
      <c r="F76" s="141">
        <f t="shared" si="39"/>
        <v>0</v>
      </c>
      <c r="G76" s="141">
        <f t="shared" si="39"/>
        <v>0</v>
      </c>
      <c r="H76" s="17"/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0.75" customHeight="1" x14ac:dyDescent="0.25">
      <c r="A77" s="46" t="s">
        <v>47</v>
      </c>
      <c r="B77" s="94" t="s">
        <v>80</v>
      </c>
      <c r="C77" s="46" t="s">
        <v>18</v>
      </c>
      <c r="D77" s="31"/>
      <c r="E77" s="31"/>
      <c r="F77" s="31"/>
      <c r="G77" s="31"/>
      <c r="H77" s="17"/>
      <c r="I77" s="31"/>
      <c r="J77" s="138"/>
      <c r="K77" s="138"/>
      <c r="L77" s="97"/>
      <c r="M77" s="97"/>
      <c r="N77" s="143"/>
      <c r="O77" s="2"/>
      <c r="P77" s="38"/>
      <c r="Q77" s="2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 x14ac:dyDescent="0.25">
      <c r="A78" s="46" t="s">
        <v>47</v>
      </c>
      <c r="B78" s="94" t="s">
        <v>81</v>
      </c>
      <c r="C78" s="46" t="s">
        <v>18</v>
      </c>
      <c r="D78" s="31"/>
      <c r="E78" s="31">
        <v>0</v>
      </c>
      <c r="F78" s="31"/>
      <c r="G78" s="31"/>
      <c r="H78" s="17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0.7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17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0.75" customHeight="1" x14ac:dyDescent="0.25">
      <c r="A80" s="46" t="s">
        <v>47</v>
      </c>
      <c r="B80" s="144" t="s">
        <v>83</v>
      </c>
      <c r="C80" s="46" t="s">
        <v>18</v>
      </c>
      <c r="D80" s="31"/>
      <c r="E80" s="31"/>
      <c r="F80" s="31"/>
      <c r="G80" s="31"/>
      <c r="H80" s="17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0">D82+D83</f>
        <v>3.43</v>
      </c>
      <c r="E81" s="91">
        <f t="shared" si="40"/>
        <v>0.64</v>
      </c>
      <c r="F81" s="91">
        <f t="shared" si="40"/>
        <v>0.5</v>
      </c>
      <c r="G81" s="91">
        <f t="shared" si="40"/>
        <v>0.5</v>
      </c>
      <c r="H81" s="96">
        <f t="shared" ref="H81:H83" si="41">F81/E81*100</f>
        <v>78.125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0.75" customHeight="1" x14ac:dyDescent="0.25">
      <c r="A82" s="107" t="s">
        <v>47</v>
      </c>
      <c r="B82" s="94" t="s">
        <v>85</v>
      </c>
      <c r="C82" s="46" t="s">
        <v>18</v>
      </c>
      <c r="D82" s="71">
        <v>2.93</v>
      </c>
      <c r="E82" s="71">
        <v>0.5</v>
      </c>
      <c r="F82" s="71">
        <v>0.5</v>
      </c>
      <c r="G82" s="71">
        <v>0.5</v>
      </c>
      <c r="H82" s="31">
        <f t="shared" si="41"/>
        <v>100</v>
      </c>
      <c r="I82" s="71"/>
      <c r="J82" s="138"/>
      <c r="K82" s="138"/>
      <c r="L82" s="143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0.7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2">SUM(D84:D87)</f>
        <v>0.5</v>
      </c>
      <c r="E83" s="60">
        <f t="shared" si="42"/>
        <v>0.14000000000000001</v>
      </c>
      <c r="F83" s="60">
        <f t="shared" si="42"/>
        <v>0</v>
      </c>
      <c r="G83" s="60">
        <f t="shared" si="42"/>
        <v>0</v>
      </c>
      <c r="H83" s="17">
        <f t="shared" si="41"/>
        <v>0</v>
      </c>
      <c r="I83" s="60"/>
      <c r="J83" s="138"/>
      <c r="K83" s="138"/>
      <c r="L83" s="138"/>
      <c r="M83" s="138"/>
      <c r="N83" s="13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.7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7"/>
      <c r="I84" s="31"/>
      <c r="J84" s="97"/>
      <c r="K84" s="97"/>
      <c r="L84" s="97"/>
      <c r="M84" s="97"/>
      <c r="N84" s="9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.7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7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.7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7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0.75" customHeight="1" x14ac:dyDescent="0.25">
      <c r="A87" s="107" t="s">
        <v>47</v>
      </c>
      <c r="B87" s="94" t="s">
        <v>89</v>
      </c>
      <c r="C87" s="46" t="s">
        <v>18</v>
      </c>
      <c r="D87" s="31">
        <v>0.5</v>
      </c>
      <c r="E87" s="31">
        <v>0.14000000000000001</v>
      </c>
      <c r="F87" s="31">
        <v>0</v>
      </c>
      <c r="G87" s="31">
        <v>0</v>
      </c>
      <c r="H87" s="17">
        <f t="shared" ref="H87:H91" si="43">F87/E87*100</f>
        <v>0</v>
      </c>
      <c r="I87" s="31"/>
      <c r="J87" s="97"/>
      <c r="K87" s="97"/>
      <c r="L87" s="97"/>
      <c r="M87" s="143"/>
      <c r="N87" s="143"/>
      <c r="O87" s="38"/>
      <c r="P87" s="38"/>
      <c r="Q87" s="38"/>
      <c r="R87" s="45"/>
      <c r="S87" s="1"/>
      <c r="T87" s="1"/>
      <c r="U87" s="1"/>
      <c r="V87" s="1"/>
      <c r="W87" s="1"/>
      <c r="X87" s="1"/>
      <c r="Y87" s="1"/>
      <c r="Z87" s="1"/>
    </row>
    <row r="88" spans="1:26" ht="30.75" customHeight="1" x14ac:dyDescent="0.25">
      <c r="A88" s="15" t="s">
        <v>90</v>
      </c>
      <c r="B88" s="24" t="s">
        <v>91</v>
      </c>
      <c r="C88" s="15"/>
      <c r="D88" s="17">
        <f t="shared" ref="D88:G88" si="44">SUM(D89:D93)</f>
        <v>363</v>
      </c>
      <c r="E88" s="17">
        <f t="shared" si="44"/>
        <v>322</v>
      </c>
      <c r="F88" s="17">
        <f t="shared" si="44"/>
        <v>266</v>
      </c>
      <c r="G88" s="17">
        <f t="shared" si="44"/>
        <v>266</v>
      </c>
      <c r="H88" s="17">
        <f t="shared" si="43"/>
        <v>82.608695652173907</v>
      </c>
      <c r="I88" s="17"/>
      <c r="J88" s="28"/>
      <c r="K88" s="28"/>
      <c r="L88" s="134"/>
      <c r="M88" s="134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.75" customHeight="1" x14ac:dyDescent="0.25">
      <c r="A89" s="30">
        <v>1</v>
      </c>
      <c r="B89" s="27" t="s">
        <v>92</v>
      </c>
      <c r="C89" s="30" t="s">
        <v>93</v>
      </c>
      <c r="D89" s="31">
        <v>30</v>
      </c>
      <c r="E89" s="31">
        <f>31+16</f>
        <v>47</v>
      </c>
      <c r="F89" s="31">
        <v>45</v>
      </c>
      <c r="G89" s="31">
        <f t="shared" ref="G89:G91" si="45">F89</f>
        <v>45</v>
      </c>
      <c r="H89" s="31">
        <f t="shared" si="43"/>
        <v>95.744680851063833</v>
      </c>
      <c r="I89" s="31"/>
      <c r="J89" s="55"/>
      <c r="K89" s="79"/>
      <c r="L89" s="171"/>
      <c r="M89" s="172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0.75" customHeight="1" x14ac:dyDescent="0.25">
      <c r="A90" s="30">
        <v>2</v>
      </c>
      <c r="B90" s="27" t="s">
        <v>94</v>
      </c>
      <c r="C90" s="30" t="s">
        <v>93</v>
      </c>
      <c r="D90" s="31">
        <f>51+5</f>
        <v>56</v>
      </c>
      <c r="E90" s="31">
        <f>50+8</f>
        <v>58</v>
      </c>
      <c r="F90" s="31">
        <v>56</v>
      </c>
      <c r="G90" s="31">
        <f t="shared" si="45"/>
        <v>56</v>
      </c>
      <c r="H90" s="31">
        <f t="shared" si="43"/>
        <v>96.551724137931032</v>
      </c>
      <c r="I90" s="31"/>
      <c r="J90" s="55"/>
      <c r="K90" s="173"/>
      <c r="L90" s="171"/>
      <c r="M90" s="172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0.75" customHeight="1" x14ac:dyDescent="0.25">
      <c r="A91" s="30">
        <v>3</v>
      </c>
      <c r="B91" s="27" t="s">
        <v>97</v>
      </c>
      <c r="C91" s="30" t="s">
        <v>93</v>
      </c>
      <c r="D91" s="31">
        <f>29+10</f>
        <v>39</v>
      </c>
      <c r="E91" s="31">
        <f>20+6</f>
        <v>26</v>
      </c>
      <c r="F91" s="31">
        <v>20</v>
      </c>
      <c r="G91" s="31">
        <f t="shared" si="45"/>
        <v>20</v>
      </c>
      <c r="H91" s="31">
        <f t="shared" si="43"/>
        <v>76.923076923076934</v>
      </c>
      <c r="I91" s="31"/>
      <c r="J91" s="55"/>
      <c r="K91" s="173"/>
      <c r="L91" s="171"/>
      <c r="M91" s="172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0.75" customHeight="1" x14ac:dyDescent="0.25">
      <c r="A92" s="30">
        <v>4</v>
      </c>
      <c r="B92" s="27" t="s">
        <v>98</v>
      </c>
      <c r="C92" s="30" t="s">
        <v>93</v>
      </c>
      <c r="D92" s="31"/>
      <c r="E92" s="31"/>
      <c r="F92" s="31"/>
      <c r="G92" s="31"/>
      <c r="H92" s="17"/>
      <c r="I92" s="31"/>
      <c r="J92" s="28"/>
      <c r="K92" s="28"/>
      <c r="L92" s="174"/>
      <c r="M92" s="172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.75" customHeight="1" x14ac:dyDescent="0.25">
      <c r="A93" s="30">
        <v>5</v>
      </c>
      <c r="B93" s="27" t="s">
        <v>99</v>
      </c>
      <c r="C93" s="30" t="s">
        <v>93</v>
      </c>
      <c r="D93" s="31">
        <f>223+15</f>
        <v>238</v>
      </c>
      <c r="E93" s="31">
        <f>211-20</f>
        <v>191</v>
      </c>
      <c r="F93" s="31">
        <v>145</v>
      </c>
      <c r="G93" s="31">
        <f>F93</f>
        <v>145</v>
      </c>
      <c r="H93" s="31">
        <f>F93/E93*100</f>
        <v>75.916230366492144</v>
      </c>
      <c r="I93" s="31"/>
      <c r="J93" s="79"/>
      <c r="K93" s="79"/>
      <c r="L93" s="174"/>
      <c r="M93" s="172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0.7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6">D95</f>
        <v>0</v>
      </c>
      <c r="E94" s="17">
        <f t="shared" si="46"/>
        <v>0</v>
      </c>
      <c r="F94" s="17">
        <f t="shared" si="46"/>
        <v>0</v>
      </c>
      <c r="G94" s="17">
        <f t="shared" si="46"/>
        <v>0</v>
      </c>
      <c r="H94" s="17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0.75" customHeight="1" x14ac:dyDescent="0.25">
      <c r="A95" s="46" t="s">
        <v>47</v>
      </c>
      <c r="B95" s="76" t="s">
        <v>102</v>
      </c>
      <c r="C95" s="46" t="s">
        <v>18</v>
      </c>
      <c r="D95" s="31"/>
      <c r="E95" s="31"/>
      <c r="F95" s="31"/>
      <c r="G95" s="31"/>
      <c r="H95" s="17"/>
      <c r="I95" s="31"/>
      <c r="J95" s="35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.7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7">D97+D98</f>
        <v>0</v>
      </c>
      <c r="E96" s="17">
        <f t="shared" si="47"/>
        <v>0</v>
      </c>
      <c r="F96" s="17">
        <f t="shared" si="47"/>
        <v>0</v>
      </c>
      <c r="G96" s="17">
        <f t="shared" si="47"/>
        <v>0</v>
      </c>
      <c r="H96" s="17"/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.75" customHeight="1" x14ac:dyDescent="0.25">
      <c r="A97" s="30" t="s">
        <v>47</v>
      </c>
      <c r="B97" s="93" t="s">
        <v>263</v>
      </c>
      <c r="C97" s="46" t="s">
        <v>18</v>
      </c>
      <c r="D97" s="31"/>
      <c r="E97" s="31"/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.75" customHeight="1" x14ac:dyDescent="0.25">
      <c r="A98" s="123" t="s">
        <v>47</v>
      </c>
      <c r="B98" s="93" t="s">
        <v>109</v>
      </c>
      <c r="C98" s="46" t="s">
        <v>18</v>
      </c>
      <c r="D98" s="31"/>
      <c r="E98" s="31"/>
      <c r="F98" s="31"/>
      <c r="G98" s="31"/>
      <c r="H98" s="17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9055118110236227" bottom="0.55118110236220474" header="0" footer="0"/>
  <pageSetup scale="8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6.21875" customWidth="1"/>
    <col min="2" max="2" width="31" customWidth="1"/>
    <col min="3" max="3" width="9.6640625" customWidth="1"/>
    <col min="4" max="4" width="17.77734375" customWidth="1"/>
    <col min="5" max="5" width="17.88671875" customWidth="1"/>
    <col min="6" max="9" width="12.6640625" customWidth="1"/>
    <col min="10" max="10" width="8.88671875" customWidth="1"/>
    <col min="11" max="11" width="20.77734375" customWidth="1"/>
    <col min="12" max="12" width="11.5546875" customWidth="1"/>
    <col min="13" max="14" width="8.88671875" customWidth="1"/>
    <col min="15" max="21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276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'ĐĂK SIÊNG(10)'!A5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60">
        <v>113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60">
        <v>416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88.3</v>
      </c>
      <c r="E9" s="17">
        <f t="shared" si="0"/>
        <v>96.78</v>
      </c>
      <c r="F9" s="17">
        <f t="shared" si="0"/>
        <v>78.7</v>
      </c>
      <c r="G9" s="17">
        <f t="shared" si="0"/>
        <v>78.7</v>
      </c>
      <c r="H9" s="17">
        <f t="shared" ref="H9:H11" si="1">F9/E9*100</f>
        <v>81.31845422607978</v>
      </c>
      <c r="I9" s="17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2.2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</v>
      </c>
      <c r="F10" s="17">
        <f t="shared" si="2"/>
        <v>1</v>
      </c>
      <c r="G10" s="17">
        <f t="shared" si="2"/>
        <v>1</v>
      </c>
      <c r="H10" s="17">
        <f t="shared" si="1"/>
        <v>100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2.2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3.69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133"/>
      <c r="K11" s="133"/>
      <c r="L11" s="133"/>
      <c r="M11" s="133"/>
      <c r="N11" s="133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2.2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0</v>
      </c>
      <c r="F12" s="17">
        <f t="shared" si="4"/>
        <v>0</v>
      </c>
      <c r="G12" s="17">
        <f t="shared" si="4"/>
        <v>0</v>
      </c>
      <c r="H12" s="17"/>
      <c r="I12" s="17"/>
      <c r="J12" s="133"/>
      <c r="K12" s="133"/>
      <c r="L12" s="133"/>
      <c r="M12" s="133"/>
      <c r="N12" s="133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2.2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0</v>
      </c>
      <c r="F13" s="17">
        <f t="shared" si="5"/>
        <v>0</v>
      </c>
      <c r="G13" s="17">
        <f t="shared" si="5"/>
        <v>0</v>
      </c>
      <c r="H13" s="17"/>
      <c r="I13" s="17"/>
      <c r="J13" s="126"/>
      <c r="K13" s="126"/>
      <c r="L13" s="126"/>
      <c r="M13" s="126"/>
      <c r="N13" s="12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>F14/E14*100</f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0</v>
      </c>
      <c r="F15" s="31">
        <f t="shared" si="7"/>
        <v>0</v>
      </c>
      <c r="G15" s="31">
        <f t="shared" si="7"/>
        <v>0</v>
      </c>
      <c r="H15" s="17"/>
      <c r="I15" s="31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 x14ac:dyDescent="0.25">
      <c r="A16" s="15" t="s">
        <v>28</v>
      </c>
      <c r="B16" s="16" t="s">
        <v>29</v>
      </c>
      <c r="C16" s="15" t="s">
        <v>18</v>
      </c>
      <c r="D16" s="17"/>
      <c r="E16" s="17"/>
      <c r="F16" s="31"/>
      <c r="G16" s="31"/>
      <c r="H16" s="17"/>
      <c r="I16" s="31"/>
      <c r="J16" s="126"/>
      <c r="K16" s="126"/>
      <c r="L16" s="126"/>
      <c r="M16" s="126"/>
      <c r="N16" s="126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/>
      <c r="H17" s="17">
        <f>F17/E17*100</f>
        <v>0</v>
      </c>
      <c r="I17" s="31"/>
      <c r="J17" s="126"/>
      <c r="K17" s="126"/>
      <c r="L17" s="126"/>
      <c r="M17" s="126"/>
      <c r="N17" s="12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25">
      <c r="A18" s="15"/>
      <c r="B18" s="27" t="s">
        <v>27</v>
      </c>
      <c r="C18" s="30" t="s">
        <v>21</v>
      </c>
      <c r="D18" s="17"/>
      <c r="E18" s="17"/>
      <c r="F18" s="31"/>
      <c r="G18" s="31"/>
      <c r="H18" s="17"/>
      <c r="I18" s="31"/>
      <c r="J18" s="126"/>
      <c r="K18" s="126"/>
      <c r="L18" s="126"/>
      <c r="M18" s="126"/>
      <c r="N18" s="126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8">D22+D25</f>
        <v>0</v>
      </c>
      <c r="E19" s="17">
        <f t="shared" si="8"/>
        <v>0</v>
      </c>
      <c r="F19" s="17">
        <f t="shared" si="8"/>
        <v>0</v>
      </c>
      <c r="G19" s="17">
        <f t="shared" si="8"/>
        <v>0</v>
      </c>
      <c r="H19" s="17"/>
      <c r="I19" s="17"/>
      <c r="J19" s="126"/>
      <c r="K19" s="126"/>
      <c r="L19" s="126"/>
      <c r="M19" s="126"/>
      <c r="N19" s="12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2.25" customHeight="1" x14ac:dyDescent="0.25">
      <c r="A20" s="40"/>
      <c r="B20" s="27" t="s">
        <v>25</v>
      </c>
      <c r="C20" s="30" t="s">
        <v>26</v>
      </c>
      <c r="D20" s="31">
        <f t="shared" ref="D20:G20" si="9">(D23+D26)/2</f>
        <v>26.75</v>
      </c>
      <c r="E20" s="31">
        <f t="shared" si="9"/>
        <v>26.770000000000003</v>
      </c>
      <c r="F20" s="31">
        <f t="shared" si="9"/>
        <v>0</v>
      </c>
      <c r="G20" s="31">
        <f t="shared" si="9"/>
        <v>0</v>
      </c>
      <c r="H20" s="17">
        <f>F20/E20*100</f>
        <v>0</v>
      </c>
      <c r="I20" s="31"/>
      <c r="J20" s="126"/>
      <c r="K20" s="126"/>
      <c r="L20" s="126"/>
      <c r="M20" s="126"/>
      <c r="N20" s="12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2.25" customHeight="1" x14ac:dyDescent="0.25">
      <c r="A21" s="40"/>
      <c r="B21" s="27" t="s">
        <v>27</v>
      </c>
      <c r="C21" s="30" t="s">
        <v>21</v>
      </c>
      <c r="D21" s="31">
        <f t="shared" ref="D21:G21" si="10">D19*D20/10</f>
        <v>0</v>
      </c>
      <c r="E21" s="31">
        <f t="shared" si="10"/>
        <v>0</v>
      </c>
      <c r="F21" s="31">
        <f t="shared" si="10"/>
        <v>0</v>
      </c>
      <c r="G21" s="31">
        <f t="shared" si="10"/>
        <v>0</v>
      </c>
      <c r="H21" s="17"/>
      <c r="I21" s="31"/>
      <c r="J21" s="126"/>
      <c r="K21" s="126"/>
      <c r="L21" s="126"/>
      <c r="M21" s="126"/>
      <c r="N21" s="12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customHeight="1" x14ac:dyDescent="0.25">
      <c r="A22" s="40" t="s">
        <v>32</v>
      </c>
      <c r="B22" s="41" t="s">
        <v>33</v>
      </c>
      <c r="C22" s="40" t="s">
        <v>18</v>
      </c>
      <c r="D22" s="17"/>
      <c r="E22" s="31">
        <v>0</v>
      </c>
      <c r="F22" s="31"/>
      <c r="G22" s="31"/>
      <c r="H22" s="17"/>
      <c r="I22" s="31"/>
      <c r="J22" s="126"/>
      <c r="K22" s="126"/>
      <c r="L22" s="126"/>
      <c r="M22" s="126"/>
      <c r="N22" s="12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>F23/E23*100</f>
        <v>0</v>
      </c>
      <c r="I23" s="31"/>
      <c r="J23" s="126"/>
      <c r="K23" s="126"/>
      <c r="L23" s="126"/>
      <c r="M23" s="126"/>
      <c r="N23" s="126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 x14ac:dyDescent="0.25">
      <c r="A24" s="40"/>
      <c r="B24" s="27" t="s">
        <v>27</v>
      </c>
      <c r="C24" s="30" t="s">
        <v>21</v>
      </c>
      <c r="D24" s="17">
        <f t="shared" ref="D24:G24" si="11">D22*D23/10</f>
        <v>0</v>
      </c>
      <c r="E24" s="17">
        <f t="shared" si="11"/>
        <v>0</v>
      </c>
      <c r="F24" s="17">
        <f t="shared" si="11"/>
        <v>0</v>
      </c>
      <c r="G24" s="17">
        <f t="shared" si="11"/>
        <v>0</v>
      </c>
      <c r="H24" s="17"/>
      <c r="I24" s="17"/>
      <c r="J24" s="126"/>
      <c r="K24" s="126"/>
      <c r="L24" s="126"/>
      <c r="M24" s="126"/>
      <c r="N24" s="126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 x14ac:dyDescent="0.25">
      <c r="A25" s="40" t="s">
        <v>32</v>
      </c>
      <c r="B25" s="41" t="s">
        <v>34</v>
      </c>
      <c r="C25" s="40" t="s">
        <v>18</v>
      </c>
      <c r="D25" s="17"/>
      <c r="E25" s="17">
        <v>0</v>
      </c>
      <c r="F25" s="31"/>
      <c r="G25" s="31"/>
      <c r="H25" s="17"/>
      <c r="I25" s="31"/>
      <c r="J25" s="53"/>
      <c r="K25" s="53"/>
      <c r="L25" s="53"/>
      <c r="M25" s="53"/>
      <c r="N25" s="53"/>
      <c r="O25" s="33"/>
      <c r="P25" s="33"/>
      <c r="Q25" s="33"/>
      <c r="R25" s="33"/>
      <c r="S25" s="2"/>
      <c r="T25" s="1"/>
      <c r="U25" s="1"/>
      <c r="V25" s="1"/>
      <c r="W25" s="1"/>
      <c r="X25" s="1"/>
      <c r="Y25" s="1"/>
      <c r="Z25" s="1"/>
    </row>
    <row r="26" spans="1:26" ht="32.2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/>
      <c r="I26" s="31"/>
      <c r="J26" s="53"/>
      <c r="K26" s="53"/>
      <c r="L26" s="53"/>
      <c r="M26" s="53"/>
      <c r="N26" s="53"/>
      <c r="O26" s="33"/>
      <c r="P26" s="33"/>
      <c r="Q26" s="33"/>
      <c r="R26" s="33"/>
      <c r="S26" s="2"/>
      <c r="T26" s="1"/>
      <c r="U26" s="1"/>
      <c r="V26" s="1"/>
      <c r="W26" s="1"/>
      <c r="X26" s="1"/>
      <c r="Y26" s="1"/>
      <c r="Z26" s="1"/>
    </row>
    <row r="27" spans="1:26" ht="32.25" customHeight="1" x14ac:dyDescent="0.25">
      <c r="A27" s="40"/>
      <c r="B27" s="27" t="s">
        <v>27</v>
      </c>
      <c r="C27" s="30" t="s">
        <v>21</v>
      </c>
      <c r="D27" s="31">
        <f t="shared" ref="D27:G27" si="12">D25*D26/10</f>
        <v>0</v>
      </c>
      <c r="E27" s="31">
        <f t="shared" si="12"/>
        <v>0</v>
      </c>
      <c r="F27" s="31">
        <f t="shared" si="12"/>
        <v>0</v>
      </c>
      <c r="G27" s="31">
        <f t="shared" si="12"/>
        <v>0</v>
      </c>
      <c r="H27" s="17"/>
      <c r="I27" s="31"/>
      <c r="J27" s="53"/>
      <c r="K27" s="53"/>
      <c r="L27" s="53"/>
      <c r="M27" s="53"/>
      <c r="N27" s="53"/>
      <c r="O27" s="33"/>
      <c r="P27" s="33"/>
      <c r="Q27" s="33"/>
      <c r="R27" s="33"/>
      <c r="S27" s="2"/>
      <c r="T27" s="1"/>
      <c r="U27" s="1"/>
      <c r="V27" s="1"/>
      <c r="W27" s="1"/>
      <c r="X27" s="1"/>
      <c r="Y27" s="1"/>
      <c r="Z27" s="1"/>
    </row>
    <row r="28" spans="1:26" ht="32.2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17">
        <f t="shared" ref="H28:H30" si="14">F28/E28*100</f>
        <v>100</v>
      </c>
      <c r="I28" s="17"/>
      <c r="J28" s="126"/>
      <c r="K28" s="126"/>
      <c r="L28" s="126"/>
      <c r="M28" s="126"/>
      <c r="N28" s="126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 x14ac:dyDescent="0.25">
      <c r="A29" s="15"/>
      <c r="B29" s="27" t="s">
        <v>25</v>
      </c>
      <c r="C29" s="30" t="s">
        <v>26</v>
      </c>
      <c r="D29" s="31">
        <f t="shared" ref="D29:G29" si="15">D35</f>
        <v>36.85</v>
      </c>
      <c r="E29" s="31">
        <f t="shared" si="15"/>
        <v>36.9</v>
      </c>
      <c r="F29" s="31">
        <f t="shared" si="15"/>
        <v>0</v>
      </c>
      <c r="G29" s="31">
        <f t="shared" si="15"/>
        <v>0</v>
      </c>
      <c r="H29" s="17">
        <f t="shared" si="14"/>
        <v>0</v>
      </c>
      <c r="I29" s="31"/>
      <c r="J29" s="126"/>
      <c r="K29" s="126"/>
      <c r="L29" s="182"/>
      <c r="M29" s="182"/>
      <c r="N29" s="182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</row>
    <row r="30" spans="1:26" ht="32.25" customHeight="1" x14ac:dyDescent="0.25">
      <c r="A30" s="15"/>
      <c r="B30" s="27" t="s">
        <v>27</v>
      </c>
      <c r="C30" s="30" t="s">
        <v>21</v>
      </c>
      <c r="D30" s="31">
        <f t="shared" ref="D30:G30" si="16">D28*D29/10</f>
        <v>3.6850000000000001</v>
      </c>
      <c r="E30" s="31">
        <f t="shared" si="16"/>
        <v>3.69</v>
      </c>
      <c r="F30" s="31">
        <f t="shared" si="16"/>
        <v>0</v>
      </c>
      <c r="G30" s="31">
        <f t="shared" si="16"/>
        <v>0</v>
      </c>
      <c r="H30" s="17">
        <f t="shared" si="14"/>
        <v>0</v>
      </c>
      <c r="I30" s="31"/>
      <c r="J30" s="126"/>
      <c r="K30" s="126"/>
      <c r="L30" s="182"/>
      <c r="M30" s="182"/>
      <c r="N30" s="182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ht="32.2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7"/>
      <c r="I31" s="17"/>
      <c r="J31" s="126"/>
      <c r="K31" s="137"/>
      <c r="L31" s="155"/>
      <c r="M31" s="155"/>
      <c r="N31" s="155"/>
      <c r="O31" s="155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126"/>
      <c r="K32" s="137"/>
      <c r="L32" s="155"/>
      <c r="M32" s="155"/>
      <c r="N32" s="155"/>
      <c r="O32" s="155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126"/>
      <c r="K33" s="137"/>
      <c r="L33" s="155"/>
      <c r="M33" s="155"/>
      <c r="N33" s="155"/>
      <c r="O33" s="155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7">
        <f t="shared" ref="H34:H53" si="17">F34/E34*100</f>
        <v>100</v>
      </c>
      <c r="I34" s="31"/>
      <c r="J34" s="126"/>
      <c r="K34" s="44"/>
      <c r="L34" s="44"/>
      <c r="M34" s="44"/>
      <c r="N34" s="44"/>
      <c r="O34" s="44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7"/>
        <v>0</v>
      </c>
      <c r="I35" s="31"/>
      <c r="J35" s="126"/>
      <c r="K35" s="44"/>
      <c r="L35" s="186"/>
      <c r="M35" s="186"/>
      <c r="N35" s="186"/>
      <c r="O35" s="186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</row>
    <row r="36" spans="1:26" ht="32.25" customHeight="1" x14ac:dyDescent="0.25">
      <c r="A36" s="40"/>
      <c r="B36" s="27" t="s">
        <v>27</v>
      </c>
      <c r="C36" s="30" t="s">
        <v>21</v>
      </c>
      <c r="D36" s="31">
        <f t="shared" ref="D36:G36" si="18">D34*D35/10</f>
        <v>3.6850000000000001</v>
      </c>
      <c r="E36" s="31">
        <f t="shared" si="18"/>
        <v>3.69</v>
      </c>
      <c r="F36" s="31">
        <f t="shared" si="18"/>
        <v>0</v>
      </c>
      <c r="G36" s="31">
        <f t="shared" si="18"/>
        <v>0</v>
      </c>
      <c r="H36" s="17">
        <f t="shared" si="17"/>
        <v>0</v>
      </c>
      <c r="I36" s="31"/>
      <c r="J36" s="126"/>
      <c r="K36" s="44"/>
      <c r="L36" s="186"/>
      <c r="M36" s="186"/>
      <c r="N36" s="186"/>
      <c r="O36" s="186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</row>
    <row r="37" spans="1:26" ht="32.25" customHeight="1" x14ac:dyDescent="0.25">
      <c r="A37" s="15">
        <v>2</v>
      </c>
      <c r="B37" s="16" t="s">
        <v>39</v>
      </c>
      <c r="C37" s="15" t="s">
        <v>18</v>
      </c>
      <c r="D37" s="17">
        <v>27</v>
      </c>
      <c r="E37" s="17">
        <v>24.31</v>
      </c>
      <c r="F37" s="17">
        <v>24.31</v>
      </c>
      <c r="G37" s="17">
        <v>24.31</v>
      </c>
      <c r="H37" s="17">
        <f t="shared" si="17"/>
        <v>100</v>
      </c>
      <c r="I37" s="17"/>
      <c r="J37" s="53"/>
      <c r="K37" s="53"/>
      <c r="L37" s="53"/>
      <c r="M37" s="53"/>
      <c r="N37" s="53"/>
      <c r="O37" s="53"/>
      <c r="P37" s="33"/>
      <c r="Q37" s="33"/>
      <c r="R37" s="33"/>
      <c r="S37" s="33"/>
      <c r="T37" s="33"/>
      <c r="U37" s="33"/>
      <c r="V37" s="1"/>
      <c r="W37" s="1"/>
      <c r="X37" s="1"/>
      <c r="Y37" s="1"/>
      <c r="Z37" s="1"/>
    </row>
    <row r="38" spans="1:26" ht="32.2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7"/>
        <v>0</v>
      </c>
      <c r="I38" s="31"/>
      <c r="J38" s="53"/>
      <c r="K38" s="53"/>
      <c r="L38" s="189"/>
      <c r="M38" s="189"/>
      <c r="N38" s="189"/>
      <c r="O38" s="189"/>
      <c r="P38" s="195"/>
      <c r="Q38" s="195"/>
      <c r="R38" s="195"/>
      <c r="S38" s="195"/>
      <c r="T38" s="195"/>
      <c r="U38" s="195"/>
      <c r="V38" s="183"/>
      <c r="W38" s="183"/>
      <c r="X38" s="183"/>
      <c r="Y38" s="183"/>
      <c r="Z38" s="183"/>
    </row>
    <row r="39" spans="1:26" ht="32.25" customHeight="1" x14ac:dyDescent="0.25">
      <c r="A39" s="15"/>
      <c r="B39" s="27" t="s">
        <v>27</v>
      </c>
      <c r="C39" s="30" t="s">
        <v>21</v>
      </c>
      <c r="D39" s="31">
        <f t="shared" ref="D39:G39" si="19">D37*D38/10</f>
        <v>371.25</v>
      </c>
      <c r="E39" s="31">
        <f t="shared" si="19"/>
        <v>340.34</v>
      </c>
      <c r="F39" s="31">
        <f t="shared" si="19"/>
        <v>0</v>
      </c>
      <c r="G39" s="31">
        <f t="shared" si="19"/>
        <v>0</v>
      </c>
      <c r="H39" s="17">
        <f t="shared" si="17"/>
        <v>0</v>
      </c>
      <c r="I39" s="31"/>
      <c r="J39" s="53"/>
      <c r="K39" s="53"/>
      <c r="L39" s="189"/>
      <c r="M39" s="189"/>
      <c r="N39" s="189"/>
      <c r="O39" s="189"/>
      <c r="P39" s="195"/>
      <c r="Q39" s="195"/>
      <c r="R39" s="195"/>
      <c r="S39" s="195"/>
      <c r="T39" s="195"/>
      <c r="U39" s="195"/>
      <c r="V39" s="183"/>
      <c r="W39" s="183"/>
      <c r="X39" s="183"/>
      <c r="Y39" s="183"/>
      <c r="Z39" s="183"/>
    </row>
    <row r="40" spans="1:26" ht="32.2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si="17"/>
        <v>0</v>
      </c>
      <c r="I40" s="31"/>
      <c r="J40" s="53"/>
      <c r="K40" s="53"/>
      <c r="L40" s="189"/>
      <c r="M40" s="189"/>
      <c r="N40" s="189"/>
      <c r="O40" s="189"/>
      <c r="P40" s="195"/>
      <c r="Q40" s="195"/>
      <c r="R40" s="195"/>
      <c r="S40" s="195"/>
      <c r="T40" s="195"/>
      <c r="U40" s="195"/>
      <c r="V40" s="183"/>
      <c r="W40" s="183"/>
      <c r="X40" s="183"/>
      <c r="Y40" s="183"/>
      <c r="Z40" s="183"/>
    </row>
    <row r="41" spans="1:26" ht="32.2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17"/>
        <v>0</v>
      </c>
      <c r="I41" s="31"/>
      <c r="J41" s="53"/>
      <c r="K41" s="53"/>
      <c r="L41" s="189"/>
      <c r="M41" s="189"/>
      <c r="N41" s="189"/>
      <c r="O41" s="189"/>
      <c r="P41" s="195"/>
      <c r="Q41" s="195"/>
      <c r="R41" s="195"/>
      <c r="S41" s="195"/>
      <c r="T41" s="195"/>
      <c r="U41" s="195"/>
      <c r="V41" s="183"/>
      <c r="W41" s="183"/>
      <c r="X41" s="183"/>
      <c r="Y41" s="183"/>
      <c r="Z41" s="183"/>
    </row>
    <row r="42" spans="1:26" ht="32.25" customHeight="1" x14ac:dyDescent="0.25">
      <c r="A42" s="15"/>
      <c r="B42" s="27" t="s">
        <v>27</v>
      </c>
      <c r="C42" s="30" t="s">
        <v>21</v>
      </c>
      <c r="D42" s="31">
        <f t="shared" ref="D42:G42" si="20">D40*D41/10</f>
        <v>1.25</v>
      </c>
      <c r="E42" s="31">
        <f t="shared" si="20"/>
        <v>1.2050000000000001</v>
      </c>
      <c r="F42" s="31">
        <f t="shared" si="20"/>
        <v>0</v>
      </c>
      <c r="G42" s="31">
        <f t="shared" si="20"/>
        <v>0</v>
      </c>
      <c r="H42" s="17">
        <f t="shared" si="17"/>
        <v>0</v>
      </c>
      <c r="I42" s="31"/>
      <c r="J42" s="53"/>
      <c r="K42" s="53"/>
      <c r="L42" s="189"/>
      <c r="M42" s="189"/>
      <c r="N42" s="189"/>
      <c r="O42" s="189"/>
      <c r="P42" s="195"/>
      <c r="Q42" s="195"/>
      <c r="R42" s="195"/>
      <c r="S42" s="195"/>
      <c r="T42" s="195"/>
      <c r="U42" s="195"/>
      <c r="V42" s="183"/>
      <c r="W42" s="183"/>
      <c r="X42" s="183"/>
      <c r="Y42" s="183"/>
      <c r="Z42" s="183"/>
    </row>
    <row r="43" spans="1:26" ht="32.2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7"/>
        <v>54</v>
      </c>
      <c r="I43" s="17"/>
      <c r="J43" s="126"/>
      <c r="K43" s="35"/>
      <c r="L43" s="79"/>
      <c r="M43" s="79"/>
      <c r="N43" s="79"/>
      <c r="O43" s="7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7"/>
        <v>0</v>
      </c>
      <c r="I44" s="31"/>
      <c r="J44" s="126"/>
      <c r="K44" s="135"/>
      <c r="L44" s="126"/>
      <c r="M44" s="126"/>
      <c r="N44" s="12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 x14ac:dyDescent="0.25">
      <c r="A45" s="30"/>
      <c r="B45" s="47" t="s">
        <v>27</v>
      </c>
      <c r="C45" s="48" t="s">
        <v>21</v>
      </c>
      <c r="D45" s="31">
        <f t="shared" ref="D45:G45" si="21">D43*D44/10</f>
        <v>5</v>
      </c>
      <c r="E45" s="31">
        <f t="shared" si="21"/>
        <v>4.9249999999999998</v>
      </c>
      <c r="F45" s="31">
        <f t="shared" si="21"/>
        <v>0</v>
      </c>
      <c r="G45" s="31">
        <f t="shared" si="21"/>
        <v>0</v>
      </c>
      <c r="H45" s="17">
        <f t="shared" si="17"/>
        <v>0</v>
      </c>
      <c r="I45" s="31"/>
      <c r="J45" s="126"/>
      <c r="K45" s="126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2">D47+D55+D64</f>
        <v>28.86</v>
      </c>
      <c r="E46" s="17">
        <f t="shared" si="22"/>
        <v>41.46</v>
      </c>
      <c r="F46" s="17">
        <f t="shared" si="22"/>
        <v>29.46</v>
      </c>
      <c r="G46" s="17">
        <f t="shared" si="22"/>
        <v>29.46</v>
      </c>
      <c r="H46" s="17">
        <f t="shared" si="17"/>
        <v>71.056439942112888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3">D48+D49</f>
        <v>20.36</v>
      </c>
      <c r="E47" s="17">
        <f t="shared" si="23"/>
        <v>31.36</v>
      </c>
      <c r="F47" s="17">
        <f t="shared" si="23"/>
        <v>20.36</v>
      </c>
      <c r="G47" s="17">
        <f t="shared" si="23"/>
        <v>20.36</v>
      </c>
      <c r="H47" s="17">
        <f t="shared" si="17"/>
        <v>64.923469387755105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 x14ac:dyDescent="0.25">
      <c r="A48" s="57" t="s">
        <v>32</v>
      </c>
      <c r="B48" s="58" t="s">
        <v>45</v>
      </c>
      <c r="C48" s="59" t="s">
        <v>18</v>
      </c>
      <c r="D48" s="31">
        <v>19.5</v>
      </c>
      <c r="E48" s="31">
        <f>D48+D49</f>
        <v>20.36</v>
      </c>
      <c r="F48" s="31">
        <v>20.36</v>
      </c>
      <c r="G48" s="31">
        <v>20.36</v>
      </c>
      <c r="H48" s="31">
        <f t="shared" si="17"/>
        <v>100</v>
      </c>
      <c r="I48" s="31"/>
      <c r="J48" s="53"/>
      <c r="K48" s="53"/>
      <c r="L48" s="53"/>
      <c r="M48" s="53"/>
      <c r="N48" s="53"/>
      <c r="O48" s="33"/>
      <c r="P48" s="33"/>
      <c r="Q48" s="33"/>
      <c r="R48" s="33"/>
      <c r="S48" s="1"/>
      <c r="T48" s="1"/>
      <c r="U48" s="1"/>
      <c r="V48" s="1"/>
      <c r="W48" s="1"/>
      <c r="X48" s="1"/>
      <c r="Y48" s="1"/>
      <c r="Z48" s="1"/>
    </row>
    <row r="49" spans="1:26" ht="32.2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4">D50+D51</f>
        <v>0.86</v>
      </c>
      <c r="E49" s="17">
        <f t="shared" si="24"/>
        <v>11</v>
      </c>
      <c r="F49" s="17">
        <f t="shared" si="24"/>
        <v>0</v>
      </c>
      <c r="G49" s="17">
        <f t="shared" si="24"/>
        <v>0</v>
      </c>
      <c r="H49" s="17">
        <f t="shared" si="17"/>
        <v>0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2.25" customHeight="1" x14ac:dyDescent="0.25">
      <c r="A50" s="59" t="s">
        <v>47</v>
      </c>
      <c r="B50" s="64" t="s">
        <v>48</v>
      </c>
      <c r="C50" s="59" t="s">
        <v>18</v>
      </c>
      <c r="D50" s="31"/>
      <c r="E50" s="31">
        <v>10</v>
      </c>
      <c r="F50" s="31">
        <v>0</v>
      </c>
      <c r="G50" s="31">
        <v>0</v>
      </c>
      <c r="H50" s="17">
        <f t="shared" si="17"/>
        <v>0</v>
      </c>
      <c r="I50" s="31"/>
      <c r="J50" s="126"/>
      <c r="K50" s="115"/>
      <c r="L50" s="115"/>
      <c r="M50" s="115"/>
      <c r="N50" s="11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 x14ac:dyDescent="0.25">
      <c r="A51" s="59" t="s">
        <v>47</v>
      </c>
      <c r="B51" s="64" t="s">
        <v>49</v>
      </c>
      <c r="C51" s="30" t="s">
        <v>18</v>
      </c>
      <c r="D51" s="31">
        <v>0.86</v>
      </c>
      <c r="E51" s="31">
        <v>1</v>
      </c>
      <c r="F51" s="31">
        <v>0</v>
      </c>
      <c r="G51" s="31">
        <v>0</v>
      </c>
      <c r="H51" s="17">
        <f t="shared" si="17"/>
        <v>0</v>
      </c>
      <c r="I51" s="31"/>
      <c r="J51" s="126"/>
      <c r="K51" s="115"/>
      <c r="L51" s="115"/>
      <c r="M51" s="115"/>
      <c r="N51" s="11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5">D53+D54</f>
        <v>16.18</v>
      </c>
      <c r="E52" s="17">
        <f t="shared" si="25"/>
        <v>16.574999999999999</v>
      </c>
      <c r="F52" s="17">
        <f t="shared" si="25"/>
        <v>16.579999999999998</v>
      </c>
      <c r="G52" s="17">
        <f t="shared" si="25"/>
        <v>16.579999999999998</v>
      </c>
      <c r="H52" s="17">
        <f t="shared" si="17"/>
        <v>100.03016591251885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2.25" customHeight="1" x14ac:dyDescent="0.25">
      <c r="A53" s="66" t="s">
        <v>47</v>
      </c>
      <c r="B53" s="64" t="s">
        <v>51</v>
      </c>
      <c r="C53" s="30" t="s">
        <v>18</v>
      </c>
      <c r="D53" s="31">
        <f>12.68-1</f>
        <v>11.68</v>
      </c>
      <c r="E53" s="31">
        <f>D48*85%</f>
        <v>16.574999999999999</v>
      </c>
      <c r="F53" s="31">
        <v>16.579999999999998</v>
      </c>
      <c r="G53" s="31">
        <v>16.579999999999998</v>
      </c>
      <c r="H53" s="31">
        <f t="shared" si="17"/>
        <v>100.03016591251885</v>
      </c>
      <c r="I53" s="31"/>
      <c r="J53" s="126"/>
      <c r="K53" s="126"/>
      <c r="L53" s="135"/>
      <c r="M53" s="126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 x14ac:dyDescent="0.25">
      <c r="A54" s="30"/>
      <c r="B54" s="64" t="s">
        <v>52</v>
      </c>
      <c r="C54" s="30" t="s">
        <v>18</v>
      </c>
      <c r="D54" s="31">
        <v>4.5</v>
      </c>
      <c r="E54" s="31"/>
      <c r="F54" s="31"/>
      <c r="G54" s="31"/>
      <c r="H54" s="17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6">D56+D57</f>
        <v>8.5</v>
      </c>
      <c r="E55" s="17">
        <f t="shared" si="26"/>
        <v>10.1</v>
      </c>
      <c r="F55" s="17">
        <f t="shared" si="26"/>
        <v>9.1</v>
      </c>
      <c r="G55" s="17">
        <f t="shared" si="26"/>
        <v>9.1</v>
      </c>
      <c r="H55" s="17">
        <f t="shared" ref="H55:H63" si="27">F55/E55*100</f>
        <v>90.099009900990097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 x14ac:dyDescent="0.25">
      <c r="A56" s="30" t="s">
        <v>32</v>
      </c>
      <c r="B56" s="58" t="s">
        <v>50</v>
      </c>
      <c r="C56" s="30" t="s">
        <v>18</v>
      </c>
      <c r="D56" s="31">
        <v>8.5</v>
      </c>
      <c r="E56" s="31">
        <f>D56+E58</f>
        <v>9.1</v>
      </c>
      <c r="F56" s="31">
        <v>9.1</v>
      </c>
      <c r="G56" s="31">
        <v>9.1</v>
      </c>
      <c r="H56" s="31">
        <f t="shared" si="27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8">D58+D61</f>
        <v>0</v>
      </c>
      <c r="E57" s="31">
        <f t="shared" si="28"/>
        <v>1</v>
      </c>
      <c r="F57" s="31">
        <f t="shared" si="28"/>
        <v>0</v>
      </c>
      <c r="G57" s="31">
        <f t="shared" si="28"/>
        <v>0</v>
      </c>
      <c r="H57" s="17">
        <f t="shared" si="27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29">D59+D60</f>
        <v>0</v>
      </c>
      <c r="E58" s="71">
        <f t="shared" si="29"/>
        <v>0.6</v>
      </c>
      <c r="F58" s="71">
        <f t="shared" si="29"/>
        <v>0</v>
      </c>
      <c r="G58" s="71">
        <f t="shared" si="29"/>
        <v>0</v>
      </c>
      <c r="H58" s="17">
        <f t="shared" si="27"/>
        <v>0</v>
      </c>
      <c r="I58" s="71"/>
      <c r="J58" s="138"/>
      <c r="K58" s="97"/>
      <c r="L58" s="97"/>
      <c r="M58" s="97"/>
      <c r="N58" s="97"/>
      <c r="O58" s="97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2.2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0.3</v>
      </c>
      <c r="F59" s="31">
        <v>0</v>
      </c>
      <c r="G59" s="31">
        <v>0</v>
      </c>
      <c r="H59" s="17">
        <f t="shared" si="27"/>
        <v>0</v>
      </c>
      <c r="I59" s="31"/>
      <c r="J59" s="35"/>
      <c r="K59" s="28"/>
      <c r="L59" s="137"/>
      <c r="M59" s="137"/>
      <c r="N59" s="137"/>
      <c r="O59" s="13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0.3</v>
      </c>
      <c r="F60" s="31">
        <v>0</v>
      </c>
      <c r="G60" s="31">
        <v>0</v>
      </c>
      <c r="H60" s="17">
        <f t="shared" si="27"/>
        <v>0</v>
      </c>
      <c r="I60" s="31"/>
      <c r="J60" s="35"/>
      <c r="K60" s="28"/>
      <c r="L60" s="137"/>
      <c r="M60" s="137"/>
      <c r="N60" s="137"/>
      <c r="O60" s="13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0">D62+D63</f>
        <v>0</v>
      </c>
      <c r="E61" s="71">
        <f t="shared" si="30"/>
        <v>0.4</v>
      </c>
      <c r="F61" s="71">
        <f t="shared" si="30"/>
        <v>0</v>
      </c>
      <c r="G61" s="71">
        <f t="shared" si="30"/>
        <v>0</v>
      </c>
      <c r="H61" s="17">
        <f t="shared" si="27"/>
        <v>0</v>
      </c>
      <c r="I61" s="71"/>
      <c r="J61" s="35"/>
      <c r="K61" s="97"/>
      <c r="L61" s="97"/>
      <c r="M61" s="97"/>
      <c r="N61" s="97"/>
      <c r="O61" s="74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2.2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0.3</v>
      </c>
      <c r="F62" s="31">
        <v>0</v>
      </c>
      <c r="G62" s="31">
        <v>0</v>
      </c>
      <c r="H62" s="17">
        <f t="shared" si="27"/>
        <v>0</v>
      </c>
      <c r="I62" s="31"/>
      <c r="J62" s="35"/>
      <c r="K62" s="28"/>
      <c r="L62" s="137"/>
      <c r="M62" s="137"/>
      <c r="N62" s="137"/>
      <c r="O62" s="13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7"/>
        <v>0</v>
      </c>
      <c r="I63" s="31"/>
      <c r="J63" s="35"/>
      <c r="K63" s="28"/>
      <c r="L63" s="137"/>
      <c r="M63" s="137"/>
      <c r="N63" s="137"/>
      <c r="O63" s="13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1">D65+D66</f>
        <v>0</v>
      </c>
      <c r="E64" s="17">
        <f t="shared" si="31"/>
        <v>0</v>
      </c>
      <c r="F64" s="17">
        <f t="shared" si="31"/>
        <v>0</v>
      </c>
      <c r="G64" s="17">
        <f t="shared" si="31"/>
        <v>0</v>
      </c>
      <c r="H64" s="17"/>
      <c r="I64" s="17"/>
      <c r="J64" s="126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 x14ac:dyDescent="0.25">
      <c r="A65" s="30" t="s">
        <v>47</v>
      </c>
      <c r="B65" s="58" t="s">
        <v>45</v>
      </c>
      <c r="C65" s="30" t="s">
        <v>18</v>
      </c>
      <c r="D65" s="31"/>
      <c r="E65" s="31"/>
      <c r="F65" s="31"/>
      <c r="G65" s="31"/>
      <c r="H65" s="17"/>
      <c r="I65" s="31"/>
      <c r="J65" s="126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2">D68+D71</f>
        <v>30.94</v>
      </c>
      <c r="E67" s="17">
        <f t="shared" si="32"/>
        <v>29.51</v>
      </c>
      <c r="F67" s="17">
        <f t="shared" si="32"/>
        <v>23.66</v>
      </c>
      <c r="G67" s="17">
        <f t="shared" si="32"/>
        <v>23.66</v>
      </c>
      <c r="H67" s="17">
        <f t="shared" ref="H67:H68" si="33">F67/E67*100</f>
        <v>80.1762114537445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4">D69+D70</f>
        <v>0</v>
      </c>
      <c r="E68" s="17">
        <f t="shared" si="34"/>
        <v>5</v>
      </c>
      <c r="F68" s="17">
        <f t="shared" si="34"/>
        <v>0</v>
      </c>
      <c r="G68" s="17">
        <f t="shared" si="34"/>
        <v>0</v>
      </c>
      <c r="H68" s="17">
        <f t="shared" si="33"/>
        <v>0</v>
      </c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 x14ac:dyDescent="0.25">
      <c r="A69" s="30" t="s">
        <v>47</v>
      </c>
      <c r="B69" s="58" t="s">
        <v>69</v>
      </c>
      <c r="C69" s="30" t="s">
        <v>18</v>
      </c>
      <c r="D69" s="31"/>
      <c r="E69" s="31"/>
      <c r="F69" s="31"/>
      <c r="G69" s="31"/>
      <c r="H69" s="17"/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 x14ac:dyDescent="0.25">
      <c r="A70" s="30" t="s">
        <v>47</v>
      </c>
      <c r="B70" s="58" t="s">
        <v>70</v>
      </c>
      <c r="C70" s="30" t="s">
        <v>18</v>
      </c>
      <c r="D70" s="31"/>
      <c r="E70" s="31">
        <v>5</v>
      </c>
      <c r="F70" s="31"/>
      <c r="G70" s="31"/>
      <c r="H70" s="17">
        <f t="shared" ref="H70:H77" si="35">F70/E70*100</f>
        <v>0</v>
      </c>
      <c r="I70" s="31"/>
      <c r="J70" s="126"/>
      <c r="K70" s="53"/>
      <c r="L70" s="53"/>
      <c r="M70" s="53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6">D72+D73</f>
        <v>30.94</v>
      </c>
      <c r="E71" s="17">
        <f t="shared" si="36"/>
        <v>24.51</v>
      </c>
      <c r="F71" s="17">
        <f t="shared" si="36"/>
        <v>23.66</v>
      </c>
      <c r="G71" s="17">
        <f t="shared" si="36"/>
        <v>23.66</v>
      </c>
      <c r="H71" s="17">
        <f t="shared" si="35"/>
        <v>96.532027743778045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7">D75+D82</f>
        <v>30.44</v>
      </c>
      <c r="E72" s="87">
        <f t="shared" si="37"/>
        <v>23.66</v>
      </c>
      <c r="F72" s="87">
        <f t="shared" si="37"/>
        <v>23.66</v>
      </c>
      <c r="G72" s="87">
        <f t="shared" si="37"/>
        <v>23.66</v>
      </c>
      <c r="H72" s="17">
        <f t="shared" si="35"/>
        <v>100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8">D76+D83</f>
        <v>0.5</v>
      </c>
      <c r="E73" s="17">
        <f t="shared" si="38"/>
        <v>0.85</v>
      </c>
      <c r="F73" s="17">
        <f t="shared" si="38"/>
        <v>0</v>
      </c>
      <c r="G73" s="17">
        <f t="shared" si="38"/>
        <v>0</v>
      </c>
      <c r="H73" s="17">
        <f t="shared" si="35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39">D75+D76</f>
        <v>23.16</v>
      </c>
      <c r="E74" s="91">
        <f t="shared" si="39"/>
        <v>23.66</v>
      </c>
      <c r="F74" s="91">
        <f t="shared" si="39"/>
        <v>23.16</v>
      </c>
      <c r="G74" s="91">
        <f t="shared" si="39"/>
        <v>23.16</v>
      </c>
      <c r="H74" s="96">
        <f t="shared" si="35"/>
        <v>97.886728655959416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 x14ac:dyDescent="0.25">
      <c r="A75" s="57" t="s">
        <v>32</v>
      </c>
      <c r="B75" s="93" t="s">
        <v>45</v>
      </c>
      <c r="C75" s="30" t="s">
        <v>18</v>
      </c>
      <c r="D75" s="60">
        <f>20.16+3</f>
        <v>23.16</v>
      </c>
      <c r="E75" s="60">
        <f>D75+D76</f>
        <v>23.16</v>
      </c>
      <c r="F75" s="60">
        <v>23.16</v>
      </c>
      <c r="G75" s="60">
        <v>23.16</v>
      </c>
      <c r="H75" s="31">
        <f t="shared" si="35"/>
        <v>100</v>
      </c>
      <c r="I75" s="31"/>
      <c r="J75" s="126"/>
      <c r="K75" s="126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40">SUM(D77:D80)</f>
        <v>0</v>
      </c>
      <c r="E76" s="141">
        <f t="shared" si="40"/>
        <v>0.5</v>
      </c>
      <c r="F76" s="141">
        <f t="shared" si="40"/>
        <v>0</v>
      </c>
      <c r="G76" s="141">
        <f t="shared" si="40"/>
        <v>0</v>
      </c>
      <c r="H76" s="17">
        <f t="shared" si="35"/>
        <v>0</v>
      </c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 x14ac:dyDescent="0.25">
      <c r="A77" s="46" t="s">
        <v>47</v>
      </c>
      <c r="B77" s="94" t="s">
        <v>80</v>
      </c>
      <c r="C77" s="46" t="s">
        <v>18</v>
      </c>
      <c r="D77" s="31"/>
      <c r="E77" s="31">
        <v>0.5</v>
      </c>
      <c r="F77" s="31">
        <v>0</v>
      </c>
      <c r="G77" s="31">
        <v>0</v>
      </c>
      <c r="H77" s="17">
        <f t="shared" si="35"/>
        <v>0</v>
      </c>
      <c r="I77" s="31"/>
      <c r="J77" s="138"/>
      <c r="K77" s="138"/>
      <c r="L77" s="97"/>
      <c r="M77" s="143"/>
      <c r="N77" s="143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 x14ac:dyDescent="0.25">
      <c r="A78" s="46" t="s">
        <v>47</v>
      </c>
      <c r="B78" s="94" t="s">
        <v>81</v>
      </c>
      <c r="C78" s="46" t="s">
        <v>18</v>
      </c>
      <c r="D78" s="31"/>
      <c r="E78" s="31">
        <v>0</v>
      </c>
      <c r="F78" s="31"/>
      <c r="G78" s="31"/>
      <c r="H78" s="17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17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 x14ac:dyDescent="0.25">
      <c r="A80" s="46" t="s">
        <v>47</v>
      </c>
      <c r="B80" s="144" t="s">
        <v>83</v>
      </c>
      <c r="C80" s="46" t="s">
        <v>18</v>
      </c>
      <c r="D80" s="31"/>
      <c r="E80" s="31"/>
      <c r="F80" s="31"/>
      <c r="G80" s="31"/>
      <c r="H80" s="17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1">D82+D83</f>
        <v>7.78</v>
      </c>
      <c r="E81" s="91">
        <f t="shared" si="41"/>
        <v>0.85</v>
      </c>
      <c r="F81" s="91">
        <f t="shared" si="41"/>
        <v>0.5</v>
      </c>
      <c r="G81" s="91">
        <f t="shared" si="41"/>
        <v>0.5</v>
      </c>
      <c r="H81" s="96">
        <f t="shared" ref="H81:H83" si="42">F81/E81*100</f>
        <v>58.82352941176471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2.25" customHeight="1" x14ac:dyDescent="0.25">
      <c r="A82" s="107" t="s">
        <v>47</v>
      </c>
      <c r="B82" s="94" t="s">
        <v>85</v>
      </c>
      <c r="C82" s="46" t="s">
        <v>18</v>
      </c>
      <c r="D82" s="71">
        <v>7.28</v>
      </c>
      <c r="E82" s="71">
        <v>0.5</v>
      </c>
      <c r="F82" s="71">
        <v>0.5</v>
      </c>
      <c r="G82" s="71">
        <v>0.5</v>
      </c>
      <c r="H82" s="71">
        <f t="shared" si="42"/>
        <v>100</v>
      </c>
      <c r="I82" s="71"/>
      <c r="J82" s="138"/>
      <c r="K82" s="138"/>
      <c r="L82" s="97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2.2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3">SUM(D84:D87)</f>
        <v>0.5</v>
      </c>
      <c r="E83" s="60">
        <f t="shared" si="43"/>
        <v>0.35</v>
      </c>
      <c r="F83" s="60">
        <f t="shared" si="43"/>
        <v>0</v>
      </c>
      <c r="G83" s="60">
        <f t="shared" si="43"/>
        <v>0</v>
      </c>
      <c r="H83" s="17">
        <f t="shared" si="42"/>
        <v>0</v>
      </c>
      <c r="I83" s="60"/>
      <c r="J83" s="138"/>
      <c r="K83" s="138"/>
      <c r="L83" s="97"/>
      <c r="M83" s="97"/>
      <c r="N83" s="97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7"/>
      <c r="I84" s="31"/>
      <c r="J84" s="97"/>
      <c r="K84" s="97"/>
      <c r="L84" s="97"/>
      <c r="M84" s="97"/>
      <c r="N84" s="9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7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7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 x14ac:dyDescent="0.25">
      <c r="A87" s="107" t="s">
        <v>47</v>
      </c>
      <c r="B87" s="94" t="s">
        <v>89</v>
      </c>
      <c r="C87" s="46" t="s">
        <v>18</v>
      </c>
      <c r="D87" s="31">
        <v>0.5</v>
      </c>
      <c r="E87" s="31">
        <v>0.35</v>
      </c>
      <c r="F87" s="31"/>
      <c r="G87" s="31">
        <v>0</v>
      </c>
      <c r="H87" s="17">
        <f t="shared" ref="H87:H98" si="44">F87/E87*100</f>
        <v>0</v>
      </c>
      <c r="I87" s="31"/>
      <c r="J87" s="97"/>
      <c r="K87" s="97"/>
      <c r="L87" s="97"/>
      <c r="M87" s="143"/>
      <c r="N87" s="143"/>
      <c r="O87" s="38"/>
      <c r="P87" s="38"/>
      <c r="Q87" s="38"/>
      <c r="R87" s="45"/>
      <c r="S87" s="45"/>
      <c r="T87" s="1"/>
      <c r="U87" s="1"/>
      <c r="V87" s="1"/>
      <c r="W87" s="1"/>
      <c r="X87" s="1"/>
      <c r="Y87" s="1"/>
      <c r="Z87" s="1"/>
    </row>
    <row r="88" spans="1:26" ht="32.25" customHeight="1" x14ac:dyDescent="0.25">
      <c r="A88" s="15" t="s">
        <v>90</v>
      </c>
      <c r="B88" s="24" t="s">
        <v>91</v>
      </c>
      <c r="C88" s="15"/>
      <c r="D88" s="17">
        <f t="shared" ref="D88:G88" si="45">SUM(D89:D93)</f>
        <v>840</v>
      </c>
      <c r="E88" s="17">
        <f t="shared" si="45"/>
        <v>1383</v>
      </c>
      <c r="F88" s="17">
        <f t="shared" si="45"/>
        <v>1095</v>
      </c>
      <c r="G88" s="17">
        <f t="shared" si="45"/>
        <v>1095</v>
      </c>
      <c r="H88" s="17">
        <f t="shared" si="44"/>
        <v>79.175704989154013</v>
      </c>
      <c r="I88" s="17"/>
      <c r="J88" s="28"/>
      <c r="K88" s="28"/>
      <c r="L88" s="134"/>
      <c r="M88" s="134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 x14ac:dyDescent="0.25">
      <c r="A89" s="30">
        <v>1</v>
      </c>
      <c r="B89" s="27" t="s">
        <v>92</v>
      </c>
      <c r="C89" s="30" t="s">
        <v>93</v>
      </c>
      <c r="D89" s="31">
        <v>76</v>
      </c>
      <c r="E89" s="31">
        <f>50+27</f>
        <v>77</v>
      </c>
      <c r="F89" s="31">
        <v>75</v>
      </c>
      <c r="G89" s="31">
        <f t="shared" ref="G89:G93" si="46">F89</f>
        <v>75</v>
      </c>
      <c r="H89" s="31">
        <f t="shared" si="44"/>
        <v>97.402597402597408</v>
      </c>
      <c r="I89" s="31"/>
      <c r="J89" s="55"/>
      <c r="K89" s="176"/>
      <c r="L89" s="171"/>
      <c r="M89" s="172"/>
      <c r="N89" s="17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2.25" customHeight="1" x14ac:dyDescent="0.25">
      <c r="A90" s="30">
        <v>2</v>
      </c>
      <c r="B90" s="27" t="s">
        <v>94</v>
      </c>
      <c r="C90" s="30" t="s">
        <v>93</v>
      </c>
      <c r="D90" s="31">
        <v>127</v>
      </c>
      <c r="E90" s="31">
        <f>125+20</f>
        <v>145</v>
      </c>
      <c r="F90" s="31">
        <v>141</v>
      </c>
      <c r="G90" s="31">
        <f t="shared" si="46"/>
        <v>141</v>
      </c>
      <c r="H90" s="31">
        <f t="shared" si="44"/>
        <v>97.241379310344826</v>
      </c>
      <c r="I90" s="31"/>
      <c r="J90" s="55"/>
      <c r="K90" s="79"/>
      <c r="L90" s="171"/>
      <c r="M90" s="172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2.25" customHeight="1" x14ac:dyDescent="0.25">
      <c r="A91" s="30">
        <v>3</v>
      </c>
      <c r="B91" s="27" t="s">
        <v>97</v>
      </c>
      <c r="C91" s="30" t="s">
        <v>93</v>
      </c>
      <c r="D91" s="31">
        <v>72</v>
      </c>
      <c r="E91" s="31">
        <f>73+23</f>
        <v>96</v>
      </c>
      <c r="F91" s="31">
        <v>80</v>
      </c>
      <c r="G91" s="31">
        <f t="shared" si="46"/>
        <v>80</v>
      </c>
      <c r="H91" s="31">
        <f t="shared" si="44"/>
        <v>83.333333333333343</v>
      </c>
      <c r="I91" s="31"/>
      <c r="J91" s="55"/>
      <c r="K91" s="79"/>
      <c r="L91" s="171"/>
      <c r="M91" s="172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2.25" customHeight="1" x14ac:dyDescent="0.25">
      <c r="A92" s="30">
        <v>4</v>
      </c>
      <c r="B92" s="27" t="s">
        <v>98</v>
      </c>
      <c r="C92" s="30" t="s">
        <v>93</v>
      </c>
      <c r="D92" s="31">
        <v>10</v>
      </c>
      <c r="E92" s="31">
        <f>12+3</f>
        <v>15</v>
      </c>
      <c r="F92" s="31">
        <v>14</v>
      </c>
      <c r="G92" s="31">
        <f t="shared" si="46"/>
        <v>14</v>
      </c>
      <c r="H92" s="31">
        <f t="shared" si="44"/>
        <v>93.333333333333329</v>
      </c>
      <c r="I92" s="31"/>
      <c r="J92" s="55"/>
      <c r="K92" s="79"/>
      <c r="L92" s="174"/>
      <c r="M92" s="172"/>
      <c r="N92" s="55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ht="32.25" customHeight="1" x14ac:dyDescent="0.25">
      <c r="A93" s="30">
        <v>5</v>
      </c>
      <c r="B93" s="27" t="s">
        <v>99</v>
      </c>
      <c r="C93" s="30" t="s">
        <v>93</v>
      </c>
      <c r="D93" s="31">
        <v>555</v>
      </c>
      <c r="E93" s="31">
        <f>1000+50</f>
        <v>1050</v>
      </c>
      <c r="F93" s="31">
        <v>785</v>
      </c>
      <c r="G93" s="31">
        <f t="shared" si="46"/>
        <v>785</v>
      </c>
      <c r="H93" s="31">
        <f t="shared" si="44"/>
        <v>74.761904761904759</v>
      </c>
      <c r="I93" s="31"/>
      <c r="J93" s="79"/>
      <c r="K93" s="79"/>
      <c r="L93" s="174"/>
      <c r="M93" s="172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2.2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7">D95</f>
        <v>1.1000000000000001</v>
      </c>
      <c r="E94" s="17">
        <f t="shared" si="47"/>
        <v>1.1000000000000001</v>
      </c>
      <c r="F94" s="17">
        <f t="shared" si="47"/>
        <v>1.1000000000000001</v>
      </c>
      <c r="G94" s="17">
        <f t="shared" si="47"/>
        <v>1.1000000000000001</v>
      </c>
      <c r="H94" s="17">
        <f t="shared" si="44"/>
        <v>100</v>
      </c>
      <c r="I94" s="17"/>
      <c r="J94" s="65"/>
      <c r="K94" s="65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2.25" customHeight="1" x14ac:dyDescent="0.25">
      <c r="A95" s="46" t="s">
        <v>47</v>
      </c>
      <c r="B95" s="76" t="s">
        <v>102</v>
      </c>
      <c r="C95" s="46" t="s">
        <v>18</v>
      </c>
      <c r="D95" s="31">
        <v>1.1000000000000001</v>
      </c>
      <c r="E95" s="31">
        <v>1.1000000000000001</v>
      </c>
      <c r="F95" s="31">
        <v>1.1000000000000001</v>
      </c>
      <c r="G95" s="31">
        <v>1.1000000000000001</v>
      </c>
      <c r="H95" s="31">
        <f t="shared" si="44"/>
        <v>100</v>
      </c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8">D97+D98</f>
        <v>2.8</v>
      </c>
      <c r="E96" s="17">
        <f t="shared" si="48"/>
        <v>0.85000000000000009</v>
      </c>
      <c r="F96" s="17">
        <f t="shared" si="48"/>
        <v>0</v>
      </c>
      <c r="G96" s="17">
        <f t="shared" si="48"/>
        <v>0</v>
      </c>
      <c r="H96" s="17">
        <f t="shared" si="44"/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x14ac:dyDescent="0.25">
      <c r="A97" s="30" t="s">
        <v>47</v>
      </c>
      <c r="B97" s="93" t="s">
        <v>263</v>
      </c>
      <c r="C97" s="46" t="s">
        <v>18</v>
      </c>
      <c r="D97" s="31"/>
      <c r="E97" s="31">
        <v>0.2</v>
      </c>
      <c r="F97" s="31"/>
      <c r="G97" s="31"/>
      <c r="H97" s="17">
        <f t="shared" si="44"/>
        <v>0</v>
      </c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x14ac:dyDescent="0.25">
      <c r="A98" s="123" t="s">
        <v>47</v>
      </c>
      <c r="B98" s="93" t="s">
        <v>109</v>
      </c>
      <c r="C98" s="46" t="s">
        <v>18</v>
      </c>
      <c r="D98" s="31">
        <v>2.8</v>
      </c>
      <c r="E98" s="31">
        <v>0.65</v>
      </c>
      <c r="F98" s="31"/>
      <c r="G98" s="31"/>
      <c r="H98" s="17">
        <f t="shared" si="44"/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39370078740157483" right="0.35433070866141736" top="0.51181102362204722" bottom="0.31496062992125984" header="0" footer="0"/>
  <pageSetup scale="85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44140625" customWidth="1"/>
    <col min="2" max="2" width="28.5546875" customWidth="1"/>
    <col min="3" max="3" width="9" customWidth="1"/>
    <col min="4" max="4" width="16.109375" customWidth="1"/>
    <col min="5" max="5" width="19.44140625" customWidth="1"/>
    <col min="6" max="9" width="12.6640625" customWidth="1"/>
    <col min="10" max="10" width="8.88671875" customWidth="1"/>
    <col min="11" max="11" width="20.77734375" customWidth="1"/>
    <col min="12" max="14" width="8.88671875" customWidth="1"/>
    <col min="15" max="21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277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'KON TUN(11)'!A5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9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14" t="s">
        <v>3</v>
      </c>
      <c r="B7" s="336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60">
        <v>206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39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60">
        <v>748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65" t="s">
        <v>18</v>
      </c>
      <c r="D9" s="131">
        <f t="shared" ref="D9:G9" si="0">D13+D28+D37+D43+D46+D67</f>
        <v>126.44</v>
      </c>
      <c r="E9" s="131">
        <f t="shared" si="0"/>
        <v>140.79999999999998</v>
      </c>
      <c r="F9" s="131">
        <f t="shared" si="0"/>
        <v>122.8</v>
      </c>
      <c r="G9" s="131">
        <f t="shared" si="0"/>
        <v>122.8</v>
      </c>
      <c r="H9" s="131">
        <f t="shared" ref="H9:H24" si="1">F9/E9*100</f>
        <v>87.215909090909093</v>
      </c>
      <c r="I9" s="131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8.3000000000000007</v>
      </c>
      <c r="F10" s="17">
        <f t="shared" si="2"/>
        <v>2.2999999999999998</v>
      </c>
      <c r="G10" s="17">
        <f t="shared" si="2"/>
        <v>2.2999999999999998</v>
      </c>
      <c r="H10" s="131">
        <f t="shared" si="1"/>
        <v>27.710843373493972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22.914550000000002</v>
      </c>
      <c r="F11" s="17">
        <f t="shared" si="3"/>
        <v>0</v>
      </c>
      <c r="G11" s="17">
        <f t="shared" si="3"/>
        <v>0</v>
      </c>
      <c r="H11" s="131">
        <f t="shared" si="1"/>
        <v>0</v>
      </c>
      <c r="I11" s="17"/>
      <c r="J11" s="133"/>
      <c r="K11" s="133"/>
      <c r="L11" s="180"/>
      <c r="M11" s="180"/>
      <c r="N11" s="180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19.224550000000001</v>
      </c>
      <c r="F12" s="17">
        <f t="shared" si="4"/>
        <v>0</v>
      </c>
      <c r="G12" s="17">
        <f t="shared" si="4"/>
        <v>0</v>
      </c>
      <c r="H12" s="131">
        <f t="shared" si="1"/>
        <v>0</v>
      </c>
      <c r="I12" s="17"/>
      <c r="J12" s="133"/>
      <c r="K12" s="133"/>
      <c r="L12" s="180"/>
      <c r="M12" s="180"/>
      <c r="N12" s="180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7.3</v>
      </c>
      <c r="F13" s="17">
        <f t="shared" si="5"/>
        <v>1.3</v>
      </c>
      <c r="G13" s="17">
        <f t="shared" si="5"/>
        <v>1.3</v>
      </c>
      <c r="H13" s="131">
        <f t="shared" si="1"/>
        <v>17.808219178082194</v>
      </c>
      <c r="I13" s="17"/>
      <c r="J13" s="126"/>
      <c r="K13" s="156"/>
      <c r="L13" s="156"/>
      <c r="M13" s="156"/>
      <c r="N13" s="12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26.335000000000001</v>
      </c>
      <c r="F14" s="31">
        <f t="shared" si="6"/>
        <v>0</v>
      </c>
      <c r="G14" s="31">
        <f t="shared" si="6"/>
        <v>0</v>
      </c>
      <c r="H14" s="131">
        <f t="shared" si="1"/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19.224550000000001</v>
      </c>
      <c r="F15" s="31">
        <f t="shared" si="7"/>
        <v>0</v>
      </c>
      <c r="G15" s="31">
        <f t="shared" si="7"/>
        <v>0</v>
      </c>
      <c r="H15" s="131">
        <f t="shared" si="1"/>
        <v>0</v>
      </c>
      <c r="I15" s="31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1.3</v>
      </c>
      <c r="F16" s="17">
        <v>1.3</v>
      </c>
      <c r="G16" s="17">
        <v>1.3</v>
      </c>
      <c r="H16" s="131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31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4.3550000000000004</v>
      </c>
      <c r="F18" s="31">
        <f t="shared" si="8"/>
        <v>0</v>
      </c>
      <c r="G18" s="31">
        <f t="shared" si="8"/>
        <v>0</v>
      </c>
      <c r="H18" s="131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6</v>
      </c>
      <c r="F19" s="17">
        <f t="shared" si="9"/>
        <v>0</v>
      </c>
      <c r="G19" s="17">
        <f t="shared" si="9"/>
        <v>0</v>
      </c>
      <c r="H19" s="131">
        <f t="shared" si="1"/>
        <v>0</v>
      </c>
      <c r="I19" s="17"/>
      <c r="J19" s="28"/>
      <c r="K19" s="28"/>
      <c r="L19" s="28"/>
      <c r="M19" s="28"/>
      <c r="N19" s="44"/>
      <c r="O19" s="86"/>
      <c r="P19" s="86"/>
      <c r="Q19" s="86"/>
      <c r="R19" s="86"/>
      <c r="S19" s="86"/>
      <c r="T19" s="86"/>
      <c r="U19" s="86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19.170000000000002</v>
      </c>
      <c r="F20" s="31">
        <f t="shared" si="10"/>
        <v>0</v>
      </c>
      <c r="G20" s="31">
        <f t="shared" si="10"/>
        <v>0</v>
      </c>
      <c r="H20" s="131">
        <f t="shared" si="1"/>
        <v>0</v>
      </c>
      <c r="I20" s="31"/>
      <c r="J20" s="28"/>
      <c r="K20" s="28"/>
      <c r="L20" s="28"/>
      <c r="M20" s="28"/>
      <c r="N20" s="44"/>
      <c r="O20" s="86"/>
      <c r="P20" s="86"/>
      <c r="Q20" s="86"/>
      <c r="R20" s="86"/>
      <c r="S20" s="86"/>
      <c r="T20" s="86"/>
      <c r="U20" s="86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11.502000000000001</v>
      </c>
      <c r="F21" s="31">
        <f t="shared" si="11"/>
        <v>0</v>
      </c>
      <c r="G21" s="31">
        <f t="shared" si="11"/>
        <v>0</v>
      </c>
      <c r="H21" s="131">
        <f t="shared" si="1"/>
        <v>0</v>
      </c>
      <c r="I21" s="31"/>
      <c r="J21" s="28"/>
      <c r="K21" s="28"/>
      <c r="L21" s="28"/>
      <c r="M21" s="28"/>
      <c r="N21" s="44"/>
      <c r="O21" s="86"/>
      <c r="P21" s="86"/>
      <c r="Q21" s="86"/>
      <c r="R21" s="86"/>
      <c r="S21" s="86"/>
      <c r="T21" s="86"/>
      <c r="U21" s="86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1" t="s">
        <v>33</v>
      </c>
      <c r="C22" s="40" t="s">
        <v>18</v>
      </c>
      <c r="D22" s="96"/>
      <c r="E22" s="96">
        <v>6</v>
      </c>
      <c r="F22" s="96">
        <v>0</v>
      </c>
      <c r="G22" s="96">
        <v>0</v>
      </c>
      <c r="H22" s="131">
        <f t="shared" si="1"/>
        <v>0</v>
      </c>
      <c r="I22" s="17"/>
      <c r="J22" s="53"/>
      <c r="K22" s="53"/>
      <c r="L22" s="53"/>
      <c r="M22" s="53"/>
      <c r="N22" s="61"/>
      <c r="O22" s="152"/>
      <c r="P22" s="152"/>
      <c r="Q22" s="152"/>
      <c r="R22" s="152"/>
      <c r="S22" s="152"/>
      <c r="T22" s="152"/>
      <c r="U22" s="86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31">
        <f t="shared" si="1"/>
        <v>0</v>
      </c>
      <c r="I23" s="31"/>
      <c r="J23" s="53"/>
      <c r="K23" s="53"/>
      <c r="L23" s="53"/>
      <c r="M23" s="53"/>
      <c r="N23" s="61"/>
      <c r="O23" s="152"/>
      <c r="P23" s="152"/>
      <c r="Q23" s="152"/>
      <c r="R23" s="152"/>
      <c r="S23" s="152"/>
      <c r="T23" s="152"/>
      <c r="U23" s="86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2">D22*D23/10</f>
        <v>0</v>
      </c>
      <c r="E24" s="31">
        <f t="shared" si="12"/>
        <v>23.004000000000001</v>
      </c>
      <c r="F24" s="31">
        <f t="shared" si="12"/>
        <v>0</v>
      </c>
      <c r="G24" s="31">
        <f t="shared" si="12"/>
        <v>0</v>
      </c>
      <c r="H24" s="131">
        <f t="shared" si="1"/>
        <v>0</v>
      </c>
      <c r="I24" s="31"/>
      <c r="J24" s="53"/>
      <c r="K24" s="53"/>
      <c r="L24" s="53"/>
      <c r="M24" s="53"/>
      <c r="N24" s="61"/>
      <c r="O24" s="152"/>
      <c r="P24" s="152"/>
      <c r="Q24" s="152"/>
      <c r="R24" s="152"/>
      <c r="S24" s="152"/>
      <c r="T24" s="152"/>
      <c r="U24" s="86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1" t="s">
        <v>34</v>
      </c>
      <c r="C25" s="40" t="s">
        <v>18</v>
      </c>
      <c r="D25" s="17"/>
      <c r="E25" s="31"/>
      <c r="F25" s="31">
        <v>0</v>
      </c>
      <c r="G25" s="31">
        <v>0</v>
      </c>
      <c r="H25" s="131"/>
      <c r="I25" s="31"/>
      <c r="J25" s="53"/>
      <c r="K25" s="53"/>
      <c r="L25" s="53"/>
      <c r="M25" s="53"/>
      <c r="N25" s="53"/>
      <c r="O25" s="33"/>
      <c r="P25" s="33"/>
      <c r="Q25" s="153"/>
      <c r="R25" s="153"/>
      <c r="S25" s="153"/>
      <c r="T25" s="153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/>
      <c r="G26" s="31"/>
      <c r="H26" s="131"/>
      <c r="I26" s="31"/>
      <c r="J26" s="53"/>
      <c r="K26" s="53"/>
      <c r="L26" s="53"/>
      <c r="M26" s="53"/>
      <c r="N26" s="53"/>
      <c r="O26" s="33"/>
      <c r="P26" s="33"/>
      <c r="Q26" s="153"/>
      <c r="R26" s="153"/>
      <c r="S26" s="153"/>
      <c r="T26" s="153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>
        <f t="shared" ref="D27:G27" si="13">D25*D26/10</f>
        <v>0</v>
      </c>
      <c r="E27" s="31">
        <f t="shared" si="13"/>
        <v>0</v>
      </c>
      <c r="F27" s="31">
        <f t="shared" si="13"/>
        <v>0</v>
      </c>
      <c r="G27" s="31">
        <f t="shared" si="13"/>
        <v>0</v>
      </c>
      <c r="H27" s="131"/>
      <c r="I27" s="31"/>
      <c r="J27" s="53"/>
      <c r="K27" s="53"/>
      <c r="L27" s="53"/>
      <c r="M27" s="53"/>
      <c r="N27" s="53"/>
      <c r="O27" s="33"/>
      <c r="P27" s="33"/>
      <c r="Q27" s="153"/>
      <c r="R27" s="153"/>
      <c r="S27" s="153"/>
      <c r="T27" s="153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4">D31+D34</f>
        <v>1</v>
      </c>
      <c r="E28" s="17">
        <f t="shared" si="14"/>
        <v>1</v>
      </c>
      <c r="F28" s="17">
        <f t="shared" si="14"/>
        <v>1</v>
      </c>
      <c r="G28" s="17">
        <f t="shared" si="14"/>
        <v>1</v>
      </c>
      <c r="H28" s="131">
        <f t="shared" ref="H28:H30" si="15">F28/E28*100</f>
        <v>100</v>
      </c>
      <c r="I28" s="17"/>
      <c r="J28" s="53"/>
      <c r="K28" s="53"/>
      <c r="L28" s="53"/>
      <c r="M28" s="53"/>
      <c r="N28" s="53"/>
      <c r="O28" s="33"/>
      <c r="P28" s="33"/>
      <c r="Q28" s="153"/>
      <c r="R28" s="153"/>
      <c r="S28" s="153"/>
      <c r="T28" s="153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G29" si="16">D35</f>
        <v>36.85</v>
      </c>
      <c r="E29" s="31">
        <f t="shared" si="16"/>
        <v>36.9</v>
      </c>
      <c r="F29" s="31">
        <f t="shared" si="16"/>
        <v>0</v>
      </c>
      <c r="G29" s="31">
        <f t="shared" si="16"/>
        <v>0</v>
      </c>
      <c r="H29" s="131">
        <f t="shared" si="15"/>
        <v>0</v>
      </c>
      <c r="I29" s="31"/>
      <c r="J29" s="53"/>
      <c r="K29" s="53"/>
      <c r="L29" s="53"/>
      <c r="M29" s="53"/>
      <c r="N29" s="53"/>
      <c r="O29" s="33"/>
      <c r="P29" s="33"/>
      <c r="Q29" s="153"/>
      <c r="R29" s="153"/>
      <c r="S29" s="153"/>
      <c r="T29" s="153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7">D28*D29/10</f>
        <v>3.6850000000000001</v>
      </c>
      <c r="E30" s="31">
        <f t="shared" si="17"/>
        <v>3.69</v>
      </c>
      <c r="F30" s="31">
        <f t="shared" si="17"/>
        <v>0</v>
      </c>
      <c r="G30" s="31">
        <f t="shared" si="17"/>
        <v>0</v>
      </c>
      <c r="H30" s="131">
        <f t="shared" si="15"/>
        <v>0</v>
      </c>
      <c r="I30" s="31"/>
      <c r="J30" s="53"/>
      <c r="K30" s="53"/>
      <c r="L30" s="53"/>
      <c r="M30" s="53"/>
      <c r="N30" s="53"/>
      <c r="O30" s="33"/>
      <c r="P30" s="33"/>
      <c r="Q30" s="153"/>
      <c r="R30" s="153"/>
      <c r="S30" s="153"/>
      <c r="T30" s="153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31"/>
      <c r="I31" s="17"/>
      <c r="J31" s="53"/>
      <c r="K31" s="137"/>
      <c r="L31" s="155"/>
      <c r="M31" s="155"/>
      <c r="N31" s="155"/>
      <c r="O31" s="155"/>
      <c r="P31" s="33"/>
      <c r="Q31" s="153"/>
      <c r="R31" s="153"/>
      <c r="S31" s="153"/>
      <c r="T31" s="153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31"/>
      <c r="I32" s="17"/>
      <c r="J32" s="53"/>
      <c r="K32" s="137"/>
      <c r="L32" s="155"/>
      <c r="M32" s="155"/>
      <c r="N32" s="155"/>
      <c r="O32" s="155"/>
      <c r="P32" s="33"/>
      <c r="Q32" s="153"/>
      <c r="R32" s="153"/>
      <c r="S32" s="153"/>
      <c r="T32" s="153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31"/>
      <c r="I33" s="17"/>
      <c r="J33" s="53"/>
      <c r="K33" s="137"/>
      <c r="L33" s="155"/>
      <c r="M33" s="155"/>
      <c r="N33" s="155"/>
      <c r="O33" s="155"/>
      <c r="P33" s="33"/>
      <c r="Q33" s="153"/>
      <c r="R33" s="153"/>
      <c r="S33" s="153"/>
      <c r="T33" s="153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31">
        <f t="shared" ref="H34:H53" si="18">F34/E34*100</f>
        <v>100</v>
      </c>
      <c r="I34" s="17"/>
      <c r="J34" s="53"/>
      <c r="K34" s="44"/>
      <c r="L34" s="44"/>
      <c r="M34" s="44"/>
      <c r="N34" s="44"/>
      <c r="O34" s="44"/>
      <c r="P34" s="33"/>
      <c r="Q34" s="153"/>
      <c r="R34" s="153"/>
      <c r="S34" s="153"/>
      <c r="T34" s="153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31">
        <f t="shared" si="18"/>
        <v>0</v>
      </c>
      <c r="I35" s="31"/>
      <c r="J35" s="53"/>
      <c r="K35" s="44"/>
      <c r="L35" s="44"/>
      <c r="M35" s="44"/>
      <c r="N35" s="44"/>
      <c r="O35" s="44"/>
      <c r="P35" s="33"/>
      <c r="Q35" s="153"/>
      <c r="R35" s="153"/>
      <c r="S35" s="153"/>
      <c r="T35" s="153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9">D34*D35/10</f>
        <v>3.6850000000000001</v>
      </c>
      <c r="E36" s="31">
        <f t="shared" si="19"/>
        <v>3.69</v>
      </c>
      <c r="F36" s="31">
        <f t="shared" si="19"/>
        <v>0</v>
      </c>
      <c r="G36" s="31">
        <f t="shared" si="19"/>
        <v>0</v>
      </c>
      <c r="H36" s="131">
        <f t="shared" si="18"/>
        <v>0</v>
      </c>
      <c r="I36" s="31"/>
      <c r="J36" s="53"/>
      <c r="K36" s="44"/>
      <c r="L36" s="44"/>
      <c r="M36" s="44"/>
      <c r="N36" s="44"/>
      <c r="O36" s="44"/>
      <c r="P36" s="33"/>
      <c r="Q36" s="153"/>
      <c r="R36" s="153"/>
      <c r="S36" s="153"/>
      <c r="T36" s="153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39</v>
      </c>
      <c r="E37" s="17">
        <v>33.83</v>
      </c>
      <c r="F37" s="17">
        <v>33.83</v>
      </c>
      <c r="G37" s="17">
        <v>33.83</v>
      </c>
      <c r="H37" s="131">
        <f t="shared" si="18"/>
        <v>100</v>
      </c>
      <c r="I37" s="17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1"/>
      <c r="V37" s="1"/>
      <c r="W37" s="1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31">
        <f t="shared" si="18"/>
        <v>0</v>
      </c>
      <c r="I38" s="31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1"/>
      <c r="V38" s="1"/>
      <c r="W38" s="1"/>
      <c r="X38" s="1"/>
      <c r="Y38" s="1"/>
      <c r="Z38" s="1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20">D37*D38/10</f>
        <v>536.25</v>
      </c>
      <c r="E39" s="31">
        <f t="shared" si="20"/>
        <v>473.62</v>
      </c>
      <c r="F39" s="31">
        <f t="shared" si="20"/>
        <v>0</v>
      </c>
      <c r="G39" s="31">
        <f t="shared" si="20"/>
        <v>0</v>
      </c>
      <c r="H39" s="131">
        <f t="shared" si="18"/>
        <v>0</v>
      </c>
      <c r="I39" s="31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1"/>
      <c r="V39" s="1"/>
      <c r="W39" s="1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31">
        <f t="shared" si="18"/>
        <v>0</v>
      </c>
      <c r="I40" s="31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1"/>
      <c r="V40" s="1"/>
      <c r="W40" s="1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31">
        <f t="shared" si="18"/>
        <v>0</v>
      </c>
      <c r="I41" s="31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1"/>
      <c r="V41" s="1"/>
      <c r="W41" s="1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>
        <f t="shared" ref="D42:G42" si="21">D40*D41/10</f>
        <v>1.25</v>
      </c>
      <c r="E42" s="31">
        <f t="shared" si="21"/>
        <v>1.2050000000000001</v>
      </c>
      <c r="F42" s="31">
        <f t="shared" si="21"/>
        <v>0</v>
      </c>
      <c r="G42" s="31">
        <f t="shared" si="21"/>
        <v>0</v>
      </c>
      <c r="H42" s="131">
        <f t="shared" si="18"/>
        <v>0</v>
      </c>
      <c r="I42" s="31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1"/>
      <c r="V42" s="1"/>
      <c r="W42" s="1"/>
      <c r="X42" s="1"/>
      <c r="Y42" s="1"/>
      <c r="Z42" s="1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31">
        <f t="shared" si="18"/>
        <v>54</v>
      </c>
      <c r="I43" s="17"/>
      <c r="J43" s="126"/>
      <c r="K43" s="35"/>
      <c r="L43" s="79"/>
      <c r="M43" s="79"/>
      <c r="N43" s="79"/>
      <c r="O43" s="7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31">
        <f t="shared" si="18"/>
        <v>0</v>
      </c>
      <c r="I44" s="31"/>
      <c r="J44" s="126"/>
      <c r="K44" s="135"/>
      <c r="L44" s="126"/>
      <c r="M44" s="126"/>
      <c r="N44" s="12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7" t="s">
        <v>27</v>
      </c>
      <c r="C45" s="48" t="s">
        <v>21</v>
      </c>
      <c r="D45" s="31">
        <f t="shared" ref="D45:G45" si="22">D43*D44/10</f>
        <v>5</v>
      </c>
      <c r="E45" s="31">
        <f t="shared" si="22"/>
        <v>4.9249999999999998</v>
      </c>
      <c r="F45" s="31">
        <f t="shared" si="22"/>
        <v>0</v>
      </c>
      <c r="G45" s="31">
        <f t="shared" si="22"/>
        <v>0</v>
      </c>
      <c r="H45" s="131">
        <f t="shared" si="18"/>
        <v>0</v>
      </c>
      <c r="I45" s="31"/>
      <c r="J45" s="126"/>
      <c r="K45" s="126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3">D47+D55+D64</f>
        <v>39.11</v>
      </c>
      <c r="E46" s="17">
        <f t="shared" si="23"/>
        <v>51.11</v>
      </c>
      <c r="F46" s="17">
        <f t="shared" si="23"/>
        <v>39.909999999999997</v>
      </c>
      <c r="G46" s="17">
        <f t="shared" si="23"/>
        <v>39.909999999999997</v>
      </c>
      <c r="H46" s="131">
        <f t="shared" si="18"/>
        <v>78.086480140872624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4">D48+D49</f>
        <v>21.86</v>
      </c>
      <c r="E47" s="17">
        <f t="shared" si="24"/>
        <v>31.86</v>
      </c>
      <c r="F47" s="17">
        <f t="shared" si="24"/>
        <v>21.86</v>
      </c>
      <c r="G47" s="17">
        <f t="shared" si="24"/>
        <v>21.86</v>
      </c>
      <c r="H47" s="131">
        <f t="shared" si="18"/>
        <v>68.612680477087252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7" t="s">
        <v>32</v>
      </c>
      <c r="B48" s="58" t="s">
        <v>45</v>
      </c>
      <c r="C48" s="59" t="s">
        <v>18</v>
      </c>
      <c r="D48" s="31">
        <v>21</v>
      </c>
      <c r="E48" s="31">
        <f>D48+D49</f>
        <v>21.86</v>
      </c>
      <c r="F48" s="31">
        <v>21.86</v>
      </c>
      <c r="G48" s="31">
        <v>21.86</v>
      </c>
      <c r="H48" s="168">
        <f t="shared" si="18"/>
        <v>100</v>
      </c>
      <c r="I48" s="31"/>
      <c r="J48" s="53"/>
      <c r="K48" s="53"/>
      <c r="L48" s="53"/>
      <c r="M48" s="53"/>
      <c r="N48" s="53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5">D50+D51</f>
        <v>0.86</v>
      </c>
      <c r="E49" s="17">
        <f t="shared" si="25"/>
        <v>10</v>
      </c>
      <c r="F49" s="17">
        <f t="shared" si="25"/>
        <v>0</v>
      </c>
      <c r="G49" s="17">
        <f t="shared" si="25"/>
        <v>0</v>
      </c>
      <c r="H49" s="131">
        <f t="shared" si="18"/>
        <v>0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59" t="s">
        <v>47</v>
      </c>
      <c r="B50" s="64" t="s">
        <v>48</v>
      </c>
      <c r="C50" s="59" t="s">
        <v>18</v>
      </c>
      <c r="D50" s="31"/>
      <c r="E50" s="31">
        <v>8</v>
      </c>
      <c r="F50" s="31">
        <v>0</v>
      </c>
      <c r="G50" s="31">
        <v>0</v>
      </c>
      <c r="H50" s="131">
        <f t="shared" si="18"/>
        <v>0</v>
      </c>
      <c r="I50" s="31"/>
      <c r="J50" s="126"/>
      <c r="K50" s="126"/>
      <c r="L50" s="126"/>
      <c r="M50" s="126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59" t="s">
        <v>47</v>
      </c>
      <c r="B51" s="64" t="s">
        <v>49</v>
      </c>
      <c r="C51" s="30" t="s">
        <v>18</v>
      </c>
      <c r="D51" s="31">
        <v>0.86</v>
      </c>
      <c r="E51" s="31">
        <v>2</v>
      </c>
      <c r="F51" s="31">
        <v>0</v>
      </c>
      <c r="G51" s="31">
        <v>0</v>
      </c>
      <c r="H51" s="131">
        <f t="shared" si="18"/>
        <v>0</v>
      </c>
      <c r="I51" s="31"/>
      <c r="J51" s="126"/>
      <c r="K51" s="115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6">D53+D54</f>
        <v>11.15</v>
      </c>
      <c r="E52" s="17">
        <f t="shared" si="26"/>
        <v>17.849999999999998</v>
      </c>
      <c r="F52" s="17">
        <f t="shared" si="26"/>
        <v>17.850000000000001</v>
      </c>
      <c r="G52" s="17">
        <f t="shared" si="26"/>
        <v>17.850000000000001</v>
      </c>
      <c r="H52" s="131">
        <f t="shared" si="18"/>
        <v>100.00000000000003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66" t="s">
        <v>47</v>
      </c>
      <c r="B53" s="64" t="s">
        <v>51</v>
      </c>
      <c r="C53" s="30" t="s">
        <v>18</v>
      </c>
      <c r="D53" s="31">
        <f>13.65-6</f>
        <v>7.65</v>
      </c>
      <c r="E53" s="31">
        <f>D48*85%</f>
        <v>17.849999999999998</v>
      </c>
      <c r="F53" s="31">
        <v>17.850000000000001</v>
      </c>
      <c r="G53" s="31">
        <v>17.850000000000001</v>
      </c>
      <c r="H53" s="168">
        <f t="shared" si="18"/>
        <v>100.00000000000003</v>
      </c>
      <c r="I53" s="31"/>
      <c r="J53" s="126"/>
      <c r="K53" s="126"/>
      <c r="L53" s="135"/>
      <c r="M53" s="126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4" t="s">
        <v>52</v>
      </c>
      <c r="C54" s="30" t="s">
        <v>18</v>
      </c>
      <c r="D54" s="31">
        <v>3.5</v>
      </c>
      <c r="E54" s="31"/>
      <c r="F54" s="31"/>
      <c r="G54" s="31"/>
      <c r="H54" s="131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7">D56+D57</f>
        <v>11.5</v>
      </c>
      <c r="E55" s="17">
        <f t="shared" si="27"/>
        <v>13.5</v>
      </c>
      <c r="F55" s="17">
        <f t="shared" si="27"/>
        <v>12.3</v>
      </c>
      <c r="G55" s="17">
        <f t="shared" si="27"/>
        <v>12.3</v>
      </c>
      <c r="H55" s="131">
        <f t="shared" ref="H55:H65" si="28">F55/E55*100</f>
        <v>91.111111111111114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58" t="s">
        <v>50</v>
      </c>
      <c r="C56" s="30" t="s">
        <v>18</v>
      </c>
      <c r="D56" s="31">
        <v>11.5</v>
      </c>
      <c r="E56" s="31">
        <f>D56+E58</f>
        <v>12.3</v>
      </c>
      <c r="F56" s="31">
        <v>12.3</v>
      </c>
      <c r="G56" s="31">
        <v>12.3</v>
      </c>
      <c r="H56" s="168">
        <f t="shared" si="28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9">D58+D61</f>
        <v>0</v>
      </c>
      <c r="E57" s="31">
        <f t="shared" si="29"/>
        <v>1.2000000000000002</v>
      </c>
      <c r="F57" s="31">
        <f t="shared" si="29"/>
        <v>0</v>
      </c>
      <c r="G57" s="31">
        <f t="shared" si="29"/>
        <v>0</v>
      </c>
      <c r="H57" s="131">
        <f t="shared" si="28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30">D59+D60</f>
        <v>0</v>
      </c>
      <c r="E58" s="71">
        <f t="shared" si="30"/>
        <v>0.8</v>
      </c>
      <c r="F58" s="71">
        <f t="shared" si="30"/>
        <v>0</v>
      </c>
      <c r="G58" s="71">
        <f t="shared" si="30"/>
        <v>0</v>
      </c>
      <c r="H58" s="131">
        <f t="shared" si="28"/>
        <v>0</v>
      </c>
      <c r="I58" s="71"/>
      <c r="J58" s="138"/>
      <c r="K58" s="97"/>
      <c r="L58" s="97"/>
      <c r="M58" s="97"/>
      <c r="N58" s="97"/>
      <c r="O58" s="97"/>
      <c r="P58" s="74"/>
      <c r="Q58" s="74"/>
      <c r="R58" s="74"/>
      <c r="S58" s="74"/>
      <c r="T58" s="75"/>
      <c r="U58" s="75"/>
      <c r="V58" s="75"/>
      <c r="W58" s="75"/>
      <c r="X58" s="75"/>
      <c r="Y58" s="75"/>
      <c r="Z58" s="75"/>
    </row>
    <row r="59" spans="1:26" ht="31.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0.3</v>
      </c>
      <c r="F59" s="31">
        <v>0</v>
      </c>
      <c r="G59" s="31">
        <v>0</v>
      </c>
      <c r="H59" s="131">
        <f t="shared" si="28"/>
        <v>0</v>
      </c>
      <c r="I59" s="31"/>
      <c r="J59" s="35"/>
      <c r="K59" s="137"/>
      <c r="L59" s="137"/>
      <c r="M59" s="137"/>
      <c r="N59" s="137"/>
      <c r="O59" s="137"/>
      <c r="P59" s="2"/>
      <c r="Q59" s="2"/>
      <c r="R59" s="2"/>
      <c r="S59" s="2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0.5</v>
      </c>
      <c r="F60" s="31">
        <v>0</v>
      </c>
      <c r="G60" s="31">
        <v>0</v>
      </c>
      <c r="H60" s="131">
        <f t="shared" si="28"/>
        <v>0</v>
      </c>
      <c r="I60" s="31"/>
      <c r="J60" s="35"/>
      <c r="K60" s="137"/>
      <c r="L60" s="137"/>
      <c r="M60" s="137"/>
      <c r="N60" s="137"/>
      <c r="O60" s="137"/>
      <c r="P60" s="2"/>
      <c r="Q60" s="2"/>
      <c r="R60" s="2"/>
      <c r="S60" s="2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1">D62+D63</f>
        <v>0</v>
      </c>
      <c r="E61" s="71">
        <f t="shared" si="31"/>
        <v>0.4</v>
      </c>
      <c r="F61" s="71">
        <f t="shared" si="31"/>
        <v>0</v>
      </c>
      <c r="G61" s="71">
        <f t="shared" si="31"/>
        <v>0</v>
      </c>
      <c r="H61" s="131">
        <f t="shared" si="28"/>
        <v>0</v>
      </c>
      <c r="I61" s="71"/>
      <c r="J61" s="35"/>
      <c r="K61" s="97"/>
      <c r="L61" s="97"/>
      <c r="M61" s="97"/>
      <c r="N61" s="97"/>
      <c r="O61" s="74"/>
      <c r="P61" s="74"/>
      <c r="Q61" s="74"/>
      <c r="R61" s="74"/>
      <c r="S61" s="74"/>
      <c r="T61" s="75"/>
      <c r="U61" s="75"/>
      <c r="V61" s="75"/>
      <c r="W61" s="75"/>
      <c r="X61" s="75"/>
      <c r="Y61" s="75"/>
      <c r="Z61" s="75"/>
    </row>
    <row r="62" spans="1:26" ht="31.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0.3</v>
      </c>
      <c r="F62" s="31">
        <v>0</v>
      </c>
      <c r="G62" s="31">
        <v>0</v>
      </c>
      <c r="H62" s="131">
        <f t="shared" si="28"/>
        <v>0</v>
      </c>
      <c r="I62" s="31"/>
      <c r="J62" s="35"/>
      <c r="K62" s="137"/>
      <c r="L62" s="137"/>
      <c r="M62" s="137"/>
      <c r="N62" s="137"/>
      <c r="O62" s="137"/>
      <c r="P62" s="2"/>
      <c r="Q62" s="2"/>
      <c r="R62" s="2"/>
      <c r="S62" s="2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31">
        <f t="shared" si="28"/>
        <v>0</v>
      </c>
      <c r="I63" s="31"/>
      <c r="J63" s="35"/>
      <c r="K63" s="137"/>
      <c r="L63" s="137"/>
      <c r="M63" s="137"/>
      <c r="N63" s="137"/>
      <c r="O63" s="137"/>
      <c r="P63" s="2"/>
      <c r="Q63" s="2"/>
      <c r="R63" s="2"/>
      <c r="S63" s="2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2">D65+D66</f>
        <v>5.75</v>
      </c>
      <c r="E64" s="17">
        <f t="shared" si="32"/>
        <v>5.75</v>
      </c>
      <c r="F64" s="17">
        <f t="shared" si="32"/>
        <v>5.75</v>
      </c>
      <c r="G64" s="17">
        <f t="shared" si="32"/>
        <v>5.75</v>
      </c>
      <c r="H64" s="131">
        <f t="shared" si="28"/>
        <v>100</v>
      </c>
      <c r="I64" s="17"/>
      <c r="J64" s="126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58" t="s">
        <v>45</v>
      </c>
      <c r="C65" s="30" t="s">
        <v>18</v>
      </c>
      <c r="D65" s="31">
        <v>5.75</v>
      </c>
      <c r="E65" s="31">
        <v>5.75</v>
      </c>
      <c r="F65" s="31">
        <v>5.75</v>
      </c>
      <c r="G65" s="31">
        <v>5.75</v>
      </c>
      <c r="H65" s="168">
        <f t="shared" si="28"/>
        <v>100</v>
      </c>
      <c r="I65" s="31"/>
      <c r="J65" s="126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31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3">D68+D71</f>
        <v>46.83</v>
      </c>
      <c r="E67" s="17">
        <f t="shared" si="33"/>
        <v>47.059999999999995</v>
      </c>
      <c r="F67" s="17">
        <f t="shared" si="33"/>
        <v>46.489999999999995</v>
      </c>
      <c r="G67" s="17">
        <f t="shared" si="33"/>
        <v>46.489999999999995</v>
      </c>
      <c r="H67" s="131">
        <f>F67/E67*100</f>
        <v>98.788780280492986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4">D69+D70</f>
        <v>0</v>
      </c>
      <c r="E68" s="17">
        <f t="shared" si="34"/>
        <v>0</v>
      </c>
      <c r="F68" s="17">
        <f t="shared" si="34"/>
        <v>0</v>
      </c>
      <c r="G68" s="17">
        <f t="shared" si="34"/>
        <v>0</v>
      </c>
      <c r="H68" s="131"/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58" t="s">
        <v>69</v>
      </c>
      <c r="C69" s="30" t="s">
        <v>18</v>
      </c>
      <c r="D69" s="31"/>
      <c r="E69" s="31"/>
      <c r="F69" s="31"/>
      <c r="G69" s="31"/>
      <c r="H69" s="131"/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58" t="s">
        <v>70</v>
      </c>
      <c r="C70" s="30" t="s">
        <v>18</v>
      </c>
      <c r="D70" s="31"/>
      <c r="E70" s="31"/>
      <c r="F70" s="31"/>
      <c r="G70" s="31"/>
      <c r="H70" s="131"/>
      <c r="I70" s="31"/>
      <c r="J70" s="126"/>
      <c r="K70" s="126"/>
      <c r="L70" s="126"/>
      <c r="M70" s="126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5">D72+D73</f>
        <v>46.83</v>
      </c>
      <c r="E71" s="17">
        <f t="shared" si="35"/>
        <v>47.059999999999995</v>
      </c>
      <c r="F71" s="17">
        <f t="shared" si="35"/>
        <v>46.489999999999995</v>
      </c>
      <c r="G71" s="17">
        <f t="shared" si="35"/>
        <v>46.489999999999995</v>
      </c>
      <c r="H71" s="131">
        <f t="shared" ref="H71:H75" si="36">F71/E71*100</f>
        <v>98.788780280492986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7">D75+D82</f>
        <v>46.33</v>
      </c>
      <c r="E72" s="87">
        <f t="shared" si="37"/>
        <v>46.489999999999995</v>
      </c>
      <c r="F72" s="87">
        <f t="shared" si="37"/>
        <v>46.489999999999995</v>
      </c>
      <c r="G72" s="87">
        <f t="shared" si="37"/>
        <v>46.489999999999995</v>
      </c>
      <c r="H72" s="131">
        <f t="shared" si="36"/>
        <v>100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8">D76+D83</f>
        <v>0.5</v>
      </c>
      <c r="E73" s="17">
        <f t="shared" si="38"/>
        <v>0.56999999999999995</v>
      </c>
      <c r="F73" s="17">
        <f t="shared" si="38"/>
        <v>0</v>
      </c>
      <c r="G73" s="17">
        <f t="shared" si="38"/>
        <v>0</v>
      </c>
      <c r="H73" s="131">
        <f t="shared" si="36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39">D75+D76</f>
        <v>34.299999999999997</v>
      </c>
      <c r="E74" s="91">
        <f t="shared" si="39"/>
        <v>34.299999999999997</v>
      </c>
      <c r="F74" s="91">
        <f t="shared" si="39"/>
        <v>34.299999999999997</v>
      </c>
      <c r="G74" s="91">
        <f t="shared" si="39"/>
        <v>34.299999999999997</v>
      </c>
      <c r="H74" s="170">
        <f t="shared" si="36"/>
        <v>100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7" t="s">
        <v>32</v>
      </c>
      <c r="B75" s="93" t="s">
        <v>45</v>
      </c>
      <c r="C75" s="30" t="s">
        <v>18</v>
      </c>
      <c r="D75" s="60">
        <f>33.3+1</f>
        <v>34.299999999999997</v>
      </c>
      <c r="E75" s="60">
        <f>D75+D76</f>
        <v>34.299999999999997</v>
      </c>
      <c r="F75" s="60">
        <v>34.299999999999997</v>
      </c>
      <c r="G75" s="60">
        <v>34.299999999999997</v>
      </c>
      <c r="H75" s="168">
        <f t="shared" si="36"/>
        <v>100</v>
      </c>
      <c r="I75" s="31"/>
      <c r="J75" s="126"/>
      <c r="K75" s="126"/>
      <c r="L75" s="115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40">SUM(D77:D80)</f>
        <v>0</v>
      </c>
      <c r="E76" s="141">
        <f t="shared" si="40"/>
        <v>0</v>
      </c>
      <c r="F76" s="141">
        <f t="shared" si="40"/>
        <v>0</v>
      </c>
      <c r="G76" s="141">
        <f t="shared" si="40"/>
        <v>0</v>
      </c>
      <c r="H76" s="131"/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6" t="s">
        <v>47</v>
      </c>
      <c r="B77" s="94" t="s">
        <v>80</v>
      </c>
      <c r="C77" s="46" t="s">
        <v>18</v>
      </c>
      <c r="D77" s="31"/>
      <c r="E77" s="31">
        <v>0</v>
      </c>
      <c r="F77" s="31"/>
      <c r="G77" s="31"/>
      <c r="H77" s="131"/>
      <c r="I77" s="31"/>
      <c r="J77" s="138"/>
      <c r="K77" s="138"/>
      <c r="L77" s="97"/>
      <c r="M77" s="97"/>
      <c r="N77" s="143"/>
      <c r="O77" s="2"/>
      <c r="P77" s="38"/>
      <c r="Q77" s="2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6" t="s">
        <v>47</v>
      </c>
      <c r="B78" s="94" t="s">
        <v>81</v>
      </c>
      <c r="C78" s="46" t="s">
        <v>18</v>
      </c>
      <c r="D78" s="31"/>
      <c r="E78" s="31">
        <v>0</v>
      </c>
      <c r="F78" s="31"/>
      <c r="G78" s="31"/>
      <c r="H78" s="131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131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6" t="s">
        <v>47</v>
      </c>
      <c r="B80" s="144" t="s">
        <v>83</v>
      </c>
      <c r="C80" s="46" t="s">
        <v>18</v>
      </c>
      <c r="D80" s="31"/>
      <c r="E80" s="31"/>
      <c r="F80" s="31"/>
      <c r="G80" s="31"/>
      <c r="H80" s="131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1">D82+D83</f>
        <v>12.53</v>
      </c>
      <c r="E81" s="91">
        <f t="shared" si="41"/>
        <v>12.76</v>
      </c>
      <c r="F81" s="91">
        <f t="shared" si="41"/>
        <v>12.19</v>
      </c>
      <c r="G81" s="91">
        <f t="shared" si="41"/>
        <v>12.19</v>
      </c>
      <c r="H81" s="170">
        <f t="shared" ref="H81:H83" si="42">F81/E81*100</f>
        <v>95.532915360501562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1.5" customHeight="1" x14ac:dyDescent="0.25">
      <c r="A82" s="107" t="s">
        <v>47</v>
      </c>
      <c r="B82" s="94" t="s">
        <v>85</v>
      </c>
      <c r="C82" s="46" t="s">
        <v>18</v>
      </c>
      <c r="D82" s="71">
        <v>12.03</v>
      </c>
      <c r="E82" s="71">
        <v>12.19</v>
      </c>
      <c r="F82" s="71">
        <v>12.19</v>
      </c>
      <c r="G82" s="71">
        <v>12.19</v>
      </c>
      <c r="H82" s="168">
        <f t="shared" si="42"/>
        <v>100</v>
      </c>
      <c r="I82" s="71"/>
      <c r="J82" s="138"/>
      <c r="K82" s="138"/>
      <c r="L82" s="143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1.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3">SUM(D84:D87)</f>
        <v>0.5</v>
      </c>
      <c r="E83" s="60">
        <f t="shared" si="43"/>
        <v>0.56999999999999995</v>
      </c>
      <c r="F83" s="60">
        <f t="shared" si="43"/>
        <v>0</v>
      </c>
      <c r="G83" s="60">
        <f t="shared" si="43"/>
        <v>0</v>
      </c>
      <c r="H83" s="131">
        <f t="shared" si="42"/>
        <v>0</v>
      </c>
      <c r="I83" s="60"/>
      <c r="J83" s="138"/>
      <c r="K83" s="138"/>
      <c r="L83" s="97"/>
      <c r="M83" s="97"/>
      <c r="N83" s="97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31"/>
      <c r="I84" s="31"/>
      <c r="J84" s="97"/>
      <c r="K84" s="97"/>
      <c r="L84" s="97"/>
      <c r="M84" s="97"/>
      <c r="N84" s="9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31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31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07" t="s">
        <v>47</v>
      </c>
      <c r="B87" s="94" t="s">
        <v>89</v>
      </c>
      <c r="C87" s="46" t="s">
        <v>18</v>
      </c>
      <c r="D87" s="31">
        <v>0.5</v>
      </c>
      <c r="E87" s="31">
        <v>0.56999999999999995</v>
      </c>
      <c r="F87" s="31">
        <v>0</v>
      </c>
      <c r="G87" s="31">
        <v>0</v>
      </c>
      <c r="H87" s="131">
        <f t="shared" ref="H87:H95" si="44">F87/E87*100</f>
        <v>0</v>
      </c>
      <c r="I87" s="31"/>
      <c r="J87" s="97"/>
      <c r="K87" s="97"/>
      <c r="L87" s="143"/>
      <c r="M87" s="143"/>
      <c r="N87" s="143"/>
      <c r="O87" s="38"/>
      <c r="P87" s="38"/>
      <c r="Q87" s="38"/>
      <c r="R87" s="45"/>
      <c r="S87" s="45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5">SUM(D89:D93)</f>
        <v>1028</v>
      </c>
      <c r="E88" s="17">
        <f t="shared" si="45"/>
        <v>1308</v>
      </c>
      <c r="F88" s="17">
        <f t="shared" si="45"/>
        <v>1175</v>
      </c>
      <c r="G88" s="17">
        <f t="shared" si="45"/>
        <v>1175</v>
      </c>
      <c r="H88" s="131">
        <f t="shared" si="44"/>
        <v>89.831804281345569</v>
      </c>
      <c r="I88" s="17"/>
      <c r="J88" s="28"/>
      <c r="K88" s="28"/>
      <c r="L88" s="134"/>
      <c r="M88" s="134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104</v>
      </c>
      <c r="E89" s="31">
        <f>55+29</f>
        <v>84</v>
      </c>
      <c r="F89" s="31">
        <v>83</v>
      </c>
      <c r="G89" s="31">
        <f t="shared" ref="G89:G93" si="46">F89</f>
        <v>83</v>
      </c>
      <c r="H89" s="168">
        <f t="shared" si="44"/>
        <v>98.80952380952381</v>
      </c>
      <c r="I89" s="31"/>
      <c r="J89" s="55"/>
      <c r="K89" s="79"/>
      <c r="L89" s="171"/>
      <c r="M89" s="172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159</v>
      </c>
      <c r="E90" s="31">
        <f>150+24</f>
        <v>174</v>
      </c>
      <c r="F90" s="31">
        <v>171</v>
      </c>
      <c r="G90" s="31">
        <f t="shared" si="46"/>
        <v>171</v>
      </c>
      <c r="H90" s="168">
        <f t="shared" si="44"/>
        <v>98.275862068965509</v>
      </c>
      <c r="I90" s="31"/>
      <c r="J90" s="55"/>
      <c r="K90" s="176"/>
      <c r="L90" s="171"/>
      <c r="M90" s="172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93</v>
      </c>
      <c r="E91" s="31">
        <f>134+42</f>
        <v>176</v>
      </c>
      <c r="F91" s="31">
        <v>169</v>
      </c>
      <c r="G91" s="31">
        <f t="shared" si="46"/>
        <v>169</v>
      </c>
      <c r="H91" s="168">
        <f t="shared" si="44"/>
        <v>96.022727272727266</v>
      </c>
      <c r="I91" s="31"/>
      <c r="J91" s="55"/>
      <c r="K91" s="79"/>
      <c r="L91" s="171"/>
      <c r="M91" s="172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1.5" customHeight="1" x14ac:dyDescent="0.25">
      <c r="A92" s="30">
        <v>4</v>
      </c>
      <c r="B92" s="27" t="s">
        <v>98</v>
      </c>
      <c r="C92" s="30" t="s">
        <v>93</v>
      </c>
      <c r="D92" s="31"/>
      <c r="E92" s="31">
        <f>2+1</f>
        <v>3</v>
      </c>
      <c r="F92" s="31">
        <v>2</v>
      </c>
      <c r="G92" s="31">
        <f t="shared" si="46"/>
        <v>2</v>
      </c>
      <c r="H92" s="168">
        <f t="shared" si="44"/>
        <v>66.666666666666657</v>
      </c>
      <c r="I92" s="31"/>
      <c r="J92" s="28"/>
      <c r="K92" s="35"/>
      <c r="L92" s="174"/>
      <c r="M92" s="172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99</v>
      </c>
      <c r="C93" s="30" t="s">
        <v>93</v>
      </c>
      <c r="D93" s="31">
        <v>672</v>
      </c>
      <c r="E93" s="31">
        <f>964-93</f>
        <v>871</v>
      </c>
      <c r="F93" s="31">
        <v>750</v>
      </c>
      <c r="G93" s="31">
        <f t="shared" si="46"/>
        <v>750</v>
      </c>
      <c r="H93" s="168">
        <f t="shared" si="44"/>
        <v>86.107921928817461</v>
      </c>
      <c r="I93" s="31"/>
      <c r="J93" s="79"/>
      <c r="K93" s="79"/>
      <c r="L93" s="174"/>
      <c r="M93" s="172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1.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7">D95</f>
        <v>1.1000000000000001</v>
      </c>
      <c r="E94" s="17">
        <f t="shared" si="47"/>
        <v>1.1000000000000001</v>
      </c>
      <c r="F94" s="17">
        <f t="shared" si="47"/>
        <v>1.1000000000000001</v>
      </c>
      <c r="G94" s="17">
        <f t="shared" si="47"/>
        <v>1.1000000000000001</v>
      </c>
      <c r="H94" s="131">
        <f t="shared" si="44"/>
        <v>100</v>
      </c>
      <c r="I94" s="17"/>
      <c r="J94" s="65"/>
      <c r="K94" s="65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6" t="s">
        <v>47</v>
      </c>
      <c r="B95" s="76" t="s">
        <v>102</v>
      </c>
      <c r="C95" s="46" t="s">
        <v>18</v>
      </c>
      <c r="D95" s="31">
        <v>1.1000000000000001</v>
      </c>
      <c r="E95" s="31">
        <v>1.1000000000000001</v>
      </c>
      <c r="F95" s="31">
        <v>1.1000000000000001</v>
      </c>
      <c r="G95" s="31">
        <v>1.1000000000000001</v>
      </c>
      <c r="H95" s="168">
        <f t="shared" si="44"/>
        <v>100</v>
      </c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8">D97+D98</f>
        <v>0</v>
      </c>
      <c r="E96" s="17">
        <f t="shared" si="48"/>
        <v>0</v>
      </c>
      <c r="F96" s="17">
        <f t="shared" si="48"/>
        <v>0</v>
      </c>
      <c r="G96" s="17">
        <f t="shared" si="48"/>
        <v>0</v>
      </c>
      <c r="H96" s="131"/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3" t="s">
        <v>263</v>
      </c>
      <c r="C97" s="46" t="s">
        <v>18</v>
      </c>
      <c r="D97" s="31"/>
      <c r="E97" s="31">
        <v>0</v>
      </c>
      <c r="F97" s="31"/>
      <c r="G97" s="31"/>
      <c r="H97" s="131"/>
      <c r="I97" s="31"/>
      <c r="J97" s="28"/>
      <c r="K97" s="28"/>
      <c r="L97" s="35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23" t="s">
        <v>47</v>
      </c>
      <c r="B98" s="93" t="s">
        <v>109</v>
      </c>
      <c r="C98" s="46" t="s">
        <v>18</v>
      </c>
      <c r="D98" s="31"/>
      <c r="E98" s="31"/>
      <c r="F98" s="31"/>
      <c r="G98" s="31"/>
      <c r="H98" s="131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9055118110236227" bottom="0.55118110236220474" header="0" footer="0"/>
  <pageSetup scale="85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6640625" customWidth="1"/>
    <col min="2" max="2" width="29.109375" customWidth="1"/>
    <col min="3" max="3" width="10.6640625" customWidth="1"/>
    <col min="4" max="5" width="16.88671875" customWidth="1"/>
    <col min="6" max="9" width="12.6640625" customWidth="1"/>
    <col min="10" max="10" width="8.88671875" customWidth="1"/>
    <col min="11" max="11" width="21.77734375" customWidth="1"/>
    <col min="12" max="14" width="8.88671875" customWidth="1"/>
    <col min="15" max="22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278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'MÔ PẢ(12)'!A5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7"/>
      <c r="I7" s="314" t="s">
        <v>265</v>
      </c>
      <c r="J7" s="126"/>
      <c r="K7" s="11" t="s">
        <v>10</v>
      </c>
      <c r="L7" s="160">
        <v>89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8" t="s">
        <v>14</v>
      </c>
      <c r="I8" s="315"/>
      <c r="J8" s="126"/>
      <c r="K8" s="11" t="s">
        <v>15</v>
      </c>
      <c r="L8" s="160">
        <v>515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65.8</v>
      </c>
      <c r="E9" s="131">
        <f t="shared" si="0"/>
        <v>93.550000000000011</v>
      </c>
      <c r="F9" s="131">
        <f t="shared" si="0"/>
        <v>74.8</v>
      </c>
      <c r="G9" s="131">
        <f t="shared" si="0"/>
        <v>74.8</v>
      </c>
      <c r="H9" s="17">
        <f t="shared" ref="H9:H30" si="1">F9/E9*100</f>
        <v>79.957242116515218</v>
      </c>
      <c r="I9" s="131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1.5</v>
      </c>
      <c r="E10" s="17">
        <f t="shared" si="2"/>
        <v>10.76</v>
      </c>
      <c r="F10" s="17">
        <f t="shared" si="2"/>
        <v>3.71</v>
      </c>
      <c r="G10" s="17">
        <f t="shared" si="2"/>
        <v>3.71</v>
      </c>
      <c r="H10" s="17">
        <f t="shared" si="1"/>
        <v>34.479553903345725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5.5275000000000007</v>
      </c>
      <c r="E11" s="17">
        <f t="shared" si="3"/>
        <v>33.440009999999994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133"/>
      <c r="K11" s="133"/>
      <c r="L11" s="180"/>
      <c r="M11" s="180"/>
      <c r="N11" s="180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27.905009999999997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133"/>
      <c r="K12" s="133"/>
      <c r="L12" s="180"/>
      <c r="M12" s="180"/>
      <c r="N12" s="180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9.26</v>
      </c>
      <c r="F13" s="17">
        <f t="shared" si="5"/>
        <v>2.21</v>
      </c>
      <c r="G13" s="17">
        <f t="shared" si="5"/>
        <v>2.21</v>
      </c>
      <c r="H13" s="17">
        <f t="shared" si="1"/>
        <v>23.866090712742981</v>
      </c>
      <c r="I13" s="17"/>
      <c r="J13" s="126"/>
      <c r="K13" s="126"/>
      <c r="L13" s="126"/>
      <c r="M13" s="126"/>
      <c r="N13" s="12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26"/>
      <c r="K14" s="126"/>
      <c r="L14" s="182"/>
      <c r="M14" s="182"/>
      <c r="N14" s="182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27.905009999999997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26"/>
      <c r="K15" s="126"/>
      <c r="L15" s="182"/>
      <c r="M15" s="182"/>
      <c r="N15" s="182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2.21</v>
      </c>
      <c r="F16" s="17">
        <v>2.21</v>
      </c>
      <c r="G16" s="17">
        <v>2.21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17"/>
      <c r="E18" s="31">
        <f t="shared" ref="E18:G18" si="8">E16*E17/10</f>
        <v>7.4034999999999993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184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1" t="s">
        <v>31</v>
      </c>
      <c r="C19" s="40" t="s">
        <v>18</v>
      </c>
      <c r="D19" s="96">
        <f t="shared" ref="D19:G19" si="9">D22+D25</f>
        <v>0</v>
      </c>
      <c r="E19" s="96">
        <f t="shared" si="9"/>
        <v>7.05</v>
      </c>
      <c r="F19" s="96">
        <f t="shared" si="9"/>
        <v>0</v>
      </c>
      <c r="G19" s="96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44"/>
      <c r="O19" s="86"/>
      <c r="P19" s="86"/>
      <c r="Q19" s="86"/>
      <c r="R19" s="86"/>
      <c r="S19" s="86"/>
      <c r="T19" s="86"/>
      <c r="U19" s="86"/>
      <c r="V19" s="86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26.770000000000003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28"/>
      <c r="M20" s="28"/>
      <c r="N20" s="44"/>
      <c r="O20" s="86"/>
      <c r="P20" s="86"/>
      <c r="Q20" s="86"/>
      <c r="R20" s="86"/>
      <c r="S20" s="86"/>
      <c r="T20" s="86"/>
      <c r="U20" s="86"/>
      <c r="V20" s="86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18.872850000000003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28"/>
      <c r="M21" s="28"/>
      <c r="N21" s="44"/>
      <c r="O21" s="86"/>
      <c r="P21" s="86"/>
      <c r="Q21" s="86"/>
      <c r="R21" s="86"/>
      <c r="S21" s="86"/>
      <c r="T21" s="86"/>
      <c r="U21" s="86"/>
      <c r="V21" s="86"/>
      <c r="W21" s="1"/>
      <c r="X21" s="1"/>
      <c r="Y21" s="1"/>
      <c r="Z21" s="1"/>
    </row>
    <row r="22" spans="1:26" ht="31.5" customHeight="1" x14ac:dyDescent="0.25">
      <c r="A22" s="40" t="s">
        <v>32</v>
      </c>
      <c r="B22" s="41" t="s">
        <v>33</v>
      </c>
      <c r="C22" s="40" t="s">
        <v>18</v>
      </c>
      <c r="D22" s="96"/>
      <c r="E22" s="96">
        <v>6.05</v>
      </c>
      <c r="F22" s="96">
        <v>0</v>
      </c>
      <c r="G22" s="96">
        <v>0</v>
      </c>
      <c r="H22" s="17">
        <f t="shared" si="1"/>
        <v>0</v>
      </c>
      <c r="I22" s="17"/>
      <c r="J22" s="53"/>
      <c r="K22" s="53"/>
      <c r="L22" s="53"/>
      <c r="M22" s="53"/>
      <c r="N22" s="61"/>
      <c r="O22" s="152"/>
      <c r="P22" s="152"/>
      <c r="Q22" s="152"/>
      <c r="R22" s="152"/>
      <c r="S22" s="152"/>
      <c r="T22" s="152"/>
      <c r="U22" s="152"/>
      <c r="V22" s="86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3"/>
      <c r="K23" s="53"/>
      <c r="L23" s="53"/>
      <c r="M23" s="53"/>
      <c r="N23" s="61"/>
      <c r="O23" s="152"/>
      <c r="P23" s="152"/>
      <c r="Q23" s="152"/>
      <c r="R23" s="152"/>
      <c r="S23" s="152"/>
      <c r="T23" s="152"/>
      <c r="U23" s="152"/>
      <c r="V23" s="86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2">D22*D23/10</f>
        <v>0</v>
      </c>
      <c r="E24" s="31">
        <f t="shared" si="12"/>
        <v>23.195700000000002</v>
      </c>
      <c r="F24" s="31">
        <f t="shared" si="12"/>
        <v>0</v>
      </c>
      <c r="G24" s="31">
        <f t="shared" si="12"/>
        <v>0</v>
      </c>
      <c r="H24" s="17">
        <f t="shared" si="1"/>
        <v>0</v>
      </c>
      <c r="I24" s="31"/>
      <c r="J24" s="53"/>
      <c r="K24" s="53"/>
      <c r="L24" s="53"/>
      <c r="M24" s="53"/>
      <c r="N24" s="61"/>
      <c r="O24" s="152"/>
      <c r="P24" s="152"/>
      <c r="Q24" s="152"/>
      <c r="R24" s="152"/>
      <c r="S24" s="152"/>
      <c r="T24" s="152"/>
      <c r="U24" s="152"/>
      <c r="V24" s="86"/>
      <c r="W24" s="1"/>
      <c r="X24" s="1"/>
      <c r="Y24" s="1"/>
      <c r="Z24" s="1"/>
    </row>
    <row r="25" spans="1:26" ht="31.5" customHeight="1" x14ac:dyDescent="0.25">
      <c r="A25" s="40" t="s">
        <v>32</v>
      </c>
      <c r="B25" s="41" t="s">
        <v>34</v>
      </c>
      <c r="C25" s="40" t="s">
        <v>18</v>
      </c>
      <c r="D25" s="96"/>
      <c r="E25" s="96">
        <v>1</v>
      </c>
      <c r="F25" s="96">
        <v>0</v>
      </c>
      <c r="G25" s="96">
        <v>0</v>
      </c>
      <c r="H25" s="17">
        <f t="shared" si="1"/>
        <v>0</v>
      </c>
      <c r="I25" s="17"/>
      <c r="J25" s="53"/>
      <c r="K25" s="53"/>
      <c r="L25" s="53"/>
      <c r="M25" s="53"/>
      <c r="N25" s="61"/>
      <c r="O25" s="152"/>
      <c r="P25" s="152"/>
      <c r="Q25" s="152"/>
      <c r="R25" s="152"/>
      <c r="S25" s="152"/>
      <c r="T25" s="152"/>
      <c r="U25" s="152"/>
      <c r="V25" s="86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>
        <f t="shared" si="1"/>
        <v>0</v>
      </c>
      <c r="I26" s="31"/>
      <c r="J26" s="53"/>
      <c r="K26" s="53"/>
      <c r="L26" s="53"/>
      <c r="M26" s="53"/>
      <c r="N26" s="61"/>
      <c r="O26" s="152"/>
      <c r="P26" s="152"/>
      <c r="Q26" s="152"/>
      <c r="R26" s="152"/>
      <c r="S26" s="152"/>
      <c r="T26" s="152"/>
      <c r="U26" s="152"/>
      <c r="V26" s="86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>
        <f t="shared" ref="D27:G27" si="13">D25*D26/10</f>
        <v>0</v>
      </c>
      <c r="E27" s="31">
        <f t="shared" si="13"/>
        <v>1.52</v>
      </c>
      <c r="F27" s="31">
        <f t="shared" si="13"/>
        <v>0</v>
      </c>
      <c r="G27" s="31">
        <f t="shared" si="13"/>
        <v>0</v>
      </c>
      <c r="H27" s="17">
        <f t="shared" si="1"/>
        <v>0</v>
      </c>
      <c r="I27" s="31"/>
      <c r="J27" s="53"/>
      <c r="K27" s="53"/>
      <c r="L27" s="53"/>
      <c r="M27" s="53"/>
      <c r="N27" s="61"/>
      <c r="O27" s="152"/>
      <c r="P27" s="152"/>
      <c r="Q27" s="152"/>
      <c r="R27" s="152"/>
      <c r="S27" s="152"/>
      <c r="T27" s="152"/>
      <c r="U27" s="152"/>
      <c r="V27" s="86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4">D31+D34</f>
        <v>1.5</v>
      </c>
      <c r="E28" s="17">
        <f t="shared" si="14"/>
        <v>1.5</v>
      </c>
      <c r="F28" s="17">
        <f t="shared" si="14"/>
        <v>1.5</v>
      </c>
      <c r="G28" s="17">
        <f t="shared" si="14"/>
        <v>1.5</v>
      </c>
      <c r="H28" s="17">
        <f t="shared" si="1"/>
        <v>100</v>
      </c>
      <c r="I28" s="17"/>
      <c r="J28" s="154"/>
      <c r="K28" s="154"/>
      <c r="L28" s="154"/>
      <c r="M28" s="154"/>
      <c r="N28" s="154"/>
      <c r="O28" s="153"/>
      <c r="P28" s="153"/>
      <c r="Q28" s="153"/>
      <c r="R28" s="153"/>
      <c r="S28" s="153"/>
      <c r="T28" s="153"/>
      <c r="U28" s="153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G29" si="15">D35</f>
        <v>36.85</v>
      </c>
      <c r="E29" s="31">
        <f t="shared" si="15"/>
        <v>36.9</v>
      </c>
      <c r="F29" s="31">
        <f t="shared" si="15"/>
        <v>0</v>
      </c>
      <c r="G29" s="31">
        <f t="shared" si="15"/>
        <v>0</v>
      </c>
      <c r="H29" s="17">
        <f t="shared" si="1"/>
        <v>0</v>
      </c>
      <c r="I29" s="31"/>
      <c r="J29" s="154"/>
      <c r="K29" s="154"/>
      <c r="L29" s="154"/>
      <c r="M29" s="154"/>
      <c r="N29" s="154"/>
      <c r="O29" s="153"/>
      <c r="P29" s="153"/>
      <c r="Q29" s="153"/>
      <c r="R29" s="153"/>
      <c r="S29" s="153"/>
      <c r="T29" s="153"/>
      <c r="U29" s="153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6">D28*D29/10</f>
        <v>5.5275000000000007</v>
      </c>
      <c r="E30" s="31">
        <f t="shared" si="16"/>
        <v>5.5349999999999993</v>
      </c>
      <c r="F30" s="31">
        <f t="shared" si="16"/>
        <v>0</v>
      </c>
      <c r="G30" s="31">
        <f t="shared" si="16"/>
        <v>0</v>
      </c>
      <c r="H30" s="17">
        <f t="shared" si="1"/>
        <v>0</v>
      </c>
      <c r="I30" s="31"/>
      <c r="J30" s="154"/>
      <c r="K30" s="154"/>
      <c r="L30" s="154"/>
      <c r="M30" s="154"/>
      <c r="N30" s="154"/>
      <c r="O30" s="153"/>
      <c r="P30" s="153"/>
      <c r="Q30" s="153"/>
      <c r="R30" s="153"/>
      <c r="S30" s="153"/>
      <c r="T30" s="153"/>
      <c r="U30" s="153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7"/>
      <c r="I31" s="17"/>
      <c r="J31" s="154"/>
      <c r="K31" s="154"/>
      <c r="L31" s="154"/>
      <c r="M31" s="154"/>
      <c r="N31" s="154"/>
      <c r="O31" s="153"/>
      <c r="P31" s="153"/>
      <c r="Q31" s="153"/>
      <c r="R31" s="153"/>
      <c r="S31" s="153"/>
      <c r="T31" s="153"/>
      <c r="U31" s="153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154"/>
      <c r="K32" s="154"/>
      <c r="L32" s="154"/>
      <c r="M32" s="154"/>
      <c r="N32" s="154"/>
      <c r="O32" s="153"/>
      <c r="P32" s="153"/>
      <c r="Q32" s="153"/>
      <c r="R32" s="153"/>
      <c r="S32" s="153"/>
      <c r="T32" s="153"/>
      <c r="U32" s="153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154"/>
      <c r="K33" s="154"/>
      <c r="L33" s="154"/>
      <c r="M33" s="154"/>
      <c r="N33" s="154"/>
      <c r="O33" s="153"/>
      <c r="P33" s="153"/>
      <c r="Q33" s="153"/>
      <c r="R33" s="153"/>
      <c r="S33" s="153"/>
      <c r="T33" s="153"/>
      <c r="U33" s="153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1" t="s">
        <v>38</v>
      </c>
      <c r="C34" s="40" t="s">
        <v>18</v>
      </c>
      <c r="D34" s="96">
        <v>1.5</v>
      </c>
      <c r="E34" s="96">
        <v>1.5</v>
      </c>
      <c r="F34" s="96">
        <v>1.5</v>
      </c>
      <c r="G34" s="96">
        <v>1.5</v>
      </c>
      <c r="H34" s="17">
        <f t="shared" ref="H34:H36" si="17">F34/E34*100</f>
        <v>100</v>
      </c>
      <c r="I34" s="96"/>
      <c r="J34" s="154"/>
      <c r="K34" s="44"/>
      <c r="L34" s="44"/>
      <c r="M34" s="44"/>
      <c r="N34" s="44"/>
      <c r="O34" s="44"/>
      <c r="P34" s="153"/>
      <c r="Q34" s="153"/>
      <c r="R34" s="153"/>
      <c r="S34" s="153"/>
      <c r="T34" s="153"/>
      <c r="U34" s="153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7"/>
        <v>0</v>
      </c>
      <c r="I35" s="31"/>
      <c r="J35" s="154"/>
      <c r="K35" s="44"/>
      <c r="L35" s="44"/>
      <c r="M35" s="44"/>
      <c r="N35" s="44"/>
      <c r="O35" s="44"/>
      <c r="P35" s="153"/>
      <c r="Q35" s="153"/>
      <c r="R35" s="153"/>
      <c r="S35" s="153"/>
      <c r="T35" s="153"/>
      <c r="U35" s="153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8">D34*D35/10</f>
        <v>5.5275000000000007</v>
      </c>
      <c r="E36" s="31">
        <f t="shared" si="18"/>
        <v>5.5349999999999993</v>
      </c>
      <c r="F36" s="31">
        <f t="shared" si="18"/>
        <v>0</v>
      </c>
      <c r="G36" s="31">
        <f t="shared" si="18"/>
        <v>0</v>
      </c>
      <c r="H36" s="17">
        <f t="shared" si="17"/>
        <v>0</v>
      </c>
      <c r="I36" s="31"/>
      <c r="J36" s="154"/>
      <c r="K36" s="44"/>
      <c r="L36" s="44"/>
      <c r="M36" s="44"/>
      <c r="N36" s="44"/>
      <c r="O36" s="44"/>
      <c r="P36" s="153"/>
      <c r="Q36" s="153"/>
      <c r="R36" s="153"/>
      <c r="S36" s="153"/>
      <c r="T36" s="153"/>
      <c r="U36" s="153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/>
      <c r="E37" s="17">
        <v>0</v>
      </c>
      <c r="F37" s="17">
        <v>0</v>
      </c>
      <c r="G37" s="17">
        <v>0</v>
      </c>
      <c r="H37" s="17"/>
      <c r="I37" s="17"/>
      <c r="J37" s="154"/>
      <c r="K37" s="53"/>
      <c r="L37" s="154"/>
      <c r="M37" s="154"/>
      <c r="N37" s="154"/>
      <c r="O37" s="153"/>
      <c r="P37" s="153"/>
      <c r="Q37" s="153"/>
      <c r="R37" s="153"/>
      <c r="S37" s="153"/>
      <c r="T37" s="153"/>
      <c r="U37" s="153"/>
      <c r="V37" s="1"/>
      <c r="W37" s="1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>F38/E38*100</f>
        <v>0</v>
      </c>
      <c r="I38" s="31"/>
      <c r="J38" s="154"/>
      <c r="K38" s="154"/>
      <c r="L38" s="154"/>
      <c r="M38" s="154"/>
      <c r="N38" s="154"/>
      <c r="O38" s="153"/>
      <c r="P38" s="153"/>
      <c r="Q38" s="153"/>
      <c r="R38" s="153"/>
      <c r="S38" s="153"/>
      <c r="T38" s="153"/>
      <c r="U38" s="153"/>
      <c r="V38" s="1"/>
      <c r="W38" s="1"/>
      <c r="X38" s="1"/>
      <c r="Y38" s="1"/>
      <c r="Z38" s="1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19">D37*D38/10</f>
        <v>0</v>
      </c>
      <c r="E39" s="31">
        <f t="shared" si="19"/>
        <v>0</v>
      </c>
      <c r="F39" s="31">
        <f t="shared" si="19"/>
        <v>0</v>
      </c>
      <c r="G39" s="31">
        <f t="shared" si="19"/>
        <v>0</v>
      </c>
      <c r="H39" s="17"/>
      <c r="I39" s="31"/>
      <c r="J39" s="154"/>
      <c r="K39" s="154"/>
      <c r="L39" s="154"/>
      <c r="M39" s="154"/>
      <c r="N39" s="154"/>
      <c r="O39" s="153"/>
      <c r="P39" s="153"/>
      <c r="Q39" s="153"/>
      <c r="R39" s="153"/>
      <c r="S39" s="153"/>
      <c r="T39" s="153"/>
      <c r="U39" s="153"/>
      <c r="V39" s="1"/>
      <c r="W39" s="1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ref="H40:H53" si="20">F40/E40*100</f>
        <v>0</v>
      </c>
      <c r="I40" s="31"/>
      <c r="J40" s="154"/>
      <c r="K40" s="154"/>
      <c r="L40" s="154"/>
      <c r="M40" s="154"/>
      <c r="N40" s="154"/>
      <c r="O40" s="153"/>
      <c r="P40" s="153"/>
      <c r="Q40" s="153"/>
      <c r="R40" s="153"/>
      <c r="S40" s="153"/>
      <c r="T40" s="153"/>
      <c r="U40" s="153"/>
      <c r="V40" s="1"/>
      <c r="W40" s="1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20"/>
        <v>0</v>
      </c>
      <c r="I41" s="31"/>
      <c r="J41" s="154"/>
      <c r="K41" s="154"/>
      <c r="L41" s="154"/>
      <c r="M41" s="154"/>
      <c r="N41" s="154"/>
      <c r="O41" s="153"/>
      <c r="P41" s="153"/>
      <c r="Q41" s="153"/>
      <c r="R41" s="153"/>
      <c r="S41" s="153"/>
      <c r="T41" s="153"/>
      <c r="U41" s="153"/>
      <c r="V41" s="1"/>
      <c r="W41" s="1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>
        <f t="shared" ref="D42:G42" si="21">D40*D41/10</f>
        <v>1.25</v>
      </c>
      <c r="E42" s="31">
        <f t="shared" si="21"/>
        <v>1.2050000000000001</v>
      </c>
      <c r="F42" s="31">
        <f t="shared" si="21"/>
        <v>0</v>
      </c>
      <c r="G42" s="31">
        <f t="shared" si="21"/>
        <v>0</v>
      </c>
      <c r="H42" s="17">
        <f t="shared" si="20"/>
        <v>0</v>
      </c>
      <c r="I42" s="31"/>
      <c r="J42" s="154"/>
      <c r="K42" s="154"/>
      <c r="L42" s="154"/>
      <c r="M42" s="154"/>
      <c r="N42" s="154"/>
      <c r="O42" s="153"/>
      <c r="P42" s="153"/>
      <c r="Q42" s="153"/>
      <c r="R42" s="153"/>
      <c r="S42" s="153"/>
      <c r="T42" s="153"/>
      <c r="U42" s="153"/>
      <c r="V42" s="1"/>
      <c r="W42" s="1"/>
      <c r="X42" s="1"/>
      <c r="Y42" s="1"/>
      <c r="Z42" s="1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20"/>
        <v>54</v>
      </c>
      <c r="I43" s="17"/>
      <c r="J43" s="154"/>
      <c r="K43" s="154"/>
      <c r="L43" s="154"/>
      <c r="M43" s="154"/>
      <c r="N43" s="154"/>
      <c r="O43" s="153"/>
      <c r="P43" s="153"/>
      <c r="Q43" s="153"/>
      <c r="R43" s="153"/>
      <c r="S43" s="153"/>
      <c r="T43" s="153"/>
      <c r="U43" s="153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20"/>
        <v>0</v>
      </c>
      <c r="I44" s="31"/>
      <c r="J44" s="126"/>
      <c r="K44" s="126"/>
      <c r="L44" s="126"/>
      <c r="M44" s="126"/>
      <c r="N44" s="12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7" t="s">
        <v>27</v>
      </c>
      <c r="C45" s="48" t="s">
        <v>21</v>
      </c>
      <c r="D45" s="31">
        <f t="shared" ref="D45:G45" si="22">D43*D44/10</f>
        <v>5</v>
      </c>
      <c r="E45" s="31">
        <f t="shared" si="22"/>
        <v>4.9249999999999998</v>
      </c>
      <c r="F45" s="31">
        <f t="shared" si="22"/>
        <v>0</v>
      </c>
      <c r="G45" s="31">
        <f t="shared" si="22"/>
        <v>0</v>
      </c>
      <c r="H45" s="17">
        <f t="shared" si="20"/>
        <v>0</v>
      </c>
      <c r="I45" s="31"/>
      <c r="J45" s="126"/>
      <c r="K45" s="126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3">D47+D55+D64</f>
        <v>42.23</v>
      </c>
      <c r="E46" s="17">
        <f t="shared" si="23"/>
        <v>60.45</v>
      </c>
      <c r="F46" s="17">
        <f t="shared" si="23"/>
        <v>49.25</v>
      </c>
      <c r="G46" s="17">
        <f t="shared" si="23"/>
        <v>49.25</v>
      </c>
      <c r="H46" s="17">
        <f t="shared" si="20"/>
        <v>81.4722911497105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4">D48+D49</f>
        <v>30.45</v>
      </c>
      <c r="E47" s="17">
        <f t="shared" si="24"/>
        <v>40.450000000000003</v>
      </c>
      <c r="F47" s="17">
        <f t="shared" si="24"/>
        <v>30.45</v>
      </c>
      <c r="G47" s="17">
        <f t="shared" si="24"/>
        <v>30.45</v>
      </c>
      <c r="H47" s="17">
        <f t="shared" si="20"/>
        <v>75.278121137206426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7" t="s">
        <v>32</v>
      </c>
      <c r="B48" s="58" t="s">
        <v>45</v>
      </c>
      <c r="C48" s="59" t="s">
        <v>18</v>
      </c>
      <c r="D48" s="31">
        <v>30.45</v>
      </c>
      <c r="E48" s="31">
        <f>D48+D49</f>
        <v>30.45</v>
      </c>
      <c r="F48" s="31">
        <v>30.45</v>
      </c>
      <c r="G48" s="31">
        <v>30.45</v>
      </c>
      <c r="H48" s="17">
        <f t="shared" si="20"/>
        <v>100</v>
      </c>
      <c r="I48" s="31"/>
      <c r="J48" s="53"/>
      <c r="K48" s="53"/>
      <c r="L48" s="53"/>
      <c r="M48" s="53"/>
      <c r="N48" s="53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5">D50+D51</f>
        <v>0</v>
      </c>
      <c r="E49" s="17">
        <f t="shared" si="25"/>
        <v>10</v>
      </c>
      <c r="F49" s="17">
        <f t="shared" si="25"/>
        <v>0</v>
      </c>
      <c r="G49" s="17">
        <f t="shared" si="25"/>
        <v>0</v>
      </c>
      <c r="H49" s="17">
        <f t="shared" si="20"/>
        <v>0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59" t="s">
        <v>47</v>
      </c>
      <c r="B50" s="64" t="s">
        <v>48</v>
      </c>
      <c r="C50" s="59" t="s">
        <v>18</v>
      </c>
      <c r="D50" s="31"/>
      <c r="E50" s="31">
        <v>8</v>
      </c>
      <c r="F50" s="31">
        <v>0</v>
      </c>
      <c r="G50" s="31">
        <v>0</v>
      </c>
      <c r="H50" s="17">
        <f t="shared" si="20"/>
        <v>0</v>
      </c>
      <c r="I50" s="31"/>
      <c r="J50" s="126"/>
      <c r="K50" s="126"/>
      <c r="L50" s="126"/>
      <c r="M50" s="126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59" t="s">
        <v>47</v>
      </c>
      <c r="B51" s="64" t="s">
        <v>49</v>
      </c>
      <c r="C51" s="30" t="s">
        <v>18</v>
      </c>
      <c r="D51" s="31"/>
      <c r="E51" s="31">
        <v>2</v>
      </c>
      <c r="F51" s="31">
        <v>0</v>
      </c>
      <c r="G51" s="31">
        <v>0</v>
      </c>
      <c r="H51" s="17">
        <f t="shared" si="20"/>
        <v>0</v>
      </c>
      <c r="I51" s="31"/>
      <c r="J51" s="126"/>
      <c r="K51" s="126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6">D53+D54</f>
        <v>16.759999999999998</v>
      </c>
      <c r="E52" s="17">
        <f t="shared" si="26"/>
        <v>25.8825</v>
      </c>
      <c r="F52" s="17">
        <f t="shared" si="26"/>
        <v>25.88</v>
      </c>
      <c r="G52" s="17">
        <f t="shared" si="26"/>
        <v>25.88</v>
      </c>
      <c r="H52" s="17">
        <f t="shared" si="20"/>
        <v>99.990340963971789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66" t="s">
        <v>47</v>
      </c>
      <c r="B53" s="64" t="s">
        <v>51</v>
      </c>
      <c r="C53" s="30" t="s">
        <v>18</v>
      </c>
      <c r="D53" s="31">
        <f>14.29-1.23</f>
        <v>13.059999999999999</v>
      </c>
      <c r="E53" s="31">
        <f>D48*85%</f>
        <v>25.8825</v>
      </c>
      <c r="F53" s="31">
        <v>25.88</v>
      </c>
      <c r="G53" s="31">
        <v>25.88</v>
      </c>
      <c r="H53" s="31">
        <f t="shared" si="20"/>
        <v>99.990340963971789</v>
      </c>
      <c r="I53" s="31"/>
      <c r="J53" s="126"/>
      <c r="K53" s="126"/>
      <c r="L53" s="135"/>
      <c r="M53" s="126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4" t="s">
        <v>52</v>
      </c>
      <c r="C54" s="30" t="s">
        <v>18</v>
      </c>
      <c r="D54" s="31">
        <v>3.7</v>
      </c>
      <c r="E54" s="31"/>
      <c r="F54" s="31"/>
      <c r="G54" s="31"/>
      <c r="H54" s="17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7">D56+D57</f>
        <v>11.78</v>
      </c>
      <c r="E55" s="17">
        <f t="shared" si="27"/>
        <v>13.5</v>
      </c>
      <c r="F55" s="17">
        <f t="shared" si="27"/>
        <v>12.3</v>
      </c>
      <c r="G55" s="17">
        <f t="shared" si="27"/>
        <v>12.3</v>
      </c>
      <c r="H55" s="17">
        <f t="shared" ref="H55:H65" si="28">F55/E55*100</f>
        <v>91.111111111111114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58" t="s">
        <v>50</v>
      </c>
      <c r="C56" s="30" t="s">
        <v>18</v>
      </c>
      <c r="D56" s="31">
        <v>11.5</v>
      </c>
      <c r="E56" s="31">
        <f>D56+E58</f>
        <v>12.3</v>
      </c>
      <c r="F56" s="31">
        <v>12.3</v>
      </c>
      <c r="G56" s="31">
        <v>12.3</v>
      </c>
      <c r="H56" s="31">
        <f t="shared" si="28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9">D58+D61</f>
        <v>0.28000000000000003</v>
      </c>
      <c r="E57" s="31">
        <f t="shared" si="29"/>
        <v>1.2000000000000002</v>
      </c>
      <c r="F57" s="31">
        <f t="shared" si="29"/>
        <v>0</v>
      </c>
      <c r="G57" s="31">
        <f t="shared" si="29"/>
        <v>0</v>
      </c>
      <c r="H57" s="17">
        <f t="shared" si="28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30">D59+D60</f>
        <v>0.28000000000000003</v>
      </c>
      <c r="E58" s="71">
        <f t="shared" si="30"/>
        <v>0.8</v>
      </c>
      <c r="F58" s="71">
        <f t="shared" si="30"/>
        <v>0</v>
      </c>
      <c r="G58" s="71">
        <f t="shared" si="30"/>
        <v>0</v>
      </c>
      <c r="H58" s="17">
        <f t="shared" si="28"/>
        <v>0</v>
      </c>
      <c r="I58" s="71"/>
      <c r="J58" s="138"/>
      <c r="K58" s="97"/>
      <c r="L58" s="97"/>
      <c r="M58" s="97"/>
      <c r="N58" s="97"/>
      <c r="O58" s="97"/>
      <c r="P58" s="97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1.5" customHeight="1" x14ac:dyDescent="0.25">
      <c r="A59" s="30" t="s">
        <v>47</v>
      </c>
      <c r="B59" s="58" t="s">
        <v>58</v>
      </c>
      <c r="C59" s="30" t="s">
        <v>18</v>
      </c>
      <c r="D59" s="31">
        <v>0.28000000000000003</v>
      </c>
      <c r="E59" s="31">
        <v>0.3</v>
      </c>
      <c r="F59" s="31">
        <v>0</v>
      </c>
      <c r="G59" s="31">
        <v>0</v>
      </c>
      <c r="H59" s="17">
        <f t="shared" si="28"/>
        <v>0</v>
      </c>
      <c r="I59" s="31"/>
      <c r="J59" s="35"/>
      <c r="K59" s="28"/>
      <c r="L59" s="137"/>
      <c r="M59" s="137"/>
      <c r="N59" s="137"/>
      <c r="O59" s="137"/>
      <c r="P59" s="137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0.5</v>
      </c>
      <c r="F60" s="31">
        <v>0</v>
      </c>
      <c r="G60" s="31">
        <v>0</v>
      </c>
      <c r="H60" s="17">
        <f t="shared" si="28"/>
        <v>0</v>
      </c>
      <c r="I60" s="31"/>
      <c r="J60" s="35"/>
      <c r="K60" s="28"/>
      <c r="L60" s="137"/>
      <c r="M60" s="137"/>
      <c r="N60" s="137"/>
      <c r="O60" s="137"/>
      <c r="P60" s="137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1">D62+D63</f>
        <v>0</v>
      </c>
      <c r="E61" s="71">
        <f t="shared" si="31"/>
        <v>0.4</v>
      </c>
      <c r="F61" s="71">
        <f t="shared" si="31"/>
        <v>0</v>
      </c>
      <c r="G61" s="71">
        <f t="shared" si="31"/>
        <v>0</v>
      </c>
      <c r="H61" s="17">
        <f t="shared" si="28"/>
        <v>0</v>
      </c>
      <c r="I61" s="71"/>
      <c r="J61" s="35"/>
      <c r="K61" s="97"/>
      <c r="L61" s="97"/>
      <c r="M61" s="97"/>
      <c r="N61" s="97"/>
      <c r="O61" s="97"/>
      <c r="P61" s="74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1.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0.3</v>
      </c>
      <c r="F62" s="31">
        <v>0</v>
      </c>
      <c r="G62" s="31">
        <v>0</v>
      </c>
      <c r="H62" s="17">
        <f t="shared" si="28"/>
        <v>0</v>
      </c>
      <c r="I62" s="31"/>
      <c r="J62" s="35"/>
      <c r="K62" s="28"/>
      <c r="L62" s="137"/>
      <c r="M62" s="137"/>
      <c r="N62" s="137"/>
      <c r="O62" s="137"/>
      <c r="P62" s="137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8"/>
        <v>0</v>
      </c>
      <c r="I63" s="31"/>
      <c r="J63" s="35"/>
      <c r="K63" s="28"/>
      <c r="L63" s="137"/>
      <c r="M63" s="137"/>
      <c r="N63" s="137"/>
      <c r="O63" s="137"/>
      <c r="P63" s="137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2">D65+D66</f>
        <v>0</v>
      </c>
      <c r="E64" s="17">
        <f t="shared" si="32"/>
        <v>6.5</v>
      </c>
      <c r="F64" s="17">
        <f t="shared" si="32"/>
        <v>6.5</v>
      </c>
      <c r="G64" s="17">
        <f t="shared" si="32"/>
        <v>6.5</v>
      </c>
      <c r="H64" s="17">
        <f t="shared" si="28"/>
        <v>100</v>
      </c>
      <c r="I64" s="17"/>
      <c r="J64" s="126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58" t="s">
        <v>45</v>
      </c>
      <c r="C65" s="30" t="s">
        <v>18</v>
      </c>
      <c r="D65" s="31"/>
      <c r="E65" s="31">
        <v>6.5</v>
      </c>
      <c r="F65" s="31">
        <v>6.5</v>
      </c>
      <c r="G65" s="31">
        <v>6.5</v>
      </c>
      <c r="H65" s="31">
        <f t="shared" si="28"/>
        <v>100</v>
      </c>
      <c r="I65" s="31"/>
      <c r="J65" s="126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3">D68+D71</f>
        <v>21.57</v>
      </c>
      <c r="E67" s="17">
        <f t="shared" si="33"/>
        <v>21.84</v>
      </c>
      <c r="F67" s="17">
        <f t="shared" si="33"/>
        <v>21.57</v>
      </c>
      <c r="G67" s="17">
        <f t="shared" si="33"/>
        <v>21.57</v>
      </c>
      <c r="H67" s="17">
        <f>F67/E67*100</f>
        <v>98.763736263736263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4">D69+D70</f>
        <v>0</v>
      </c>
      <c r="E68" s="17">
        <f t="shared" si="34"/>
        <v>0</v>
      </c>
      <c r="F68" s="17">
        <f t="shared" si="34"/>
        <v>0</v>
      </c>
      <c r="G68" s="17">
        <f t="shared" si="34"/>
        <v>0</v>
      </c>
      <c r="H68" s="17"/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58" t="s">
        <v>69</v>
      </c>
      <c r="C69" s="30" t="s">
        <v>18</v>
      </c>
      <c r="D69" s="31"/>
      <c r="E69" s="31"/>
      <c r="F69" s="31"/>
      <c r="G69" s="31"/>
      <c r="H69" s="17"/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58" t="s">
        <v>70</v>
      </c>
      <c r="C70" s="30" t="s">
        <v>18</v>
      </c>
      <c r="D70" s="31"/>
      <c r="E70" s="31"/>
      <c r="F70" s="31"/>
      <c r="G70" s="31"/>
      <c r="H70" s="17"/>
      <c r="I70" s="31"/>
      <c r="J70" s="126"/>
      <c r="K70" s="126"/>
      <c r="L70" s="126"/>
      <c r="M70" s="126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5">D72+D73</f>
        <v>21.57</v>
      </c>
      <c r="E71" s="17">
        <f t="shared" si="35"/>
        <v>21.84</v>
      </c>
      <c r="F71" s="17">
        <f t="shared" si="35"/>
        <v>21.57</v>
      </c>
      <c r="G71" s="17">
        <f t="shared" si="35"/>
        <v>21.57</v>
      </c>
      <c r="H71" s="17">
        <f t="shared" ref="H71:H75" si="36">F71/E71*100</f>
        <v>98.763736263736263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7">D75+D82</f>
        <v>21.07</v>
      </c>
      <c r="E72" s="87">
        <f t="shared" si="37"/>
        <v>21.57</v>
      </c>
      <c r="F72" s="87">
        <f t="shared" si="37"/>
        <v>21.57</v>
      </c>
      <c r="G72" s="87">
        <f t="shared" si="37"/>
        <v>21.57</v>
      </c>
      <c r="H72" s="17">
        <f t="shared" si="36"/>
        <v>100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8">D76+D83</f>
        <v>0.5</v>
      </c>
      <c r="E73" s="17">
        <f t="shared" si="38"/>
        <v>0.27</v>
      </c>
      <c r="F73" s="17">
        <f t="shared" si="38"/>
        <v>0</v>
      </c>
      <c r="G73" s="17">
        <f t="shared" si="38"/>
        <v>0</v>
      </c>
      <c r="H73" s="17">
        <f t="shared" si="36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39">D75+D76</f>
        <v>15.98</v>
      </c>
      <c r="E74" s="91">
        <f t="shared" si="39"/>
        <v>15.98</v>
      </c>
      <c r="F74" s="91">
        <f t="shared" si="39"/>
        <v>15.98</v>
      </c>
      <c r="G74" s="91">
        <f t="shared" si="39"/>
        <v>15.98</v>
      </c>
      <c r="H74" s="96">
        <f t="shared" si="36"/>
        <v>100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7" t="s">
        <v>32</v>
      </c>
      <c r="B75" s="93" t="s">
        <v>45</v>
      </c>
      <c r="C75" s="30" t="s">
        <v>18</v>
      </c>
      <c r="D75" s="60">
        <v>15.48</v>
      </c>
      <c r="E75" s="60">
        <f>D75+D76</f>
        <v>15.98</v>
      </c>
      <c r="F75" s="60">
        <v>15.98</v>
      </c>
      <c r="G75" s="60">
        <v>15.98</v>
      </c>
      <c r="H75" s="31">
        <f t="shared" si="36"/>
        <v>100</v>
      </c>
      <c r="I75" s="31"/>
      <c r="J75" s="126"/>
      <c r="K75" s="126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40">SUM(D77:D80)</f>
        <v>0.5</v>
      </c>
      <c r="E76" s="141">
        <f t="shared" si="40"/>
        <v>0</v>
      </c>
      <c r="F76" s="141">
        <f t="shared" si="40"/>
        <v>0</v>
      </c>
      <c r="G76" s="141">
        <f t="shared" si="40"/>
        <v>0</v>
      </c>
      <c r="H76" s="17"/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6" t="s">
        <v>47</v>
      </c>
      <c r="B77" s="94" t="s">
        <v>80</v>
      </c>
      <c r="C77" s="46" t="s">
        <v>18</v>
      </c>
      <c r="D77" s="31"/>
      <c r="E77" s="31"/>
      <c r="F77" s="31"/>
      <c r="G77" s="31"/>
      <c r="H77" s="17"/>
      <c r="I77" s="31"/>
      <c r="J77" s="138"/>
      <c r="K77" s="138"/>
      <c r="L77" s="97"/>
      <c r="M77" s="143"/>
      <c r="N77" s="143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6" t="s">
        <v>47</v>
      </c>
      <c r="B78" s="94" t="s">
        <v>81</v>
      </c>
      <c r="C78" s="46" t="s">
        <v>18</v>
      </c>
      <c r="D78" s="31"/>
      <c r="E78" s="31">
        <v>0</v>
      </c>
      <c r="F78" s="31"/>
      <c r="G78" s="31"/>
      <c r="H78" s="17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17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6" t="s">
        <v>47</v>
      </c>
      <c r="B80" s="144" t="s">
        <v>83</v>
      </c>
      <c r="C80" s="46" t="s">
        <v>18</v>
      </c>
      <c r="D80" s="31">
        <v>0.5</v>
      </c>
      <c r="E80" s="31"/>
      <c r="F80" s="31"/>
      <c r="G80" s="31"/>
      <c r="H80" s="17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1">D82+D83</f>
        <v>5.59</v>
      </c>
      <c r="E81" s="91">
        <f t="shared" si="41"/>
        <v>5.8599999999999994</v>
      </c>
      <c r="F81" s="91">
        <f t="shared" si="41"/>
        <v>5.59</v>
      </c>
      <c r="G81" s="91">
        <f t="shared" si="41"/>
        <v>5.59</v>
      </c>
      <c r="H81" s="96">
        <f t="shared" ref="H81:H83" si="42">F81/E81*100</f>
        <v>95.392491467576804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1.5" customHeight="1" x14ac:dyDescent="0.25">
      <c r="A82" s="107" t="s">
        <v>47</v>
      </c>
      <c r="B82" s="94" t="s">
        <v>85</v>
      </c>
      <c r="C82" s="46" t="s">
        <v>18</v>
      </c>
      <c r="D82" s="71">
        <v>5.59</v>
      </c>
      <c r="E82" s="71">
        <f>D82+D83</f>
        <v>5.59</v>
      </c>
      <c r="F82" s="71">
        <v>5.59</v>
      </c>
      <c r="G82" s="71">
        <v>5.59</v>
      </c>
      <c r="H82" s="31">
        <f t="shared" si="42"/>
        <v>100</v>
      </c>
      <c r="I82" s="71"/>
      <c r="J82" s="138"/>
      <c r="K82" s="138"/>
      <c r="L82" s="97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1.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3">SUM(D84:D87)</f>
        <v>0</v>
      </c>
      <c r="E83" s="60">
        <f t="shared" si="43"/>
        <v>0.27</v>
      </c>
      <c r="F83" s="60">
        <f t="shared" si="43"/>
        <v>0</v>
      </c>
      <c r="G83" s="60">
        <f t="shared" si="43"/>
        <v>0</v>
      </c>
      <c r="H83" s="17">
        <f t="shared" si="42"/>
        <v>0</v>
      </c>
      <c r="I83" s="60"/>
      <c r="J83" s="138"/>
      <c r="K83" s="138"/>
      <c r="L83" s="97"/>
      <c r="M83" s="97"/>
      <c r="N83" s="97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7"/>
      <c r="I84" s="31"/>
      <c r="J84" s="97"/>
      <c r="K84" s="97"/>
      <c r="L84" s="97"/>
      <c r="M84" s="97"/>
      <c r="N84" s="9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7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7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07" t="s">
        <v>47</v>
      </c>
      <c r="B87" s="94" t="s">
        <v>89</v>
      </c>
      <c r="C87" s="46" t="s">
        <v>18</v>
      </c>
      <c r="D87" s="31"/>
      <c r="E87" s="31">
        <v>0.27</v>
      </c>
      <c r="F87" s="31">
        <v>0</v>
      </c>
      <c r="G87" s="31">
        <v>0</v>
      </c>
      <c r="H87" s="17">
        <f t="shared" ref="H87:H91" si="44">F87/E87*100</f>
        <v>0</v>
      </c>
      <c r="I87" s="31"/>
      <c r="J87" s="97"/>
      <c r="K87" s="97"/>
      <c r="L87" s="97"/>
      <c r="M87" s="143"/>
      <c r="N87" s="143"/>
      <c r="O87" s="38"/>
      <c r="P87" s="38"/>
      <c r="Q87" s="38"/>
      <c r="R87" s="45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5">SUM(D89:D93)</f>
        <v>641</v>
      </c>
      <c r="E88" s="17">
        <f t="shared" si="45"/>
        <v>524</v>
      </c>
      <c r="F88" s="17">
        <f t="shared" si="45"/>
        <v>433</v>
      </c>
      <c r="G88" s="17">
        <f t="shared" si="45"/>
        <v>433</v>
      </c>
      <c r="H88" s="17">
        <f t="shared" si="44"/>
        <v>82.63358778625954</v>
      </c>
      <c r="I88" s="17"/>
      <c r="J88" s="28"/>
      <c r="K88" s="28"/>
      <c r="L88" s="134"/>
      <c r="M88" s="134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58</v>
      </c>
      <c r="E89" s="31">
        <f>20+10</f>
        <v>30</v>
      </c>
      <c r="F89" s="31">
        <v>29</v>
      </c>
      <c r="G89" s="31">
        <f t="shared" ref="G89:G91" si="46">F89</f>
        <v>29</v>
      </c>
      <c r="H89" s="17">
        <f t="shared" si="44"/>
        <v>96.666666666666671</v>
      </c>
      <c r="I89" s="31"/>
      <c r="J89" s="55"/>
      <c r="K89" s="176"/>
      <c r="L89" s="171"/>
      <c r="M89" s="172"/>
      <c r="N89" s="17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f>97+5</f>
        <v>102</v>
      </c>
      <c r="E90" s="31">
        <f>99+16</f>
        <v>115</v>
      </c>
      <c r="F90" s="31">
        <v>111</v>
      </c>
      <c r="G90" s="31">
        <f t="shared" si="46"/>
        <v>111</v>
      </c>
      <c r="H90" s="17">
        <f t="shared" si="44"/>
        <v>96.521739130434781</v>
      </c>
      <c r="I90" s="31"/>
      <c r="J90" s="55"/>
      <c r="K90" s="79"/>
      <c r="L90" s="171"/>
      <c r="M90" s="172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55</v>
      </c>
      <c r="E91" s="31">
        <v>2</v>
      </c>
      <c r="F91" s="31">
        <v>2</v>
      </c>
      <c r="G91" s="31">
        <f t="shared" si="46"/>
        <v>2</v>
      </c>
      <c r="H91" s="31">
        <f t="shared" si="44"/>
        <v>100</v>
      </c>
      <c r="I91" s="31"/>
      <c r="J91" s="28"/>
      <c r="K91" s="53"/>
      <c r="L91" s="171"/>
      <c r="M91" s="172"/>
      <c r="N91" s="53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1.5" customHeight="1" x14ac:dyDescent="0.25">
      <c r="A92" s="30">
        <v>4</v>
      </c>
      <c r="B92" s="27" t="s">
        <v>98</v>
      </c>
      <c r="C92" s="30" t="s">
        <v>93</v>
      </c>
      <c r="D92" s="31"/>
      <c r="E92" s="31"/>
      <c r="F92" s="31"/>
      <c r="G92" s="31"/>
      <c r="H92" s="17"/>
      <c r="I92" s="31"/>
      <c r="J92" s="28"/>
      <c r="K92" s="28"/>
      <c r="L92" s="174"/>
      <c r="M92" s="172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99</v>
      </c>
      <c r="C93" s="30" t="s">
        <v>93</v>
      </c>
      <c r="D93" s="31">
        <v>426</v>
      </c>
      <c r="E93" s="31">
        <f>417-40</f>
        <v>377</v>
      </c>
      <c r="F93" s="31">
        <v>291</v>
      </c>
      <c r="G93" s="31">
        <f>F93</f>
        <v>291</v>
      </c>
      <c r="H93" s="31">
        <f t="shared" ref="H93:H97" si="47">F93/E93*100</f>
        <v>77.188328912466844</v>
      </c>
      <c r="I93" s="31"/>
      <c r="J93" s="79"/>
      <c r="K93" s="79"/>
      <c r="L93" s="174"/>
      <c r="M93" s="172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1.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8">D95</f>
        <v>0</v>
      </c>
      <c r="E94" s="17">
        <f t="shared" si="48"/>
        <v>0.5</v>
      </c>
      <c r="F94" s="17">
        <f t="shared" si="48"/>
        <v>0.5</v>
      </c>
      <c r="G94" s="17">
        <f t="shared" si="48"/>
        <v>0.5</v>
      </c>
      <c r="H94" s="17">
        <f t="shared" si="47"/>
        <v>100</v>
      </c>
      <c r="I94" s="17"/>
      <c r="J94" s="65"/>
      <c r="K94" s="65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6" t="s">
        <v>47</v>
      </c>
      <c r="B95" s="76" t="s">
        <v>102</v>
      </c>
      <c r="C95" s="46" t="s">
        <v>18</v>
      </c>
      <c r="D95" s="31"/>
      <c r="E95" s="31">
        <v>0.5</v>
      </c>
      <c r="F95" s="31">
        <v>0.5</v>
      </c>
      <c r="G95" s="31">
        <v>0.5</v>
      </c>
      <c r="H95" s="31">
        <f t="shared" si="47"/>
        <v>100</v>
      </c>
      <c r="I95" s="31"/>
      <c r="J95" s="28"/>
      <c r="K95" s="53"/>
      <c r="L95" s="53"/>
      <c r="M95" s="53"/>
      <c r="N95" s="53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9">D97+D98</f>
        <v>0</v>
      </c>
      <c r="E96" s="17">
        <f t="shared" si="49"/>
        <v>2.1</v>
      </c>
      <c r="F96" s="17">
        <f t="shared" si="49"/>
        <v>0</v>
      </c>
      <c r="G96" s="17">
        <f t="shared" si="49"/>
        <v>0</v>
      </c>
      <c r="H96" s="17">
        <f t="shared" si="47"/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3" t="s">
        <v>263</v>
      </c>
      <c r="C97" s="46" t="s">
        <v>18</v>
      </c>
      <c r="D97" s="31"/>
      <c r="E97" s="31">
        <v>2.1</v>
      </c>
      <c r="F97" s="31"/>
      <c r="G97" s="31"/>
      <c r="H97" s="17">
        <f t="shared" si="47"/>
        <v>0</v>
      </c>
      <c r="I97" s="31"/>
      <c r="J97" s="28"/>
      <c r="K97" s="53"/>
      <c r="L97" s="35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23" t="s">
        <v>47</v>
      </c>
      <c r="B98" s="93" t="s">
        <v>109</v>
      </c>
      <c r="C98" s="46" t="s">
        <v>18</v>
      </c>
      <c r="D98" s="31"/>
      <c r="E98" s="31"/>
      <c r="F98" s="31"/>
      <c r="G98" s="31"/>
      <c r="H98" s="17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1181102362204722" bottom="0.47244094488188981" header="0" footer="0"/>
  <pageSetup scale="85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6.88671875" customWidth="1"/>
    <col min="2" max="2" width="30.44140625" customWidth="1"/>
    <col min="3" max="3" width="9.21875" customWidth="1"/>
    <col min="4" max="4" width="17.21875" customWidth="1"/>
    <col min="5" max="5" width="18.109375" customWidth="1"/>
    <col min="6" max="8" width="12.6640625" customWidth="1"/>
    <col min="9" max="9" width="11.44140625" customWidth="1"/>
    <col min="10" max="10" width="8.88671875" customWidth="1"/>
    <col min="11" max="11" width="18.6640625" customWidth="1"/>
    <col min="12" max="14" width="8.88671875" customWidth="1"/>
    <col min="15" max="21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279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'TY TU(13)'!A5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60">
        <v>62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60">
        <v>368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147.64999999999998</v>
      </c>
      <c r="E9" s="17">
        <f t="shared" si="0"/>
        <v>151.6</v>
      </c>
      <c r="F9" s="17">
        <f t="shared" si="0"/>
        <v>140.15</v>
      </c>
      <c r="G9" s="17">
        <f t="shared" si="0"/>
        <v>140.15</v>
      </c>
      <c r="H9" s="17">
        <f t="shared" ref="H9:H15" si="1">F9/E9*100</f>
        <v>92.447229551451187</v>
      </c>
      <c r="I9" s="17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3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1.03</v>
      </c>
      <c r="F10" s="17">
        <f t="shared" si="2"/>
        <v>1</v>
      </c>
      <c r="G10" s="17">
        <f t="shared" si="2"/>
        <v>1</v>
      </c>
      <c r="H10" s="17">
        <f t="shared" si="1"/>
        <v>97.087378640776706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3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3.780405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133"/>
      <c r="K11" s="133"/>
      <c r="L11" s="133"/>
      <c r="M11" s="133"/>
      <c r="N11" s="133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3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9.0404999999999999E-2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133"/>
      <c r="K12" s="133"/>
      <c r="L12" s="133"/>
      <c r="M12" s="133"/>
      <c r="N12" s="133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3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0.03</v>
      </c>
      <c r="F13" s="17">
        <f t="shared" si="5"/>
        <v>0</v>
      </c>
      <c r="G13" s="17">
        <f t="shared" si="5"/>
        <v>0</v>
      </c>
      <c r="H13" s="17">
        <f t="shared" si="1"/>
        <v>0</v>
      </c>
      <c r="I13" s="17"/>
      <c r="J13" s="126"/>
      <c r="K13" s="53"/>
      <c r="L13" s="53"/>
      <c r="M13" s="53"/>
      <c r="N13" s="53"/>
      <c r="O13" s="3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9.0404999999999999E-2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0</v>
      </c>
      <c r="F16" s="17">
        <v>0</v>
      </c>
      <c r="G16" s="17">
        <v>0</v>
      </c>
      <c r="H16" s="17"/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/>
      <c r="H17" s="17">
        <f>F17/E17*100</f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17"/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0.03</v>
      </c>
      <c r="F19" s="17">
        <f t="shared" si="9"/>
        <v>0</v>
      </c>
      <c r="G19" s="17">
        <f t="shared" si="9"/>
        <v>0</v>
      </c>
      <c r="H19" s="17">
        <f t="shared" ref="H19:H24" si="10">F19/E19*100</f>
        <v>0</v>
      </c>
      <c r="I19" s="17"/>
      <c r="J19" s="28"/>
      <c r="K19" s="28"/>
      <c r="L19" s="28"/>
      <c r="M19" s="28"/>
      <c r="N19" s="28"/>
      <c r="O19" s="2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40"/>
      <c r="B20" s="27" t="s">
        <v>25</v>
      </c>
      <c r="C20" s="30" t="s">
        <v>26</v>
      </c>
      <c r="D20" s="31">
        <f t="shared" ref="D20:G20" si="11">(D23+D26)/2</f>
        <v>26.75</v>
      </c>
      <c r="E20" s="31">
        <f t="shared" si="11"/>
        <v>26.770000000000003</v>
      </c>
      <c r="F20" s="31">
        <f t="shared" si="11"/>
        <v>0</v>
      </c>
      <c r="G20" s="31">
        <f t="shared" si="11"/>
        <v>0</v>
      </c>
      <c r="H20" s="17">
        <f t="shared" si="10"/>
        <v>0</v>
      </c>
      <c r="I20" s="31"/>
      <c r="J20" s="28"/>
      <c r="K20" s="28"/>
      <c r="L20" s="28"/>
      <c r="M20" s="28"/>
      <c r="N20" s="28"/>
      <c r="O20" s="2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40"/>
      <c r="B21" s="27" t="s">
        <v>27</v>
      </c>
      <c r="C21" s="30" t="s">
        <v>21</v>
      </c>
      <c r="D21" s="31">
        <f t="shared" ref="D21:G21" si="12">D19*D20/10</f>
        <v>0</v>
      </c>
      <c r="E21" s="31">
        <f t="shared" si="12"/>
        <v>8.0310000000000006E-2</v>
      </c>
      <c r="F21" s="31">
        <f t="shared" si="12"/>
        <v>0</v>
      </c>
      <c r="G21" s="31">
        <f t="shared" si="12"/>
        <v>0</v>
      </c>
      <c r="H21" s="17">
        <f t="shared" si="10"/>
        <v>0</v>
      </c>
      <c r="I21" s="31"/>
      <c r="J21" s="28"/>
      <c r="K21" s="28"/>
      <c r="L21" s="28"/>
      <c r="M21" s="28"/>
      <c r="N21" s="28"/>
      <c r="O21" s="2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40" t="s">
        <v>32</v>
      </c>
      <c r="B22" s="41" t="s">
        <v>33</v>
      </c>
      <c r="C22" s="40" t="s">
        <v>18</v>
      </c>
      <c r="D22" s="17"/>
      <c r="E22" s="96">
        <v>0.03</v>
      </c>
      <c r="F22" s="96">
        <v>0</v>
      </c>
      <c r="G22" s="96">
        <v>0</v>
      </c>
      <c r="H22" s="17">
        <f t="shared" si="10"/>
        <v>0</v>
      </c>
      <c r="I22" s="17"/>
      <c r="J22" s="53"/>
      <c r="K22" s="53"/>
      <c r="L22" s="53"/>
      <c r="M22" s="53"/>
      <c r="N22" s="53"/>
      <c r="O22" s="33"/>
      <c r="P22" s="33"/>
      <c r="Q22" s="153"/>
      <c r="R22" s="153"/>
      <c r="S22" s="153"/>
      <c r="T22" s="153"/>
      <c r="U22" s="153"/>
      <c r="V22" s="1"/>
      <c r="W22" s="1"/>
      <c r="X22" s="1"/>
      <c r="Y22" s="1"/>
      <c r="Z22" s="1"/>
    </row>
    <row r="23" spans="1:26" ht="33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0"/>
        <v>0</v>
      </c>
      <c r="I23" s="31"/>
      <c r="J23" s="53"/>
      <c r="K23" s="53"/>
      <c r="L23" s="53"/>
      <c r="M23" s="53"/>
      <c r="N23" s="53"/>
      <c r="O23" s="33"/>
      <c r="P23" s="33"/>
      <c r="Q23" s="153"/>
      <c r="R23" s="153"/>
      <c r="S23" s="153"/>
      <c r="T23" s="153"/>
      <c r="U23" s="153"/>
      <c r="V23" s="1"/>
      <c r="W23" s="1"/>
      <c r="X23" s="1"/>
      <c r="Y23" s="1"/>
      <c r="Z23" s="1"/>
    </row>
    <row r="24" spans="1:26" ht="33" customHeight="1" x14ac:dyDescent="0.25">
      <c r="A24" s="40"/>
      <c r="B24" s="27" t="s">
        <v>27</v>
      </c>
      <c r="C24" s="30" t="s">
        <v>21</v>
      </c>
      <c r="D24" s="31">
        <f t="shared" ref="D24:G24" si="13">D22*D23/10</f>
        <v>0</v>
      </c>
      <c r="E24" s="31">
        <f t="shared" si="13"/>
        <v>0.11502000000000001</v>
      </c>
      <c r="F24" s="31">
        <f t="shared" si="13"/>
        <v>0</v>
      </c>
      <c r="G24" s="31">
        <f t="shared" si="13"/>
        <v>0</v>
      </c>
      <c r="H24" s="17">
        <f t="shared" si="10"/>
        <v>0</v>
      </c>
      <c r="I24" s="31"/>
      <c r="J24" s="53"/>
      <c r="K24" s="53"/>
      <c r="L24" s="53"/>
      <c r="M24" s="53"/>
      <c r="N24" s="53"/>
      <c r="O24" s="33"/>
      <c r="P24" s="33"/>
      <c r="Q24" s="153"/>
      <c r="R24" s="153"/>
      <c r="S24" s="153"/>
      <c r="T24" s="153"/>
      <c r="U24" s="153"/>
      <c r="V24" s="1"/>
      <c r="W24" s="1"/>
      <c r="X24" s="1"/>
      <c r="Y24" s="1"/>
      <c r="Z24" s="1"/>
    </row>
    <row r="25" spans="1:26" ht="33" customHeight="1" x14ac:dyDescent="0.25">
      <c r="A25" s="40" t="s">
        <v>32</v>
      </c>
      <c r="B25" s="41" t="s">
        <v>34</v>
      </c>
      <c r="C25" s="40" t="s">
        <v>18</v>
      </c>
      <c r="D25" s="17"/>
      <c r="E25" s="17"/>
      <c r="F25" s="31">
        <v>0</v>
      </c>
      <c r="G25" s="31">
        <v>0</v>
      </c>
      <c r="H25" s="17"/>
      <c r="I25" s="31"/>
      <c r="J25" s="53"/>
      <c r="K25" s="53"/>
      <c r="L25" s="53"/>
      <c r="M25" s="53"/>
      <c r="N25" s="53"/>
      <c r="O25" s="33"/>
      <c r="P25" s="33"/>
      <c r="Q25" s="153"/>
      <c r="R25" s="153"/>
      <c r="S25" s="153"/>
      <c r="T25" s="153"/>
      <c r="U25" s="153"/>
      <c r="V25" s="1"/>
      <c r="W25" s="1"/>
      <c r="X25" s="1"/>
      <c r="Y25" s="1"/>
      <c r="Z25" s="1"/>
    </row>
    <row r="26" spans="1:26" ht="33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>
        <f>F26/E26*100</f>
        <v>0</v>
      </c>
      <c r="I26" s="31"/>
      <c r="J26" s="53"/>
      <c r="K26" s="53"/>
      <c r="L26" s="53"/>
      <c r="M26" s="53"/>
      <c r="N26" s="53"/>
      <c r="O26" s="33"/>
      <c r="P26" s="33"/>
      <c r="Q26" s="153"/>
      <c r="R26" s="153"/>
      <c r="S26" s="153"/>
      <c r="T26" s="153"/>
      <c r="U26" s="153"/>
      <c r="V26" s="1"/>
      <c r="W26" s="1"/>
      <c r="X26" s="1"/>
      <c r="Y26" s="1"/>
      <c r="Z26" s="1"/>
    </row>
    <row r="27" spans="1:26" ht="33" customHeight="1" x14ac:dyDescent="0.25">
      <c r="A27" s="40"/>
      <c r="B27" s="27" t="s">
        <v>27</v>
      </c>
      <c r="C27" s="30" t="s">
        <v>21</v>
      </c>
      <c r="D27" s="17"/>
      <c r="E27" s="17"/>
      <c r="F27" s="31"/>
      <c r="G27" s="31"/>
      <c r="H27" s="17"/>
      <c r="I27" s="31"/>
      <c r="J27" s="53"/>
      <c r="K27" s="53"/>
      <c r="L27" s="53"/>
      <c r="M27" s="53"/>
      <c r="N27" s="53"/>
      <c r="O27" s="33"/>
      <c r="P27" s="33"/>
      <c r="Q27" s="153"/>
      <c r="R27" s="153"/>
      <c r="S27" s="153"/>
      <c r="T27" s="153"/>
      <c r="U27" s="153"/>
      <c r="V27" s="1"/>
      <c r="W27" s="1"/>
      <c r="X27" s="1"/>
      <c r="Y27" s="1"/>
      <c r="Z27" s="1"/>
    </row>
    <row r="28" spans="1:26" ht="33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4">D31+D34</f>
        <v>1</v>
      </c>
      <c r="E28" s="17">
        <f t="shared" si="14"/>
        <v>1</v>
      </c>
      <c r="F28" s="17">
        <f t="shared" si="14"/>
        <v>1</v>
      </c>
      <c r="G28" s="17">
        <f t="shared" si="14"/>
        <v>1</v>
      </c>
      <c r="H28" s="17">
        <f t="shared" ref="H28:H30" si="15">F28/E28*100</f>
        <v>100</v>
      </c>
      <c r="I28" s="17"/>
      <c r="J28" s="53"/>
      <c r="K28" s="53"/>
      <c r="L28" s="53"/>
      <c r="M28" s="53"/>
      <c r="N28" s="53"/>
      <c r="O28" s="33"/>
      <c r="P28" s="33"/>
      <c r="Q28" s="153"/>
      <c r="R28" s="153"/>
      <c r="S28" s="153"/>
      <c r="T28" s="153"/>
      <c r="U28" s="153"/>
      <c r="V28" s="1"/>
      <c r="W28" s="1"/>
      <c r="X28" s="1"/>
      <c r="Y28" s="1"/>
      <c r="Z28" s="1"/>
    </row>
    <row r="29" spans="1:26" ht="33" customHeight="1" x14ac:dyDescent="0.25">
      <c r="A29" s="15"/>
      <c r="B29" s="27" t="s">
        <v>25</v>
      </c>
      <c r="C29" s="30" t="s">
        <v>26</v>
      </c>
      <c r="D29" s="31">
        <f t="shared" ref="D29:G29" si="16">D35</f>
        <v>36.85</v>
      </c>
      <c r="E29" s="31">
        <f t="shared" si="16"/>
        <v>36.9</v>
      </c>
      <c r="F29" s="31">
        <f t="shared" si="16"/>
        <v>0</v>
      </c>
      <c r="G29" s="31">
        <f t="shared" si="16"/>
        <v>0</v>
      </c>
      <c r="H29" s="17">
        <f t="shared" si="15"/>
        <v>0</v>
      </c>
      <c r="I29" s="31"/>
      <c r="J29" s="53"/>
      <c r="K29" s="53"/>
      <c r="L29" s="53"/>
      <c r="M29" s="53"/>
      <c r="N29" s="53"/>
      <c r="O29" s="33"/>
      <c r="P29" s="33"/>
      <c r="Q29" s="153"/>
      <c r="R29" s="153"/>
      <c r="S29" s="153"/>
      <c r="T29" s="153"/>
      <c r="U29" s="153"/>
      <c r="V29" s="1"/>
      <c r="W29" s="1"/>
      <c r="X29" s="1"/>
      <c r="Y29" s="1"/>
      <c r="Z29" s="1"/>
    </row>
    <row r="30" spans="1:26" ht="33" customHeight="1" x14ac:dyDescent="0.25">
      <c r="A30" s="15"/>
      <c r="B30" s="27" t="s">
        <v>27</v>
      </c>
      <c r="C30" s="30" t="s">
        <v>21</v>
      </c>
      <c r="D30" s="31">
        <f t="shared" ref="D30:G30" si="17">D28*D29/10</f>
        <v>3.6850000000000001</v>
      </c>
      <c r="E30" s="31">
        <f t="shared" si="17"/>
        <v>3.69</v>
      </c>
      <c r="F30" s="31">
        <f t="shared" si="17"/>
        <v>0</v>
      </c>
      <c r="G30" s="31">
        <f t="shared" si="17"/>
        <v>0</v>
      </c>
      <c r="H30" s="17">
        <f t="shared" si="15"/>
        <v>0</v>
      </c>
      <c r="I30" s="31"/>
      <c r="J30" s="53"/>
      <c r="K30" s="53"/>
      <c r="L30" s="53"/>
      <c r="M30" s="53"/>
      <c r="N30" s="53"/>
      <c r="O30" s="33"/>
      <c r="P30" s="33"/>
      <c r="Q30" s="153"/>
      <c r="R30" s="153"/>
      <c r="S30" s="153"/>
      <c r="T30" s="153"/>
      <c r="U30" s="153"/>
      <c r="V30" s="1"/>
      <c r="W30" s="1"/>
      <c r="X30" s="1"/>
      <c r="Y30" s="1"/>
      <c r="Z30" s="1"/>
    </row>
    <row r="31" spans="1:26" ht="33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7"/>
      <c r="I31" s="17"/>
      <c r="J31" s="53"/>
      <c r="K31" s="137"/>
      <c r="L31" s="155"/>
      <c r="M31" s="155"/>
      <c r="N31" s="155"/>
      <c r="O31" s="155"/>
      <c r="P31" s="33"/>
      <c r="Q31" s="153"/>
      <c r="R31" s="153"/>
      <c r="S31" s="153"/>
      <c r="T31" s="153"/>
      <c r="U31" s="153"/>
      <c r="V31" s="1"/>
      <c r="W31" s="1"/>
      <c r="X31" s="1"/>
      <c r="Y31" s="1"/>
      <c r="Z31" s="1"/>
    </row>
    <row r="32" spans="1:26" ht="33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53"/>
      <c r="K32" s="137"/>
      <c r="L32" s="155"/>
      <c r="M32" s="155"/>
      <c r="N32" s="155"/>
      <c r="O32" s="155"/>
      <c r="P32" s="33"/>
      <c r="Q32" s="153"/>
      <c r="R32" s="153"/>
      <c r="S32" s="153"/>
      <c r="T32" s="153"/>
      <c r="U32" s="153"/>
      <c r="V32" s="1"/>
      <c r="W32" s="1"/>
      <c r="X32" s="1"/>
      <c r="Y32" s="1"/>
      <c r="Z32" s="1"/>
    </row>
    <row r="33" spans="1:26" ht="33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53"/>
      <c r="K33" s="137"/>
      <c r="L33" s="155"/>
      <c r="M33" s="155"/>
      <c r="N33" s="155"/>
      <c r="O33" s="155"/>
      <c r="P33" s="33"/>
      <c r="Q33" s="153"/>
      <c r="R33" s="153"/>
      <c r="S33" s="153"/>
      <c r="T33" s="153"/>
      <c r="U33" s="153"/>
      <c r="V33" s="1"/>
      <c r="W33" s="1"/>
      <c r="X33" s="1"/>
      <c r="Y33" s="1"/>
      <c r="Z33" s="1"/>
    </row>
    <row r="34" spans="1:26" ht="33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7">
        <f t="shared" ref="H34:H50" si="18">F34/E34*100</f>
        <v>100</v>
      </c>
      <c r="I34" s="31"/>
      <c r="J34" s="53"/>
      <c r="K34" s="44"/>
      <c r="L34" s="44"/>
      <c r="M34" s="44"/>
      <c r="N34" s="44"/>
      <c r="O34" s="44"/>
      <c r="P34" s="33"/>
      <c r="Q34" s="153"/>
      <c r="R34" s="153"/>
      <c r="S34" s="153"/>
      <c r="T34" s="153"/>
      <c r="U34" s="153"/>
      <c r="V34" s="1"/>
      <c r="W34" s="1"/>
      <c r="X34" s="1"/>
      <c r="Y34" s="1"/>
      <c r="Z34" s="1"/>
    </row>
    <row r="35" spans="1:26" ht="33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8"/>
        <v>0</v>
      </c>
      <c r="I35" s="31"/>
      <c r="J35" s="53"/>
      <c r="K35" s="44"/>
      <c r="L35" s="44"/>
      <c r="M35" s="44"/>
      <c r="N35" s="44"/>
      <c r="O35" s="44"/>
      <c r="P35" s="33"/>
      <c r="Q35" s="153"/>
      <c r="R35" s="153"/>
      <c r="S35" s="153"/>
      <c r="T35" s="153"/>
      <c r="U35" s="153"/>
      <c r="V35" s="1"/>
      <c r="W35" s="1"/>
      <c r="X35" s="1"/>
      <c r="Y35" s="1"/>
      <c r="Z35" s="1"/>
    </row>
    <row r="36" spans="1:26" ht="33" customHeight="1" x14ac:dyDescent="0.25">
      <c r="A36" s="40"/>
      <c r="B36" s="27" t="s">
        <v>27</v>
      </c>
      <c r="C36" s="30" t="s">
        <v>21</v>
      </c>
      <c r="D36" s="31">
        <f t="shared" ref="D36:G36" si="19">D34*D35/10</f>
        <v>3.6850000000000001</v>
      </c>
      <c r="E36" s="31">
        <f t="shared" si="19"/>
        <v>3.69</v>
      </c>
      <c r="F36" s="31">
        <f t="shared" si="19"/>
        <v>0</v>
      </c>
      <c r="G36" s="31">
        <f t="shared" si="19"/>
        <v>0</v>
      </c>
      <c r="H36" s="17">
        <f t="shared" si="18"/>
        <v>0</v>
      </c>
      <c r="I36" s="31"/>
      <c r="J36" s="53"/>
      <c r="K36" s="44"/>
      <c r="L36" s="44"/>
      <c r="M36" s="44"/>
      <c r="N36" s="44"/>
      <c r="O36" s="44"/>
      <c r="P36" s="33"/>
      <c r="Q36" s="153"/>
      <c r="R36" s="153"/>
      <c r="S36" s="153"/>
      <c r="T36" s="153"/>
      <c r="U36" s="153"/>
      <c r="V36" s="1"/>
      <c r="W36" s="1"/>
      <c r="X36" s="1"/>
      <c r="Y36" s="1"/>
      <c r="Z36" s="1"/>
    </row>
    <row r="37" spans="1:26" ht="33" customHeight="1" x14ac:dyDescent="0.25">
      <c r="A37" s="15">
        <v>2</v>
      </c>
      <c r="B37" s="16" t="s">
        <v>39</v>
      </c>
      <c r="C37" s="15" t="s">
        <v>18</v>
      </c>
      <c r="D37" s="17">
        <v>36</v>
      </c>
      <c r="E37" s="17">
        <v>31.23</v>
      </c>
      <c r="F37" s="17">
        <v>31.23</v>
      </c>
      <c r="G37" s="17">
        <v>31.23</v>
      </c>
      <c r="H37" s="17">
        <f t="shared" si="18"/>
        <v>100</v>
      </c>
      <c r="I37" s="17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153"/>
      <c r="V37" s="1"/>
      <c r="W37" s="1"/>
      <c r="X37" s="1"/>
      <c r="Y37" s="1"/>
      <c r="Z37" s="1"/>
    </row>
    <row r="38" spans="1:26" ht="33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8"/>
        <v>0</v>
      </c>
      <c r="I38" s="31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153"/>
      <c r="V38" s="1"/>
      <c r="W38" s="1"/>
      <c r="X38" s="1"/>
      <c r="Y38" s="1"/>
      <c r="Z38" s="1"/>
    </row>
    <row r="39" spans="1:26" ht="33" customHeight="1" x14ac:dyDescent="0.25">
      <c r="A39" s="15"/>
      <c r="B39" s="27" t="s">
        <v>27</v>
      </c>
      <c r="C39" s="30" t="s">
        <v>21</v>
      </c>
      <c r="D39" s="31">
        <f t="shared" ref="D39:G39" si="20">D37*D38/10</f>
        <v>495</v>
      </c>
      <c r="E39" s="31">
        <f t="shared" si="20"/>
        <v>437.21999999999997</v>
      </c>
      <c r="F39" s="31">
        <f t="shared" si="20"/>
        <v>0</v>
      </c>
      <c r="G39" s="31">
        <f t="shared" si="20"/>
        <v>0</v>
      </c>
      <c r="H39" s="17">
        <f t="shared" si="18"/>
        <v>0</v>
      </c>
      <c r="I39" s="31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153"/>
      <c r="V39" s="1"/>
      <c r="W39" s="1"/>
      <c r="X39" s="1"/>
      <c r="Y39" s="1"/>
      <c r="Z39" s="1"/>
    </row>
    <row r="40" spans="1:26" ht="33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si="18"/>
        <v>0</v>
      </c>
      <c r="I40" s="31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153"/>
      <c r="V40" s="1"/>
      <c r="W40" s="1"/>
      <c r="X40" s="1"/>
      <c r="Y40" s="1"/>
      <c r="Z40" s="1"/>
    </row>
    <row r="41" spans="1:26" ht="33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18"/>
        <v>0</v>
      </c>
      <c r="I41" s="31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153"/>
      <c r="V41" s="1"/>
      <c r="W41" s="1"/>
      <c r="X41" s="1"/>
      <c r="Y41" s="1"/>
      <c r="Z41" s="1"/>
    </row>
    <row r="42" spans="1:26" ht="33" customHeight="1" x14ac:dyDescent="0.25">
      <c r="A42" s="15"/>
      <c r="B42" s="27" t="s">
        <v>27</v>
      </c>
      <c r="C42" s="30" t="s">
        <v>21</v>
      </c>
      <c r="D42" s="31">
        <f t="shared" ref="D42:G42" si="21">D40*D41/10</f>
        <v>1.25</v>
      </c>
      <c r="E42" s="31">
        <f t="shared" si="21"/>
        <v>1.2050000000000001</v>
      </c>
      <c r="F42" s="31">
        <f t="shared" si="21"/>
        <v>0</v>
      </c>
      <c r="G42" s="31">
        <f t="shared" si="21"/>
        <v>0</v>
      </c>
      <c r="H42" s="17">
        <f t="shared" si="18"/>
        <v>0</v>
      </c>
      <c r="I42" s="31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153"/>
      <c r="V42" s="1"/>
      <c r="W42" s="1"/>
      <c r="X42" s="1"/>
      <c r="Y42" s="1"/>
      <c r="Z42" s="1"/>
    </row>
    <row r="43" spans="1:26" ht="33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8"/>
        <v>54</v>
      </c>
      <c r="I43" s="17"/>
      <c r="J43" s="126"/>
      <c r="K43" s="35"/>
      <c r="L43" s="79"/>
      <c r="M43" s="79"/>
      <c r="N43" s="79"/>
      <c r="O43" s="7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3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8"/>
        <v>0</v>
      </c>
      <c r="I44" s="31"/>
      <c r="J44" s="126"/>
      <c r="K44" s="135"/>
      <c r="L44" s="126"/>
      <c r="M44" s="126"/>
      <c r="N44" s="12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3" customHeight="1" x14ac:dyDescent="0.25">
      <c r="A45" s="30"/>
      <c r="B45" s="47" t="s">
        <v>27</v>
      </c>
      <c r="C45" s="48" t="s">
        <v>21</v>
      </c>
      <c r="D45" s="31">
        <f t="shared" ref="D45:G45" si="22">D43*D44/10</f>
        <v>5</v>
      </c>
      <c r="E45" s="31">
        <f t="shared" si="22"/>
        <v>4.9249999999999998</v>
      </c>
      <c r="F45" s="31">
        <f t="shared" si="22"/>
        <v>0</v>
      </c>
      <c r="G45" s="31">
        <f t="shared" si="22"/>
        <v>0</v>
      </c>
      <c r="H45" s="17">
        <f t="shared" si="18"/>
        <v>0</v>
      </c>
      <c r="I45" s="31"/>
      <c r="J45" s="126"/>
      <c r="K45" s="126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3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3">D47+D55+D64</f>
        <v>94.46</v>
      </c>
      <c r="E46" s="17">
        <f t="shared" si="23"/>
        <v>104.96</v>
      </c>
      <c r="F46" s="17">
        <f t="shared" si="23"/>
        <v>93.96</v>
      </c>
      <c r="G46" s="17">
        <f t="shared" si="23"/>
        <v>93.96</v>
      </c>
      <c r="H46" s="17">
        <f t="shared" si="18"/>
        <v>89.519817073170728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3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4">D48+D49</f>
        <v>90.86</v>
      </c>
      <c r="E47" s="17">
        <f t="shared" si="24"/>
        <v>100.86</v>
      </c>
      <c r="F47" s="17">
        <f t="shared" si="24"/>
        <v>90.86</v>
      </c>
      <c r="G47" s="17">
        <f t="shared" si="24"/>
        <v>90.86</v>
      </c>
      <c r="H47" s="17">
        <f t="shared" si="18"/>
        <v>90.085266706325598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3" customHeight="1" x14ac:dyDescent="0.25">
      <c r="A48" s="57" t="s">
        <v>32</v>
      </c>
      <c r="B48" s="58" t="s">
        <v>45</v>
      </c>
      <c r="C48" s="59" t="s">
        <v>18</v>
      </c>
      <c r="D48" s="31">
        <v>90</v>
      </c>
      <c r="E48" s="31">
        <f>D48+D49</f>
        <v>90.86</v>
      </c>
      <c r="F48" s="31">
        <v>90.86</v>
      </c>
      <c r="G48" s="31">
        <v>90.86</v>
      </c>
      <c r="H48" s="31">
        <f t="shared" si="18"/>
        <v>100</v>
      </c>
      <c r="I48" s="31"/>
      <c r="J48" s="53"/>
      <c r="K48" s="53"/>
      <c r="L48" s="53"/>
      <c r="M48" s="53"/>
      <c r="N48" s="53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3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5">D50+D51</f>
        <v>0.86</v>
      </c>
      <c r="E49" s="17">
        <f t="shared" si="25"/>
        <v>10</v>
      </c>
      <c r="F49" s="17">
        <f t="shared" si="25"/>
        <v>0</v>
      </c>
      <c r="G49" s="17">
        <f t="shared" si="25"/>
        <v>0</v>
      </c>
      <c r="H49" s="17">
        <f t="shared" si="18"/>
        <v>0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3" customHeight="1" x14ac:dyDescent="0.25">
      <c r="A50" s="59" t="s">
        <v>47</v>
      </c>
      <c r="B50" s="64" t="s">
        <v>48</v>
      </c>
      <c r="C50" s="59" t="s">
        <v>18</v>
      </c>
      <c r="D50" s="31"/>
      <c r="E50" s="31">
        <v>10</v>
      </c>
      <c r="F50" s="31">
        <v>0</v>
      </c>
      <c r="G50" s="31">
        <v>0</v>
      </c>
      <c r="H50" s="17">
        <f t="shared" si="18"/>
        <v>0</v>
      </c>
      <c r="I50" s="31"/>
      <c r="J50" s="126"/>
      <c r="K50" s="53"/>
      <c r="L50" s="53"/>
      <c r="M50" s="53"/>
      <c r="N50" s="53"/>
      <c r="O50" s="33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3" customHeight="1" x14ac:dyDescent="0.25">
      <c r="A51" s="59" t="s">
        <v>47</v>
      </c>
      <c r="B51" s="64" t="s">
        <v>49</v>
      </c>
      <c r="C51" s="30" t="s">
        <v>18</v>
      </c>
      <c r="D51" s="31">
        <v>0.86</v>
      </c>
      <c r="E51" s="31"/>
      <c r="F51" s="31"/>
      <c r="G51" s="31"/>
      <c r="H51" s="17"/>
      <c r="I51" s="31"/>
      <c r="J51" s="126"/>
      <c r="K51" s="126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3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6">D53+D54</f>
        <v>48.5</v>
      </c>
      <c r="E52" s="17">
        <f t="shared" si="26"/>
        <v>76.5</v>
      </c>
      <c r="F52" s="17">
        <f t="shared" si="26"/>
        <v>76.5</v>
      </c>
      <c r="G52" s="17">
        <f t="shared" si="26"/>
        <v>76.5</v>
      </c>
      <c r="H52" s="17">
        <f t="shared" ref="H52:H53" si="27">F52/E52*100</f>
        <v>100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3" customHeight="1" x14ac:dyDescent="0.25">
      <c r="A53" s="66" t="s">
        <v>47</v>
      </c>
      <c r="B53" s="64" t="s">
        <v>51</v>
      </c>
      <c r="C53" s="30" t="s">
        <v>18</v>
      </c>
      <c r="D53" s="31">
        <v>43.5</v>
      </c>
      <c r="E53" s="31">
        <f>D48*85%</f>
        <v>76.5</v>
      </c>
      <c r="F53" s="31">
        <v>76.5</v>
      </c>
      <c r="G53" s="31">
        <v>76.5</v>
      </c>
      <c r="H53" s="31">
        <f t="shared" si="27"/>
        <v>100</v>
      </c>
      <c r="I53" s="31"/>
      <c r="J53" s="126"/>
      <c r="K53" s="126"/>
      <c r="L53" s="135"/>
      <c r="M53" s="126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3" customHeight="1" x14ac:dyDescent="0.25">
      <c r="A54" s="30"/>
      <c r="B54" s="64" t="s">
        <v>52</v>
      </c>
      <c r="C54" s="30" t="s">
        <v>18</v>
      </c>
      <c r="D54" s="31">
        <v>5</v>
      </c>
      <c r="E54" s="31"/>
      <c r="F54" s="31"/>
      <c r="G54" s="31"/>
      <c r="H54" s="17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3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8">D56+D57</f>
        <v>3.6</v>
      </c>
      <c r="E55" s="17">
        <f t="shared" si="28"/>
        <v>4.0999999999999996</v>
      </c>
      <c r="F55" s="17">
        <f t="shared" si="28"/>
        <v>3.1</v>
      </c>
      <c r="G55" s="17">
        <f t="shared" si="28"/>
        <v>3.1</v>
      </c>
      <c r="H55" s="17">
        <f t="shared" ref="H55:H63" si="29">F55/E55*100</f>
        <v>75.609756097560989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3" customHeight="1" x14ac:dyDescent="0.25">
      <c r="A56" s="30" t="s">
        <v>32</v>
      </c>
      <c r="B56" s="58" t="s">
        <v>50</v>
      </c>
      <c r="C56" s="30" t="s">
        <v>18</v>
      </c>
      <c r="D56" s="31">
        <v>2.5</v>
      </c>
      <c r="E56" s="31">
        <f>D56+E58</f>
        <v>3.1</v>
      </c>
      <c r="F56" s="31">
        <v>3.1</v>
      </c>
      <c r="G56" s="31">
        <v>3.1</v>
      </c>
      <c r="H56" s="31">
        <f t="shared" si="29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3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30">D58+D61</f>
        <v>1.1000000000000001</v>
      </c>
      <c r="E57" s="31">
        <f t="shared" si="30"/>
        <v>1</v>
      </c>
      <c r="F57" s="31">
        <f t="shared" si="30"/>
        <v>0</v>
      </c>
      <c r="G57" s="31">
        <f t="shared" si="30"/>
        <v>0</v>
      </c>
      <c r="H57" s="17">
        <f t="shared" si="29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3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31">D59+D60</f>
        <v>0</v>
      </c>
      <c r="E58" s="71">
        <f t="shared" si="31"/>
        <v>0.6</v>
      </c>
      <c r="F58" s="71">
        <f t="shared" si="31"/>
        <v>0</v>
      </c>
      <c r="G58" s="71">
        <f t="shared" si="31"/>
        <v>0</v>
      </c>
      <c r="H58" s="17">
        <f t="shared" si="29"/>
        <v>0</v>
      </c>
      <c r="I58" s="71"/>
      <c r="J58" s="138"/>
      <c r="K58" s="97"/>
      <c r="L58" s="97"/>
      <c r="M58" s="97"/>
      <c r="N58" s="97"/>
      <c r="O58" s="97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3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0.3</v>
      </c>
      <c r="F59" s="31">
        <v>0</v>
      </c>
      <c r="G59" s="31">
        <v>0</v>
      </c>
      <c r="H59" s="17">
        <f t="shared" si="29"/>
        <v>0</v>
      </c>
      <c r="I59" s="31"/>
      <c r="J59" s="35"/>
      <c r="K59" s="28"/>
      <c r="L59" s="137"/>
      <c r="M59" s="137"/>
      <c r="N59" s="137"/>
      <c r="O59" s="13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3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0.3</v>
      </c>
      <c r="F60" s="31">
        <v>0</v>
      </c>
      <c r="G60" s="31">
        <v>0</v>
      </c>
      <c r="H60" s="17">
        <f t="shared" si="29"/>
        <v>0</v>
      </c>
      <c r="I60" s="31"/>
      <c r="J60" s="35"/>
      <c r="K60" s="28"/>
      <c r="L60" s="137"/>
      <c r="M60" s="137"/>
      <c r="N60" s="137"/>
      <c r="O60" s="13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3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2">D62+D63</f>
        <v>1.1000000000000001</v>
      </c>
      <c r="E61" s="71">
        <f t="shared" si="32"/>
        <v>0.4</v>
      </c>
      <c r="F61" s="71">
        <f t="shared" si="32"/>
        <v>0</v>
      </c>
      <c r="G61" s="71">
        <f t="shared" si="32"/>
        <v>0</v>
      </c>
      <c r="H61" s="17">
        <f t="shared" si="29"/>
        <v>0</v>
      </c>
      <c r="I61" s="71"/>
      <c r="J61" s="35"/>
      <c r="K61" s="97"/>
      <c r="L61" s="97"/>
      <c r="M61" s="97"/>
      <c r="N61" s="97"/>
      <c r="O61" s="74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3" customHeight="1" x14ac:dyDescent="0.25">
      <c r="A62" s="30" t="s">
        <v>47</v>
      </c>
      <c r="B62" s="58" t="s">
        <v>61</v>
      </c>
      <c r="C62" s="30" t="s">
        <v>18</v>
      </c>
      <c r="D62" s="31">
        <f>1.5-0.4</f>
        <v>1.1000000000000001</v>
      </c>
      <c r="E62" s="31">
        <v>0.3</v>
      </c>
      <c r="F62" s="31">
        <v>0</v>
      </c>
      <c r="G62" s="31">
        <v>0</v>
      </c>
      <c r="H62" s="17">
        <f t="shared" si="29"/>
        <v>0</v>
      </c>
      <c r="I62" s="31"/>
      <c r="J62" s="35"/>
      <c r="K62" s="28"/>
      <c r="L62" s="137"/>
      <c r="M62" s="137"/>
      <c r="N62" s="137"/>
      <c r="O62" s="13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3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9"/>
        <v>0</v>
      </c>
      <c r="I63" s="31"/>
      <c r="J63" s="35"/>
      <c r="K63" s="28"/>
      <c r="L63" s="137"/>
      <c r="M63" s="137"/>
      <c r="N63" s="137"/>
      <c r="O63" s="13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3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3">D65+D66</f>
        <v>0</v>
      </c>
      <c r="E64" s="17">
        <f t="shared" si="33"/>
        <v>0</v>
      </c>
      <c r="F64" s="17">
        <f t="shared" si="33"/>
        <v>0</v>
      </c>
      <c r="G64" s="17">
        <f t="shared" si="33"/>
        <v>0</v>
      </c>
      <c r="H64" s="17"/>
      <c r="I64" s="17"/>
      <c r="J64" s="35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3" customHeight="1" x14ac:dyDescent="0.25">
      <c r="A65" s="30" t="s">
        <v>47</v>
      </c>
      <c r="B65" s="58" t="s">
        <v>45</v>
      </c>
      <c r="C65" s="30" t="s">
        <v>18</v>
      </c>
      <c r="D65" s="31"/>
      <c r="E65" s="31"/>
      <c r="F65" s="31"/>
      <c r="G65" s="31"/>
      <c r="H65" s="17"/>
      <c r="I65" s="31"/>
      <c r="J65" s="35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3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3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4">D68+D71</f>
        <v>15.690000000000001</v>
      </c>
      <c r="E67" s="17">
        <f t="shared" si="34"/>
        <v>13.88</v>
      </c>
      <c r="F67" s="17">
        <f t="shared" si="34"/>
        <v>13.69</v>
      </c>
      <c r="G67" s="17">
        <f t="shared" si="34"/>
        <v>13.69</v>
      </c>
      <c r="H67" s="17">
        <f>F67/E67*100</f>
        <v>98.631123919308351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3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5">D69+D70</f>
        <v>0</v>
      </c>
      <c r="E68" s="17">
        <f t="shared" si="35"/>
        <v>0</v>
      </c>
      <c r="F68" s="17">
        <f t="shared" si="35"/>
        <v>0</v>
      </c>
      <c r="G68" s="17">
        <f t="shared" si="35"/>
        <v>0</v>
      </c>
      <c r="H68" s="17"/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3" customHeight="1" x14ac:dyDescent="0.25">
      <c r="A69" s="30" t="s">
        <v>47</v>
      </c>
      <c r="B69" s="58" t="s">
        <v>69</v>
      </c>
      <c r="C69" s="30" t="s">
        <v>18</v>
      </c>
      <c r="D69" s="31"/>
      <c r="E69" s="31"/>
      <c r="F69" s="31"/>
      <c r="G69" s="31"/>
      <c r="H69" s="17"/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3" customHeight="1" x14ac:dyDescent="0.25">
      <c r="A70" s="30" t="s">
        <v>47</v>
      </c>
      <c r="B70" s="58" t="s">
        <v>70</v>
      </c>
      <c r="C70" s="30" t="s">
        <v>18</v>
      </c>
      <c r="D70" s="31"/>
      <c r="E70" s="31"/>
      <c r="F70" s="31"/>
      <c r="G70" s="31"/>
      <c r="H70" s="17"/>
      <c r="I70" s="31"/>
      <c r="J70" s="126"/>
      <c r="K70" s="126"/>
      <c r="L70" s="126"/>
      <c r="M70" s="126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3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6">D72+D73</f>
        <v>15.690000000000001</v>
      </c>
      <c r="E71" s="17">
        <f t="shared" si="36"/>
        <v>13.88</v>
      </c>
      <c r="F71" s="17">
        <f t="shared" si="36"/>
        <v>13.69</v>
      </c>
      <c r="G71" s="17">
        <f t="shared" si="36"/>
        <v>13.69</v>
      </c>
      <c r="H71" s="17">
        <f t="shared" ref="H71:H75" si="37">F71/E71*100</f>
        <v>98.631123919308351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3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8">D75+D82</f>
        <v>15.190000000000001</v>
      </c>
      <c r="E72" s="87">
        <f t="shared" si="38"/>
        <v>13.690000000000001</v>
      </c>
      <c r="F72" s="87">
        <f t="shared" si="38"/>
        <v>13.69</v>
      </c>
      <c r="G72" s="87">
        <f t="shared" si="38"/>
        <v>13.69</v>
      </c>
      <c r="H72" s="17">
        <f t="shared" si="37"/>
        <v>99.999999999999986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3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9">D76+D83</f>
        <v>0.5</v>
      </c>
      <c r="E73" s="17">
        <f t="shared" si="39"/>
        <v>0.19</v>
      </c>
      <c r="F73" s="17">
        <f t="shared" si="39"/>
        <v>0</v>
      </c>
      <c r="G73" s="17">
        <f t="shared" si="39"/>
        <v>0</v>
      </c>
      <c r="H73" s="17">
        <f t="shared" si="37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3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40">D75+D76</f>
        <v>11.16</v>
      </c>
      <c r="E74" s="91">
        <f t="shared" si="40"/>
        <v>10.16</v>
      </c>
      <c r="F74" s="91">
        <f t="shared" si="40"/>
        <v>10.16</v>
      </c>
      <c r="G74" s="91">
        <f t="shared" si="40"/>
        <v>10.16</v>
      </c>
      <c r="H74" s="96">
        <f t="shared" si="37"/>
        <v>100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3" customHeight="1" x14ac:dyDescent="0.25">
      <c r="A75" s="57" t="s">
        <v>32</v>
      </c>
      <c r="B75" s="93" t="s">
        <v>45</v>
      </c>
      <c r="C75" s="30" t="s">
        <v>18</v>
      </c>
      <c r="D75" s="60">
        <v>11.16</v>
      </c>
      <c r="E75" s="60">
        <v>10.16</v>
      </c>
      <c r="F75" s="31">
        <v>10.16</v>
      </c>
      <c r="G75" s="31">
        <v>10.16</v>
      </c>
      <c r="H75" s="31">
        <f t="shared" si="37"/>
        <v>100</v>
      </c>
      <c r="I75" s="31"/>
      <c r="J75" s="126"/>
      <c r="K75" s="126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3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41">SUM(D77:D80)</f>
        <v>0</v>
      </c>
      <c r="E76" s="141">
        <f t="shared" si="41"/>
        <v>0</v>
      </c>
      <c r="F76" s="141">
        <f t="shared" si="41"/>
        <v>0</v>
      </c>
      <c r="G76" s="141">
        <f t="shared" si="41"/>
        <v>0</v>
      </c>
      <c r="H76" s="17"/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3" customHeight="1" x14ac:dyDescent="0.25">
      <c r="A77" s="46" t="s">
        <v>47</v>
      </c>
      <c r="B77" s="94" t="s">
        <v>80</v>
      </c>
      <c r="C77" s="46" t="s">
        <v>18</v>
      </c>
      <c r="D77" s="31"/>
      <c r="E77" s="31"/>
      <c r="F77" s="31"/>
      <c r="G77" s="31"/>
      <c r="H77" s="17"/>
      <c r="I77" s="31"/>
      <c r="J77" s="138"/>
      <c r="K77" s="138"/>
      <c r="L77" s="97"/>
      <c r="M77" s="143"/>
      <c r="N77" s="143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3" customHeight="1" x14ac:dyDescent="0.25">
      <c r="A78" s="46" t="s">
        <v>47</v>
      </c>
      <c r="B78" s="94" t="s">
        <v>81</v>
      </c>
      <c r="C78" s="46" t="s">
        <v>18</v>
      </c>
      <c r="D78" s="31"/>
      <c r="E78" s="31">
        <v>0</v>
      </c>
      <c r="F78" s="31"/>
      <c r="G78" s="31"/>
      <c r="H78" s="17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3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17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3" customHeight="1" x14ac:dyDescent="0.25">
      <c r="A80" s="46" t="s">
        <v>47</v>
      </c>
      <c r="B80" s="144" t="s">
        <v>83</v>
      </c>
      <c r="C80" s="46" t="s">
        <v>18</v>
      </c>
      <c r="D80" s="31"/>
      <c r="E80" s="31"/>
      <c r="F80" s="31"/>
      <c r="G80" s="31"/>
      <c r="H80" s="17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3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2">D82+D83</f>
        <v>4.53</v>
      </c>
      <c r="E81" s="91">
        <f t="shared" si="42"/>
        <v>3.72</v>
      </c>
      <c r="F81" s="91">
        <f t="shared" si="42"/>
        <v>3.53</v>
      </c>
      <c r="G81" s="91">
        <f t="shared" si="42"/>
        <v>3.53</v>
      </c>
      <c r="H81" s="96">
        <f t="shared" ref="H81:H83" si="43">F81/E81*100</f>
        <v>94.892473118279568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3" customHeight="1" x14ac:dyDescent="0.25">
      <c r="A82" s="107" t="s">
        <v>47</v>
      </c>
      <c r="B82" s="94" t="s">
        <v>85</v>
      </c>
      <c r="C82" s="46" t="s">
        <v>18</v>
      </c>
      <c r="D82" s="71">
        <v>4.03</v>
      </c>
      <c r="E82" s="71">
        <f>D82+D83-1</f>
        <v>3.5300000000000002</v>
      </c>
      <c r="F82" s="71">
        <v>3.53</v>
      </c>
      <c r="G82" s="71">
        <v>3.53</v>
      </c>
      <c r="H82" s="71">
        <f t="shared" si="43"/>
        <v>99.999999999999986</v>
      </c>
      <c r="I82" s="71"/>
      <c r="J82" s="138"/>
      <c r="K82" s="138"/>
      <c r="L82" s="97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3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4">SUM(D84:D87)</f>
        <v>0.5</v>
      </c>
      <c r="E83" s="60">
        <f t="shared" si="44"/>
        <v>0.19</v>
      </c>
      <c r="F83" s="60">
        <f t="shared" si="44"/>
        <v>0</v>
      </c>
      <c r="G83" s="60">
        <f t="shared" si="44"/>
        <v>0</v>
      </c>
      <c r="H83" s="17">
        <f t="shared" si="43"/>
        <v>0</v>
      </c>
      <c r="I83" s="60"/>
      <c r="J83" s="138"/>
      <c r="K83" s="138"/>
      <c r="L83" s="138"/>
      <c r="M83" s="138"/>
      <c r="N83" s="13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3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7"/>
      <c r="I84" s="31"/>
      <c r="J84" s="97"/>
      <c r="K84" s="97"/>
      <c r="L84" s="97"/>
      <c r="M84" s="97"/>
      <c r="N84" s="9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3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7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3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7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3" customHeight="1" x14ac:dyDescent="0.25">
      <c r="A87" s="107" t="s">
        <v>47</v>
      </c>
      <c r="B87" s="94" t="s">
        <v>89</v>
      </c>
      <c r="C87" s="46" t="s">
        <v>18</v>
      </c>
      <c r="D87" s="31">
        <v>0.5</v>
      </c>
      <c r="E87" s="31">
        <v>0.19</v>
      </c>
      <c r="F87" s="31">
        <v>0</v>
      </c>
      <c r="G87" s="31">
        <v>0</v>
      </c>
      <c r="H87" s="17">
        <f t="shared" ref="H87:H88" si="45">F87/E87*100</f>
        <v>0</v>
      </c>
      <c r="I87" s="31"/>
      <c r="J87" s="97"/>
      <c r="K87" s="97"/>
      <c r="L87" s="97"/>
      <c r="M87" s="143"/>
      <c r="N87" s="143"/>
      <c r="O87" s="38"/>
      <c r="P87" s="38"/>
      <c r="Q87" s="38"/>
      <c r="R87" s="38"/>
      <c r="S87" s="38"/>
      <c r="T87" s="2"/>
      <c r="U87" s="1"/>
      <c r="V87" s="1"/>
      <c r="W87" s="1"/>
      <c r="X87" s="1"/>
      <c r="Y87" s="1"/>
      <c r="Z87" s="1"/>
    </row>
    <row r="88" spans="1:26" ht="33" customHeight="1" x14ac:dyDescent="0.25">
      <c r="A88" s="15" t="s">
        <v>90</v>
      </c>
      <c r="B88" s="24" t="s">
        <v>91</v>
      </c>
      <c r="C88" s="15"/>
      <c r="D88" s="17">
        <f t="shared" ref="D88:G88" si="46">SUM(D89:D93)</f>
        <v>467</v>
      </c>
      <c r="E88" s="17">
        <f t="shared" si="46"/>
        <v>407</v>
      </c>
      <c r="F88" s="17">
        <f t="shared" si="46"/>
        <v>342</v>
      </c>
      <c r="G88" s="17">
        <f t="shared" si="46"/>
        <v>342</v>
      </c>
      <c r="H88" s="17">
        <f t="shared" si="45"/>
        <v>84.029484029484024</v>
      </c>
      <c r="I88" s="17"/>
      <c r="J88" s="28"/>
      <c r="K88" s="28"/>
      <c r="L88" s="134"/>
      <c r="M88" s="134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" customHeight="1" x14ac:dyDescent="0.25">
      <c r="A89" s="30">
        <v>1</v>
      </c>
      <c r="B89" s="27" t="s">
        <v>92</v>
      </c>
      <c r="C89" s="30" t="s">
        <v>93</v>
      </c>
      <c r="D89" s="31">
        <v>42</v>
      </c>
      <c r="E89" s="31">
        <v>0</v>
      </c>
      <c r="F89" s="31">
        <v>0</v>
      </c>
      <c r="G89" s="31">
        <v>0</v>
      </c>
      <c r="H89" s="17"/>
      <c r="I89" s="31"/>
      <c r="J89" s="28"/>
      <c r="K89" s="53"/>
      <c r="L89" s="171"/>
      <c r="M89" s="172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3" customHeight="1" x14ac:dyDescent="0.25">
      <c r="A90" s="30">
        <v>2</v>
      </c>
      <c r="B90" s="27" t="s">
        <v>94</v>
      </c>
      <c r="C90" s="30" t="s">
        <v>93</v>
      </c>
      <c r="D90" s="31">
        <v>70</v>
      </c>
      <c r="E90" s="31">
        <f>69+11</f>
        <v>80</v>
      </c>
      <c r="F90" s="31">
        <v>76</v>
      </c>
      <c r="G90" s="31">
        <f t="shared" ref="G90:G93" si="47">F90</f>
        <v>76</v>
      </c>
      <c r="H90" s="31">
        <f t="shared" ref="H90:H93" si="48">F90/E90*100</f>
        <v>95</v>
      </c>
      <c r="I90" s="31"/>
      <c r="J90" s="55"/>
      <c r="K90" s="79"/>
      <c r="L90" s="171"/>
      <c r="M90" s="172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3" customHeight="1" x14ac:dyDescent="0.25">
      <c r="A91" s="30">
        <v>3</v>
      </c>
      <c r="B91" s="27" t="s">
        <v>97</v>
      </c>
      <c r="C91" s="30" t="s">
        <v>93</v>
      </c>
      <c r="D91" s="31">
        <v>40</v>
      </c>
      <c r="E91" s="31">
        <f>40+12</f>
        <v>52</v>
      </c>
      <c r="F91" s="31">
        <v>48</v>
      </c>
      <c r="G91" s="31">
        <f t="shared" si="47"/>
        <v>48</v>
      </c>
      <c r="H91" s="31">
        <f t="shared" si="48"/>
        <v>92.307692307692307</v>
      </c>
      <c r="I91" s="31"/>
      <c r="J91" s="55"/>
      <c r="K91" s="79"/>
      <c r="L91" s="171"/>
      <c r="M91" s="172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3" customHeight="1" x14ac:dyDescent="0.25">
      <c r="A92" s="30">
        <v>4</v>
      </c>
      <c r="B92" s="27" t="s">
        <v>98</v>
      </c>
      <c r="C92" s="30" t="s">
        <v>93</v>
      </c>
      <c r="D92" s="31">
        <v>8</v>
      </c>
      <c r="E92" s="31">
        <f>10+3</f>
        <v>13</v>
      </c>
      <c r="F92" s="31">
        <v>11</v>
      </c>
      <c r="G92" s="31">
        <f t="shared" si="47"/>
        <v>11</v>
      </c>
      <c r="H92" s="31">
        <f t="shared" si="48"/>
        <v>84.615384615384613</v>
      </c>
      <c r="I92" s="31"/>
      <c r="J92" s="55"/>
      <c r="K92" s="79"/>
      <c r="L92" s="174"/>
      <c r="M92" s="172"/>
      <c r="N92" s="55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ht="33" customHeight="1" x14ac:dyDescent="0.25">
      <c r="A93" s="30">
        <v>5</v>
      </c>
      <c r="B93" s="27" t="s">
        <v>99</v>
      </c>
      <c r="C93" s="30" t="s">
        <v>93</v>
      </c>
      <c r="D93" s="31">
        <v>307</v>
      </c>
      <c r="E93" s="31">
        <f>290-28</f>
        <v>262</v>
      </c>
      <c r="F93" s="31">
        <v>207</v>
      </c>
      <c r="G93" s="31">
        <f t="shared" si="47"/>
        <v>207</v>
      </c>
      <c r="H93" s="31">
        <f t="shared" si="48"/>
        <v>79.007633587786259</v>
      </c>
      <c r="I93" s="31"/>
      <c r="J93" s="79"/>
      <c r="K93" s="79"/>
      <c r="L93" s="174"/>
      <c r="M93" s="172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3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9">D95</f>
        <v>0</v>
      </c>
      <c r="E94" s="17">
        <f t="shared" si="49"/>
        <v>0</v>
      </c>
      <c r="F94" s="17">
        <f t="shared" si="49"/>
        <v>0</v>
      </c>
      <c r="G94" s="17">
        <f t="shared" si="49"/>
        <v>0</v>
      </c>
      <c r="H94" s="17"/>
      <c r="I94" s="17"/>
      <c r="J94" s="65"/>
      <c r="K94" s="65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3" customHeight="1" x14ac:dyDescent="0.25">
      <c r="A95" s="46" t="s">
        <v>47</v>
      </c>
      <c r="B95" s="76" t="s">
        <v>102</v>
      </c>
      <c r="C95" s="46" t="s">
        <v>18</v>
      </c>
      <c r="D95" s="31"/>
      <c r="E95" s="31"/>
      <c r="F95" s="31"/>
      <c r="G95" s="31"/>
      <c r="H95" s="17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3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50">D97+D98</f>
        <v>0</v>
      </c>
      <c r="E96" s="17">
        <f t="shared" si="50"/>
        <v>0</v>
      </c>
      <c r="F96" s="17">
        <f t="shared" si="50"/>
        <v>0</v>
      </c>
      <c r="G96" s="17">
        <f t="shared" si="50"/>
        <v>0</v>
      </c>
      <c r="H96" s="17"/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3" customHeight="1" x14ac:dyDescent="0.25">
      <c r="A97" s="30" t="s">
        <v>47</v>
      </c>
      <c r="B97" s="93" t="s">
        <v>263</v>
      </c>
      <c r="C97" s="46" t="s">
        <v>18</v>
      </c>
      <c r="D97" s="31"/>
      <c r="E97" s="31"/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3" customHeight="1" x14ac:dyDescent="0.25">
      <c r="A98" s="123" t="s">
        <v>47</v>
      </c>
      <c r="B98" s="93" t="s">
        <v>109</v>
      </c>
      <c r="C98" s="46" t="s">
        <v>18</v>
      </c>
      <c r="D98" s="31"/>
      <c r="E98" s="31"/>
      <c r="F98" s="31"/>
      <c r="G98" s="31"/>
      <c r="H98" s="17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43307086614173229" bottom="0.31496062992125984" header="0" footer="0"/>
  <pageSetup scale="85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6.5546875" customWidth="1"/>
    <col min="2" max="2" width="28.77734375" customWidth="1"/>
    <col min="3" max="3" width="9.77734375" customWidth="1"/>
    <col min="4" max="5" width="17.44140625" customWidth="1"/>
    <col min="6" max="9" width="12.6640625" customWidth="1"/>
    <col min="10" max="10" width="8.88671875" customWidth="1"/>
    <col min="11" max="11" width="21.109375" customWidth="1"/>
    <col min="12" max="14" width="8.88671875" customWidth="1"/>
    <col min="15" max="23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280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'KON LING(14)'!A5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60">
        <v>57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60">
        <v>325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67.59</v>
      </c>
      <c r="E9" s="17">
        <f t="shared" si="0"/>
        <v>85.64</v>
      </c>
      <c r="F9" s="17">
        <f t="shared" si="0"/>
        <v>64.430000000000007</v>
      </c>
      <c r="G9" s="17">
        <f t="shared" si="0"/>
        <v>64.430000000000007</v>
      </c>
      <c r="H9" s="17">
        <f t="shared" ref="H9:H23" si="1">F9/E9*100</f>
        <v>75.23353573096685</v>
      </c>
      <c r="I9" s="17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14.05</v>
      </c>
      <c r="F10" s="17">
        <f t="shared" si="2"/>
        <v>2.04</v>
      </c>
      <c r="G10" s="17">
        <f t="shared" si="2"/>
        <v>2.04</v>
      </c>
      <c r="H10" s="17">
        <f t="shared" si="1"/>
        <v>14.519572953736654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43.016175000000004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133"/>
      <c r="K11" s="133"/>
      <c r="L11" s="133"/>
      <c r="M11" s="133"/>
      <c r="N11" s="133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39.326175000000006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133"/>
      <c r="K12" s="133"/>
      <c r="L12" s="133"/>
      <c r="M12" s="133"/>
      <c r="N12" s="133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13.05</v>
      </c>
      <c r="F13" s="17">
        <f t="shared" si="5"/>
        <v>1.04</v>
      </c>
      <c r="G13" s="17">
        <f t="shared" si="5"/>
        <v>1.04</v>
      </c>
      <c r="H13" s="17">
        <f t="shared" si="1"/>
        <v>7.969348659003832</v>
      </c>
      <c r="I13" s="17"/>
      <c r="J13" s="126"/>
      <c r="K13" s="126"/>
      <c r="L13" s="126"/>
      <c r="M13" s="126"/>
      <c r="N13" s="12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39.326175000000006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1.04</v>
      </c>
      <c r="F16" s="17">
        <v>1.04</v>
      </c>
      <c r="G16" s="17">
        <v>1.04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2"/>
      <c r="T16" s="2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2"/>
      <c r="T17" s="2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3.4840000000000004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2"/>
      <c r="T18" s="2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12.01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28"/>
      <c r="O19" s="2"/>
      <c r="P19" s="2"/>
      <c r="Q19" s="2"/>
      <c r="R19" s="2"/>
      <c r="S19" s="2"/>
      <c r="T19" s="2"/>
      <c r="U19" s="1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26.770000000000003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28"/>
      <c r="M20" s="28"/>
      <c r="N20" s="28"/>
      <c r="O20" s="2"/>
      <c r="P20" s="2"/>
      <c r="Q20" s="2"/>
      <c r="R20" s="2"/>
      <c r="S20" s="2"/>
      <c r="T20" s="2"/>
      <c r="U20" s="1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32.150770000000009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28"/>
      <c r="M21" s="28"/>
      <c r="N21" s="28"/>
      <c r="O21" s="2"/>
      <c r="P21" s="2"/>
      <c r="Q21" s="2"/>
      <c r="R21" s="2"/>
      <c r="S21" s="2"/>
      <c r="T21" s="2"/>
      <c r="U21" s="1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1" t="s">
        <v>33</v>
      </c>
      <c r="C22" s="40" t="s">
        <v>18</v>
      </c>
      <c r="D22" s="96"/>
      <c r="E22" s="96">
        <v>12.01</v>
      </c>
      <c r="F22" s="96">
        <v>0</v>
      </c>
      <c r="G22" s="96">
        <v>0</v>
      </c>
      <c r="H22" s="17">
        <f t="shared" si="1"/>
        <v>0</v>
      </c>
      <c r="I22" s="17"/>
      <c r="J22" s="53"/>
      <c r="K22" s="53"/>
      <c r="L22" s="53"/>
      <c r="M22" s="53"/>
      <c r="N22" s="53"/>
      <c r="O22" s="33"/>
      <c r="P22" s="33"/>
      <c r="Q22" s="33"/>
      <c r="R22" s="33"/>
      <c r="S22" s="33"/>
      <c r="T22" s="33"/>
      <c r="U22" s="1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3"/>
      <c r="K23" s="53"/>
      <c r="L23" s="53"/>
      <c r="M23" s="53"/>
      <c r="N23" s="53"/>
      <c r="O23" s="33"/>
      <c r="P23" s="33"/>
      <c r="Q23" s="33"/>
      <c r="R23" s="33"/>
      <c r="S23" s="33"/>
      <c r="T23" s="33"/>
      <c r="U23" s="1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17"/>
      <c r="E24" s="31"/>
      <c r="F24" s="31"/>
      <c r="G24" s="31"/>
      <c r="H24" s="17"/>
      <c r="I24" s="31"/>
      <c r="J24" s="53"/>
      <c r="K24" s="53"/>
      <c r="L24" s="53"/>
      <c r="M24" s="53"/>
      <c r="N24" s="53"/>
      <c r="O24" s="33"/>
      <c r="P24" s="33"/>
      <c r="Q24" s="33"/>
      <c r="R24" s="33"/>
      <c r="S24" s="33"/>
      <c r="T24" s="33"/>
      <c r="U24" s="1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1" t="s">
        <v>34</v>
      </c>
      <c r="C25" s="40" t="s">
        <v>18</v>
      </c>
      <c r="D25" s="17"/>
      <c r="E25" s="96">
        <v>0</v>
      </c>
      <c r="F25" s="71">
        <v>0</v>
      </c>
      <c r="G25" s="71">
        <v>0</v>
      </c>
      <c r="H25" s="17"/>
      <c r="I25" s="31"/>
      <c r="J25" s="53"/>
      <c r="K25" s="53"/>
      <c r="L25" s="53"/>
      <c r="M25" s="53"/>
      <c r="N25" s="53"/>
      <c r="O25" s="33"/>
      <c r="P25" s="33"/>
      <c r="Q25" s="33"/>
      <c r="R25" s="33"/>
      <c r="S25" s="33"/>
      <c r="T25" s="33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>
        <f>F26/E26*100</f>
        <v>0</v>
      </c>
      <c r="I26" s="31"/>
      <c r="J26" s="53"/>
      <c r="K26" s="53"/>
      <c r="L26" s="53"/>
      <c r="M26" s="53"/>
      <c r="N26" s="53"/>
      <c r="O26" s="33"/>
      <c r="P26" s="33"/>
      <c r="Q26" s="33"/>
      <c r="R26" s="33"/>
      <c r="S26" s="33"/>
      <c r="T26" s="33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17"/>
      <c r="E27" s="17"/>
      <c r="F27" s="31"/>
      <c r="G27" s="31"/>
      <c r="H27" s="17"/>
      <c r="I27" s="31"/>
      <c r="J27" s="53"/>
      <c r="K27" s="53"/>
      <c r="L27" s="53"/>
      <c r="M27" s="53"/>
      <c r="N27" s="53"/>
      <c r="O27" s="33"/>
      <c r="P27" s="33"/>
      <c r="Q27" s="33"/>
      <c r="R27" s="33"/>
      <c r="S27" s="33"/>
      <c r="T27" s="33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2">D31+D34</f>
        <v>1</v>
      </c>
      <c r="E28" s="17">
        <f t="shared" si="12"/>
        <v>1</v>
      </c>
      <c r="F28" s="17">
        <f t="shared" si="12"/>
        <v>1</v>
      </c>
      <c r="G28" s="17">
        <f t="shared" si="12"/>
        <v>1</v>
      </c>
      <c r="H28" s="17">
        <f t="shared" ref="H28:H30" si="13">F28/E28*100</f>
        <v>100</v>
      </c>
      <c r="I28" s="17"/>
      <c r="J28" s="154"/>
      <c r="K28" s="154"/>
      <c r="L28" s="154"/>
      <c r="M28" s="154"/>
      <c r="N28" s="154"/>
      <c r="O28" s="153"/>
      <c r="P28" s="153"/>
      <c r="Q28" s="153"/>
      <c r="R28" s="153"/>
      <c r="S28" s="153"/>
      <c r="T28" s="153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G29" si="14">D35</f>
        <v>36.85</v>
      </c>
      <c r="E29" s="31">
        <f t="shared" si="14"/>
        <v>36.9</v>
      </c>
      <c r="F29" s="31">
        <f t="shared" si="14"/>
        <v>0</v>
      </c>
      <c r="G29" s="31">
        <f t="shared" si="14"/>
        <v>0</v>
      </c>
      <c r="H29" s="17">
        <f t="shared" si="13"/>
        <v>0</v>
      </c>
      <c r="I29" s="31"/>
      <c r="J29" s="154"/>
      <c r="K29" s="154"/>
      <c r="L29" s="154"/>
      <c r="M29" s="154"/>
      <c r="N29" s="154"/>
      <c r="O29" s="153"/>
      <c r="P29" s="153"/>
      <c r="Q29" s="153"/>
      <c r="R29" s="153"/>
      <c r="S29" s="153"/>
      <c r="T29" s="153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5">D28*D29/10</f>
        <v>3.6850000000000001</v>
      </c>
      <c r="E30" s="31">
        <f t="shared" si="15"/>
        <v>3.69</v>
      </c>
      <c r="F30" s="31">
        <f t="shared" si="15"/>
        <v>0</v>
      </c>
      <c r="G30" s="31">
        <f t="shared" si="15"/>
        <v>0</v>
      </c>
      <c r="H30" s="17">
        <f t="shared" si="13"/>
        <v>0</v>
      </c>
      <c r="I30" s="31"/>
      <c r="J30" s="154"/>
      <c r="K30" s="154"/>
      <c r="L30" s="154"/>
      <c r="M30" s="154"/>
      <c r="N30" s="154"/>
      <c r="O30" s="153"/>
      <c r="P30" s="153"/>
      <c r="Q30" s="153"/>
      <c r="R30" s="153"/>
      <c r="S30" s="153"/>
      <c r="T30" s="153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7"/>
      <c r="I31" s="17"/>
      <c r="J31" s="154"/>
      <c r="K31" s="137"/>
      <c r="L31" s="155"/>
      <c r="M31" s="155"/>
      <c r="N31" s="155"/>
      <c r="O31" s="155"/>
      <c r="P31" s="153"/>
      <c r="Q31" s="153"/>
      <c r="R31" s="153"/>
      <c r="S31" s="153"/>
      <c r="T31" s="153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154"/>
      <c r="K32" s="137"/>
      <c r="L32" s="155"/>
      <c r="M32" s="155"/>
      <c r="N32" s="155"/>
      <c r="O32" s="155"/>
      <c r="P32" s="153"/>
      <c r="Q32" s="153"/>
      <c r="R32" s="153"/>
      <c r="S32" s="153"/>
      <c r="T32" s="153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154"/>
      <c r="K33" s="137"/>
      <c r="L33" s="155"/>
      <c r="M33" s="155"/>
      <c r="N33" s="155"/>
      <c r="O33" s="155"/>
      <c r="P33" s="153"/>
      <c r="Q33" s="153"/>
      <c r="R33" s="153"/>
      <c r="S33" s="153"/>
      <c r="T33" s="153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7">
        <f t="shared" ref="H34:H50" si="16">F34/E34*100</f>
        <v>100</v>
      </c>
      <c r="I34" s="31"/>
      <c r="J34" s="154"/>
      <c r="K34" s="44"/>
      <c r="L34" s="44"/>
      <c r="M34" s="44"/>
      <c r="N34" s="44"/>
      <c r="O34" s="44"/>
      <c r="P34" s="153"/>
      <c r="Q34" s="153"/>
      <c r="R34" s="153"/>
      <c r="S34" s="153"/>
      <c r="T34" s="153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6"/>
        <v>0</v>
      </c>
      <c r="I35" s="31"/>
      <c r="J35" s="154"/>
      <c r="K35" s="44"/>
      <c r="L35" s="44"/>
      <c r="M35" s="44"/>
      <c r="N35" s="44"/>
      <c r="O35" s="44"/>
      <c r="P35" s="153"/>
      <c r="Q35" s="153"/>
      <c r="R35" s="153"/>
      <c r="S35" s="153"/>
      <c r="T35" s="153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3.6850000000000001</v>
      </c>
      <c r="E36" s="31">
        <f t="shared" si="17"/>
        <v>3.69</v>
      </c>
      <c r="F36" s="31">
        <f t="shared" si="17"/>
        <v>0</v>
      </c>
      <c r="G36" s="31">
        <f t="shared" si="17"/>
        <v>0</v>
      </c>
      <c r="H36" s="17">
        <f t="shared" si="16"/>
        <v>0</v>
      </c>
      <c r="I36" s="31"/>
      <c r="J36" s="154"/>
      <c r="K36" s="44"/>
      <c r="L36" s="44"/>
      <c r="M36" s="44"/>
      <c r="N36" s="44"/>
      <c r="O36" s="44"/>
      <c r="P36" s="153"/>
      <c r="Q36" s="153"/>
      <c r="R36" s="153"/>
      <c r="S36" s="153"/>
      <c r="T36" s="153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30</v>
      </c>
      <c r="E37" s="17">
        <v>26.03</v>
      </c>
      <c r="F37" s="17">
        <v>26.03</v>
      </c>
      <c r="G37" s="17">
        <v>26.03</v>
      </c>
      <c r="H37" s="17">
        <f t="shared" si="16"/>
        <v>100</v>
      </c>
      <c r="I37" s="17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2"/>
      <c r="V37" s="2"/>
      <c r="W37" s="2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6"/>
        <v>0</v>
      </c>
      <c r="I38" s="31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2"/>
      <c r="V38" s="2"/>
      <c r="W38" s="2"/>
      <c r="X38" s="1"/>
      <c r="Y38" s="1"/>
      <c r="Z38" s="1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18">D37*D38/10</f>
        <v>412.5</v>
      </c>
      <c r="E39" s="31">
        <f t="shared" si="18"/>
        <v>364.42</v>
      </c>
      <c r="F39" s="31">
        <f t="shared" si="18"/>
        <v>0</v>
      </c>
      <c r="G39" s="31">
        <f t="shared" si="18"/>
        <v>0</v>
      </c>
      <c r="H39" s="17">
        <f t="shared" si="16"/>
        <v>0</v>
      </c>
      <c r="I39" s="31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2"/>
      <c r="V39" s="2"/>
      <c r="W39" s="2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si="16"/>
        <v>0</v>
      </c>
      <c r="I40" s="31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2"/>
      <c r="V40" s="2"/>
      <c r="W40" s="2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16"/>
        <v>0</v>
      </c>
      <c r="I41" s="31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2"/>
      <c r="V41" s="2"/>
      <c r="W41" s="2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>
        <f t="shared" ref="D42:G42" si="19">D40*D41/10</f>
        <v>1.25</v>
      </c>
      <c r="E42" s="31">
        <f t="shared" si="19"/>
        <v>1.2050000000000001</v>
      </c>
      <c r="F42" s="31">
        <f t="shared" si="19"/>
        <v>0</v>
      </c>
      <c r="G42" s="31">
        <f t="shared" si="19"/>
        <v>0</v>
      </c>
      <c r="H42" s="17">
        <f t="shared" si="16"/>
        <v>0</v>
      </c>
      <c r="I42" s="31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2"/>
      <c r="V42" s="2"/>
      <c r="W42" s="2"/>
      <c r="X42" s="1"/>
      <c r="Y42" s="1"/>
      <c r="Z42" s="1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6"/>
        <v>54</v>
      </c>
      <c r="I43" s="17"/>
      <c r="J43" s="154"/>
      <c r="K43" s="53"/>
      <c r="L43" s="176"/>
      <c r="M43" s="176"/>
      <c r="N43" s="176"/>
      <c r="O43" s="176"/>
      <c r="P43" s="153"/>
      <c r="Q43" s="153"/>
      <c r="R43" s="153"/>
      <c r="S43" s="153"/>
      <c r="T43" s="153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6"/>
        <v>0</v>
      </c>
      <c r="I44" s="31"/>
      <c r="J44" s="154"/>
      <c r="K44" s="154"/>
      <c r="L44" s="154"/>
      <c r="M44" s="154"/>
      <c r="N44" s="154"/>
      <c r="O44" s="153"/>
      <c r="P44" s="153"/>
      <c r="Q44" s="153"/>
      <c r="R44" s="153"/>
      <c r="S44" s="153"/>
      <c r="T44" s="153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7" t="s">
        <v>27</v>
      </c>
      <c r="C45" s="48" t="s">
        <v>21</v>
      </c>
      <c r="D45" s="31">
        <f t="shared" ref="D45:G45" si="20">D43*D44/10</f>
        <v>5</v>
      </c>
      <c r="E45" s="31">
        <f t="shared" si="20"/>
        <v>4.9249999999999998</v>
      </c>
      <c r="F45" s="31">
        <f t="shared" si="20"/>
        <v>0</v>
      </c>
      <c r="G45" s="31">
        <f t="shared" si="20"/>
        <v>0</v>
      </c>
      <c r="H45" s="17">
        <f t="shared" si="16"/>
        <v>0</v>
      </c>
      <c r="I45" s="31"/>
      <c r="J45" s="154"/>
      <c r="K45" s="154"/>
      <c r="L45" s="154"/>
      <c r="M45" s="154"/>
      <c r="N45" s="154"/>
      <c r="O45" s="153"/>
      <c r="P45" s="153"/>
      <c r="Q45" s="153"/>
      <c r="R45" s="153"/>
      <c r="S45" s="153"/>
      <c r="T45" s="153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1">D47+D55+D64</f>
        <v>22.11</v>
      </c>
      <c r="E46" s="17">
        <f t="shared" si="21"/>
        <v>31.41</v>
      </c>
      <c r="F46" s="17">
        <f t="shared" si="21"/>
        <v>22.61</v>
      </c>
      <c r="G46" s="17">
        <f t="shared" si="21"/>
        <v>22.61</v>
      </c>
      <c r="H46" s="17">
        <f t="shared" si="16"/>
        <v>71.983444762814386</v>
      </c>
      <c r="I46" s="17"/>
      <c r="J46" s="154"/>
      <c r="K46" s="154"/>
      <c r="L46" s="154"/>
      <c r="M46" s="154"/>
      <c r="N46" s="154"/>
      <c r="O46" s="153"/>
      <c r="P46" s="153"/>
      <c r="Q46" s="153"/>
      <c r="R46" s="153"/>
      <c r="S46" s="153"/>
      <c r="T46" s="153"/>
      <c r="U46" s="1"/>
      <c r="V46" s="1"/>
      <c r="W46" s="1"/>
      <c r="X46" s="1"/>
      <c r="Y46" s="1"/>
      <c r="Z46" s="1"/>
    </row>
    <row r="47" spans="1:26" ht="31.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2">D48+D49</f>
        <v>13.61</v>
      </c>
      <c r="E47" s="17">
        <f t="shared" si="22"/>
        <v>21.61</v>
      </c>
      <c r="F47" s="17">
        <f t="shared" si="22"/>
        <v>13.61</v>
      </c>
      <c r="G47" s="17">
        <f t="shared" si="22"/>
        <v>13.61</v>
      </c>
      <c r="H47" s="17">
        <f t="shared" si="16"/>
        <v>62.980101804720036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7" t="s">
        <v>32</v>
      </c>
      <c r="B48" s="58" t="s">
        <v>45</v>
      </c>
      <c r="C48" s="59" t="s">
        <v>18</v>
      </c>
      <c r="D48" s="31">
        <v>12.75</v>
      </c>
      <c r="E48" s="31">
        <f>D48+D49</f>
        <v>13.61</v>
      </c>
      <c r="F48" s="31">
        <v>13.61</v>
      </c>
      <c r="G48" s="31">
        <v>13.61</v>
      </c>
      <c r="H48" s="31">
        <f t="shared" si="16"/>
        <v>100</v>
      </c>
      <c r="I48" s="31"/>
      <c r="J48" s="53"/>
      <c r="K48" s="53"/>
      <c r="L48" s="53"/>
      <c r="M48" s="53"/>
      <c r="N48" s="53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3">D50+D51</f>
        <v>0.86</v>
      </c>
      <c r="E49" s="17">
        <f t="shared" si="23"/>
        <v>8</v>
      </c>
      <c r="F49" s="17">
        <f t="shared" si="23"/>
        <v>0</v>
      </c>
      <c r="G49" s="17">
        <f t="shared" si="23"/>
        <v>0</v>
      </c>
      <c r="H49" s="17">
        <f t="shared" si="16"/>
        <v>0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59" t="s">
        <v>47</v>
      </c>
      <c r="B50" s="64" t="s">
        <v>48</v>
      </c>
      <c r="C50" s="59" t="s">
        <v>18</v>
      </c>
      <c r="D50" s="31"/>
      <c r="E50" s="31">
        <v>8</v>
      </c>
      <c r="F50" s="31">
        <v>0</v>
      </c>
      <c r="G50" s="31">
        <v>0</v>
      </c>
      <c r="H50" s="17">
        <f t="shared" si="16"/>
        <v>0</v>
      </c>
      <c r="I50" s="31"/>
      <c r="J50" s="126"/>
      <c r="K50" s="126"/>
      <c r="L50" s="126"/>
      <c r="M50" s="126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59" t="s">
        <v>47</v>
      </c>
      <c r="B51" s="64" t="s">
        <v>49</v>
      </c>
      <c r="C51" s="30" t="s">
        <v>18</v>
      </c>
      <c r="D51" s="31">
        <v>0.86</v>
      </c>
      <c r="E51" s="31"/>
      <c r="F51" s="31"/>
      <c r="G51" s="31"/>
      <c r="H51" s="17"/>
      <c r="I51" s="31"/>
      <c r="J51" s="126"/>
      <c r="K51" s="126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4">D53+D54</f>
        <v>11.59</v>
      </c>
      <c r="E52" s="17">
        <f t="shared" si="24"/>
        <v>10.8375</v>
      </c>
      <c r="F52" s="17">
        <f t="shared" si="24"/>
        <v>10.84</v>
      </c>
      <c r="G52" s="17">
        <f t="shared" si="24"/>
        <v>10.84</v>
      </c>
      <c r="H52" s="17">
        <f t="shared" ref="H52:H53" si="25">F52/E52*100</f>
        <v>100.0230680507497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66" t="s">
        <v>47</v>
      </c>
      <c r="B53" s="64" t="s">
        <v>51</v>
      </c>
      <c r="C53" s="30" t="s">
        <v>18</v>
      </c>
      <c r="D53" s="31">
        <v>8.2899999999999991</v>
      </c>
      <c r="E53" s="31">
        <f>D48*85%</f>
        <v>10.8375</v>
      </c>
      <c r="F53" s="31">
        <v>10.84</v>
      </c>
      <c r="G53" s="31">
        <v>10.84</v>
      </c>
      <c r="H53" s="31">
        <f t="shared" si="25"/>
        <v>100.0230680507497</v>
      </c>
      <c r="I53" s="31"/>
      <c r="J53" s="126"/>
      <c r="K53" s="126"/>
      <c r="L53" s="135"/>
      <c r="M53" s="126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4" t="s">
        <v>52</v>
      </c>
      <c r="C54" s="30" t="s">
        <v>18</v>
      </c>
      <c r="D54" s="31">
        <f>3.5-0.2</f>
        <v>3.3</v>
      </c>
      <c r="E54" s="31"/>
      <c r="F54" s="31"/>
      <c r="G54" s="31"/>
      <c r="H54" s="17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6">D56+D57</f>
        <v>8.5</v>
      </c>
      <c r="E55" s="17">
        <f t="shared" si="26"/>
        <v>9.8000000000000007</v>
      </c>
      <c r="F55" s="17">
        <f t="shared" si="26"/>
        <v>9</v>
      </c>
      <c r="G55" s="17">
        <f t="shared" si="26"/>
        <v>9</v>
      </c>
      <c r="H55" s="17">
        <f t="shared" ref="H55:H63" si="27">F55/E55*100</f>
        <v>91.836734693877546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58" t="s">
        <v>50</v>
      </c>
      <c r="C56" s="30" t="s">
        <v>18</v>
      </c>
      <c r="D56" s="31">
        <v>8.5</v>
      </c>
      <c r="E56" s="31">
        <f>D56+E58</f>
        <v>9</v>
      </c>
      <c r="F56" s="31">
        <v>9</v>
      </c>
      <c r="G56" s="31">
        <v>9</v>
      </c>
      <c r="H56" s="31">
        <f t="shared" si="27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8">D58+D61</f>
        <v>0</v>
      </c>
      <c r="E57" s="31">
        <f t="shared" si="28"/>
        <v>0.8</v>
      </c>
      <c r="F57" s="31">
        <f t="shared" si="28"/>
        <v>0</v>
      </c>
      <c r="G57" s="31">
        <f t="shared" si="28"/>
        <v>0</v>
      </c>
      <c r="H57" s="17">
        <f t="shared" si="27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29">D59+D60</f>
        <v>0</v>
      </c>
      <c r="E58" s="71">
        <f t="shared" si="29"/>
        <v>0.5</v>
      </c>
      <c r="F58" s="71">
        <f t="shared" si="29"/>
        <v>0</v>
      </c>
      <c r="G58" s="71">
        <f t="shared" si="29"/>
        <v>0</v>
      </c>
      <c r="H58" s="17">
        <f t="shared" si="27"/>
        <v>0</v>
      </c>
      <c r="I58" s="71"/>
      <c r="J58" s="138"/>
      <c r="K58" s="97"/>
      <c r="L58" s="97"/>
      <c r="M58" s="97"/>
      <c r="N58" s="97"/>
      <c r="O58" s="97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1.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0.3</v>
      </c>
      <c r="F59" s="31">
        <v>0</v>
      </c>
      <c r="G59" s="31">
        <v>0</v>
      </c>
      <c r="H59" s="17">
        <f t="shared" si="27"/>
        <v>0</v>
      </c>
      <c r="I59" s="31"/>
      <c r="J59" s="35"/>
      <c r="K59" s="28"/>
      <c r="L59" s="137"/>
      <c r="M59" s="137"/>
      <c r="N59" s="137"/>
      <c r="O59" s="13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0.2</v>
      </c>
      <c r="F60" s="31">
        <v>0</v>
      </c>
      <c r="G60" s="31">
        <v>0</v>
      </c>
      <c r="H60" s="17">
        <f t="shared" si="27"/>
        <v>0</v>
      </c>
      <c r="I60" s="31"/>
      <c r="J60" s="35"/>
      <c r="K60" s="28"/>
      <c r="L60" s="137"/>
      <c r="M60" s="137"/>
      <c r="N60" s="137"/>
      <c r="O60" s="13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0">D62+D63</f>
        <v>0</v>
      </c>
      <c r="E61" s="71">
        <f t="shared" si="30"/>
        <v>0.30000000000000004</v>
      </c>
      <c r="F61" s="71">
        <f t="shared" si="30"/>
        <v>0</v>
      </c>
      <c r="G61" s="71">
        <f t="shared" si="30"/>
        <v>0</v>
      </c>
      <c r="H61" s="17">
        <f t="shared" si="27"/>
        <v>0</v>
      </c>
      <c r="I61" s="71"/>
      <c r="J61" s="35"/>
      <c r="K61" s="97"/>
      <c r="L61" s="97"/>
      <c r="M61" s="97"/>
      <c r="N61" s="97"/>
      <c r="O61" s="74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1.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0.2</v>
      </c>
      <c r="F62" s="31">
        <v>0</v>
      </c>
      <c r="G62" s="31">
        <v>0</v>
      </c>
      <c r="H62" s="17">
        <f t="shared" si="27"/>
        <v>0</v>
      </c>
      <c r="I62" s="31"/>
      <c r="J62" s="35"/>
      <c r="K62" s="28"/>
      <c r="L62" s="137"/>
      <c r="M62" s="137"/>
      <c r="N62" s="137"/>
      <c r="O62" s="13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7"/>
        <v>0</v>
      </c>
      <c r="I63" s="31"/>
      <c r="J63" s="35"/>
      <c r="K63" s="28"/>
      <c r="L63" s="137"/>
      <c r="M63" s="137"/>
      <c r="N63" s="137"/>
      <c r="O63" s="13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1">D65+D66</f>
        <v>0</v>
      </c>
      <c r="E64" s="17">
        <f t="shared" si="31"/>
        <v>0</v>
      </c>
      <c r="F64" s="17">
        <f t="shared" si="31"/>
        <v>0</v>
      </c>
      <c r="G64" s="17">
        <f t="shared" si="31"/>
        <v>0</v>
      </c>
      <c r="H64" s="17"/>
      <c r="I64" s="17"/>
      <c r="J64" s="126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58" t="s">
        <v>45</v>
      </c>
      <c r="C65" s="30" t="s">
        <v>18</v>
      </c>
      <c r="D65" s="31"/>
      <c r="E65" s="31"/>
      <c r="F65" s="31"/>
      <c r="G65" s="31"/>
      <c r="H65" s="17"/>
      <c r="I65" s="31"/>
      <c r="J65" s="126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2">D68+D71</f>
        <v>13.98</v>
      </c>
      <c r="E67" s="17">
        <f t="shared" si="32"/>
        <v>13.65</v>
      </c>
      <c r="F67" s="17">
        <f t="shared" si="32"/>
        <v>13.48</v>
      </c>
      <c r="G67" s="17">
        <f t="shared" si="32"/>
        <v>13.48</v>
      </c>
      <c r="H67" s="17">
        <f>F67/E67*100</f>
        <v>98.754578754578759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3">D69+D70</f>
        <v>0</v>
      </c>
      <c r="E68" s="17">
        <f t="shared" si="33"/>
        <v>0</v>
      </c>
      <c r="F68" s="17">
        <f t="shared" si="33"/>
        <v>0</v>
      </c>
      <c r="G68" s="17">
        <f t="shared" si="33"/>
        <v>0</v>
      </c>
      <c r="H68" s="17"/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58" t="s">
        <v>69</v>
      </c>
      <c r="C69" s="30" t="s">
        <v>18</v>
      </c>
      <c r="D69" s="31"/>
      <c r="E69" s="31"/>
      <c r="F69" s="31"/>
      <c r="G69" s="31"/>
      <c r="H69" s="17"/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58" t="s">
        <v>70</v>
      </c>
      <c r="C70" s="30" t="s">
        <v>18</v>
      </c>
      <c r="D70" s="31"/>
      <c r="E70" s="31"/>
      <c r="F70" s="31"/>
      <c r="G70" s="31"/>
      <c r="H70" s="17"/>
      <c r="I70" s="31"/>
      <c r="J70" s="126"/>
      <c r="K70" s="126"/>
      <c r="L70" s="126"/>
      <c r="M70" s="126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4">D72+D73</f>
        <v>13.98</v>
      </c>
      <c r="E71" s="17">
        <f t="shared" si="34"/>
        <v>13.65</v>
      </c>
      <c r="F71" s="17">
        <f t="shared" si="34"/>
        <v>13.48</v>
      </c>
      <c r="G71" s="17">
        <f t="shared" si="34"/>
        <v>13.48</v>
      </c>
      <c r="H71" s="17">
        <f t="shared" ref="H71:H75" si="35">F71/E71*100</f>
        <v>98.754578754578759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6">D75+D82</f>
        <v>13.48</v>
      </c>
      <c r="E72" s="87">
        <f t="shared" si="36"/>
        <v>13.48</v>
      </c>
      <c r="F72" s="87">
        <f t="shared" si="36"/>
        <v>13.48</v>
      </c>
      <c r="G72" s="87">
        <f t="shared" si="36"/>
        <v>13.48</v>
      </c>
      <c r="H72" s="17">
        <f t="shared" si="35"/>
        <v>100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7">D76+D83</f>
        <v>0.5</v>
      </c>
      <c r="E73" s="17">
        <f t="shared" si="37"/>
        <v>0.17</v>
      </c>
      <c r="F73" s="17">
        <f t="shared" si="37"/>
        <v>0</v>
      </c>
      <c r="G73" s="17">
        <f t="shared" si="37"/>
        <v>0</v>
      </c>
      <c r="H73" s="17">
        <f t="shared" si="35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38">D75+D76</f>
        <v>9.9</v>
      </c>
      <c r="E74" s="91">
        <f t="shared" si="38"/>
        <v>9.9</v>
      </c>
      <c r="F74" s="91">
        <f t="shared" si="38"/>
        <v>9.9</v>
      </c>
      <c r="G74" s="91">
        <f t="shared" si="38"/>
        <v>9.9</v>
      </c>
      <c r="H74" s="96">
        <f t="shared" si="35"/>
        <v>100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7" t="s">
        <v>32</v>
      </c>
      <c r="B75" s="93" t="s">
        <v>45</v>
      </c>
      <c r="C75" s="30" t="s">
        <v>18</v>
      </c>
      <c r="D75" s="60">
        <v>9.9</v>
      </c>
      <c r="E75" s="60">
        <f>D75+D76</f>
        <v>9.9</v>
      </c>
      <c r="F75" s="60">
        <v>9.9</v>
      </c>
      <c r="G75" s="60">
        <v>9.9</v>
      </c>
      <c r="H75" s="31">
        <f t="shared" si="35"/>
        <v>100</v>
      </c>
      <c r="I75" s="31"/>
      <c r="J75" s="126"/>
      <c r="K75" s="126"/>
      <c r="L75" s="115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39">SUM(D77:D80)</f>
        <v>0</v>
      </c>
      <c r="E76" s="141">
        <f t="shared" si="39"/>
        <v>0</v>
      </c>
      <c r="F76" s="141">
        <f t="shared" si="39"/>
        <v>0</v>
      </c>
      <c r="G76" s="141">
        <f t="shared" si="39"/>
        <v>0</v>
      </c>
      <c r="H76" s="17"/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6" t="s">
        <v>47</v>
      </c>
      <c r="B77" s="94" t="s">
        <v>80</v>
      </c>
      <c r="C77" s="46" t="s">
        <v>18</v>
      </c>
      <c r="D77" s="31"/>
      <c r="E77" s="31"/>
      <c r="F77" s="31"/>
      <c r="G77" s="31"/>
      <c r="H77" s="17"/>
      <c r="I77" s="31"/>
      <c r="J77" s="138"/>
      <c r="K77" s="138"/>
      <c r="L77" s="97"/>
      <c r="M77" s="97"/>
      <c r="N77" s="143"/>
      <c r="O77" s="2"/>
      <c r="P77" s="38"/>
      <c r="Q77" s="2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6" t="s">
        <v>47</v>
      </c>
      <c r="B78" s="94" t="s">
        <v>81</v>
      </c>
      <c r="C78" s="46" t="s">
        <v>18</v>
      </c>
      <c r="D78" s="31"/>
      <c r="E78" s="31">
        <v>0</v>
      </c>
      <c r="F78" s="31"/>
      <c r="G78" s="31"/>
      <c r="H78" s="17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17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6" t="s">
        <v>47</v>
      </c>
      <c r="B80" s="144" t="s">
        <v>83</v>
      </c>
      <c r="C80" s="46" t="s">
        <v>18</v>
      </c>
      <c r="D80" s="31"/>
      <c r="E80" s="31"/>
      <c r="F80" s="31"/>
      <c r="G80" s="31"/>
      <c r="H80" s="17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0">D82+D83</f>
        <v>4.08</v>
      </c>
      <c r="E81" s="91">
        <f t="shared" si="40"/>
        <v>3.75</v>
      </c>
      <c r="F81" s="91">
        <f t="shared" si="40"/>
        <v>3.58</v>
      </c>
      <c r="G81" s="91">
        <f t="shared" si="40"/>
        <v>3.58</v>
      </c>
      <c r="H81" s="96">
        <f t="shared" ref="H81:H83" si="41">F81/E81*100</f>
        <v>95.466666666666669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1.5" customHeight="1" x14ac:dyDescent="0.25">
      <c r="A82" s="107" t="s">
        <v>47</v>
      </c>
      <c r="B82" s="94" t="s">
        <v>85</v>
      </c>
      <c r="C82" s="46" t="s">
        <v>18</v>
      </c>
      <c r="D82" s="71">
        <v>3.58</v>
      </c>
      <c r="E82" s="71">
        <v>3.58</v>
      </c>
      <c r="F82" s="71">
        <v>3.58</v>
      </c>
      <c r="G82" s="71">
        <v>3.58</v>
      </c>
      <c r="H82" s="71">
        <f t="shared" si="41"/>
        <v>100</v>
      </c>
      <c r="I82" s="71"/>
      <c r="J82" s="138"/>
      <c r="K82" s="138"/>
      <c r="L82" s="143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1.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2">SUM(D84:D87)</f>
        <v>0.5</v>
      </c>
      <c r="E83" s="60">
        <f t="shared" si="42"/>
        <v>0.17</v>
      </c>
      <c r="F83" s="60">
        <f t="shared" si="42"/>
        <v>0</v>
      </c>
      <c r="G83" s="60">
        <f t="shared" si="42"/>
        <v>0</v>
      </c>
      <c r="H83" s="17">
        <f t="shared" si="41"/>
        <v>0</v>
      </c>
      <c r="I83" s="60"/>
      <c r="J83" s="138"/>
      <c r="K83" s="138"/>
      <c r="L83" s="97"/>
      <c r="M83" s="97"/>
      <c r="N83" s="97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7"/>
      <c r="I84" s="31"/>
      <c r="J84" s="97"/>
      <c r="K84" s="97"/>
      <c r="L84" s="97"/>
      <c r="M84" s="97"/>
      <c r="N84" s="97"/>
      <c r="O84" s="2"/>
      <c r="P84" s="2"/>
      <c r="Q84" s="2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7"/>
      <c r="I85" s="31"/>
      <c r="J85" s="97"/>
      <c r="K85" s="97"/>
      <c r="L85" s="97"/>
      <c r="M85" s="97"/>
      <c r="N85" s="97"/>
      <c r="O85" s="2"/>
      <c r="P85" s="2"/>
      <c r="Q85" s="2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7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07" t="s">
        <v>47</v>
      </c>
      <c r="B87" s="94" t="s">
        <v>89</v>
      </c>
      <c r="C87" s="46" t="s">
        <v>18</v>
      </c>
      <c r="D87" s="31">
        <v>0.5</v>
      </c>
      <c r="E87" s="31">
        <v>0.17</v>
      </c>
      <c r="F87" s="31">
        <v>0</v>
      </c>
      <c r="G87" s="31">
        <v>0</v>
      </c>
      <c r="H87" s="17">
        <f t="shared" ref="H87:H91" si="43">F87/E87*100</f>
        <v>0</v>
      </c>
      <c r="I87" s="31"/>
      <c r="J87" s="97"/>
      <c r="K87" s="97"/>
      <c r="L87" s="97"/>
      <c r="M87" s="143"/>
      <c r="N87" s="143"/>
      <c r="O87" s="38"/>
      <c r="P87" s="38"/>
      <c r="Q87" s="38"/>
      <c r="R87" s="38"/>
      <c r="S87" s="38"/>
      <c r="T87" s="2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4">SUM(D89:D93)</f>
        <v>406</v>
      </c>
      <c r="E88" s="17">
        <f t="shared" si="44"/>
        <v>397</v>
      </c>
      <c r="F88" s="17">
        <f t="shared" si="44"/>
        <v>350</v>
      </c>
      <c r="G88" s="17">
        <f t="shared" si="44"/>
        <v>350</v>
      </c>
      <c r="H88" s="17">
        <f t="shared" si="43"/>
        <v>88.161209068010066</v>
      </c>
      <c r="I88" s="17"/>
      <c r="J88" s="28"/>
      <c r="K88" s="28"/>
      <c r="L88" s="134"/>
      <c r="M88" s="134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37</v>
      </c>
      <c r="E89" s="31">
        <f>3+2</f>
        <v>5</v>
      </c>
      <c r="F89" s="31">
        <v>5</v>
      </c>
      <c r="G89" s="31">
        <f t="shared" ref="G89:G91" si="45">F89</f>
        <v>5</v>
      </c>
      <c r="H89" s="31">
        <f t="shared" si="43"/>
        <v>100</v>
      </c>
      <c r="I89" s="31"/>
      <c r="J89" s="55"/>
      <c r="K89" s="173"/>
      <c r="L89" s="171"/>
      <c r="M89" s="172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62</v>
      </c>
      <c r="E90" s="31">
        <f>63+10</f>
        <v>73</v>
      </c>
      <c r="F90" s="31">
        <v>72</v>
      </c>
      <c r="G90" s="31">
        <f t="shared" si="45"/>
        <v>72</v>
      </c>
      <c r="H90" s="31">
        <f t="shared" si="43"/>
        <v>98.630136986301366</v>
      </c>
      <c r="I90" s="31"/>
      <c r="J90" s="55"/>
      <c r="K90" s="173"/>
      <c r="L90" s="171"/>
      <c r="M90" s="172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35</v>
      </c>
      <c r="E91" s="31">
        <f>37+11</f>
        <v>48</v>
      </c>
      <c r="F91" s="31">
        <v>43</v>
      </c>
      <c r="G91" s="31">
        <f t="shared" si="45"/>
        <v>43</v>
      </c>
      <c r="H91" s="31">
        <f t="shared" si="43"/>
        <v>89.583333333333343</v>
      </c>
      <c r="I91" s="31"/>
      <c r="J91" s="55"/>
      <c r="K91" s="79"/>
      <c r="L91" s="171"/>
      <c r="M91" s="172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1.5" customHeight="1" x14ac:dyDescent="0.25">
      <c r="A92" s="30">
        <v>4</v>
      </c>
      <c r="B92" s="27" t="s">
        <v>98</v>
      </c>
      <c r="C92" s="30" t="s">
        <v>93</v>
      </c>
      <c r="D92" s="31"/>
      <c r="E92" s="31"/>
      <c r="F92" s="31"/>
      <c r="G92" s="31"/>
      <c r="H92" s="17"/>
      <c r="I92" s="31"/>
      <c r="J92" s="28"/>
      <c r="K92" s="28"/>
      <c r="L92" s="174"/>
      <c r="M92" s="172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99</v>
      </c>
      <c r="C93" s="30" t="s">
        <v>93</v>
      </c>
      <c r="D93" s="31">
        <v>272</v>
      </c>
      <c r="E93" s="31">
        <f>300-29</f>
        <v>271</v>
      </c>
      <c r="F93" s="31">
        <v>230</v>
      </c>
      <c r="G93" s="31">
        <f>F93</f>
        <v>230</v>
      </c>
      <c r="H93" s="31">
        <f>F93/E93*100</f>
        <v>84.870848708487088</v>
      </c>
      <c r="I93" s="31"/>
      <c r="J93" s="79"/>
      <c r="K93" s="79"/>
      <c r="L93" s="174"/>
      <c r="M93" s="172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1.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6">D95</f>
        <v>0</v>
      </c>
      <c r="E94" s="17">
        <f t="shared" si="46"/>
        <v>0</v>
      </c>
      <c r="F94" s="17">
        <f t="shared" si="46"/>
        <v>0</v>
      </c>
      <c r="G94" s="17">
        <f t="shared" si="46"/>
        <v>0</v>
      </c>
      <c r="H94" s="17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6" t="s">
        <v>47</v>
      </c>
      <c r="B95" s="76" t="s">
        <v>102</v>
      </c>
      <c r="C95" s="46" t="s">
        <v>18</v>
      </c>
      <c r="D95" s="31"/>
      <c r="E95" s="31"/>
      <c r="F95" s="31"/>
      <c r="G95" s="31"/>
      <c r="H95" s="17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7">D97+D98</f>
        <v>0</v>
      </c>
      <c r="E96" s="17">
        <f t="shared" si="47"/>
        <v>0</v>
      </c>
      <c r="F96" s="17">
        <f t="shared" si="47"/>
        <v>0</v>
      </c>
      <c r="G96" s="17">
        <f t="shared" si="47"/>
        <v>0</v>
      </c>
      <c r="H96" s="17"/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3" t="s">
        <v>263</v>
      </c>
      <c r="C97" s="46" t="s">
        <v>18</v>
      </c>
      <c r="D97" s="31"/>
      <c r="E97" s="31"/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23" t="s">
        <v>47</v>
      </c>
      <c r="B98" s="93" t="s">
        <v>109</v>
      </c>
      <c r="C98" s="46" t="s">
        <v>18</v>
      </c>
      <c r="D98" s="31"/>
      <c r="E98" s="31"/>
      <c r="F98" s="31"/>
      <c r="G98" s="31"/>
      <c r="H98" s="17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47244094488188981" bottom="0.47244094488188981" header="0" footer="0"/>
  <pageSetup scale="85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6.77734375" customWidth="1"/>
    <col min="2" max="2" width="31.21875" customWidth="1"/>
    <col min="3" max="3" width="9.33203125" customWidth="1"/>
    <col min="4" max="5" width="16.44140625" customWidth="1"/>
    <col min="6" max="9" width="12.6640625" customWidth="1"/>
    <col min="10" max="10" width="8.88671875" customWidth="1"/>
    <col min="11" max="11" width="21.44140625" customWidth="1"/>
    <col min="12" max="14" width="8.88671875" customWidth="1"/>
    <col min="15" max="23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281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'ĐĂK PƠ TRANG(15)'!A5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60">
        <v>195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97">
        <v>1300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185.22</v>
      </c>
      <c r="E9" s="17">
        <f t="shared" si="0"/>
        <v>180.47</v>
      </c>
      <c r="F9" s="17">
        <f t="shared" si="0"/>
        <v>144.13999999999999</v>
      </c>
      <c r="G9" s="17">
        <f t="shared" si="0"/>
        <v>144.13999999999999</v>
      </c>
      <c r="H9" s="17">
        <f t="shared" ref="H9:H23" si="1">F9/E9*100</f>
        <v>79.869230342993291</v>
      </c>
      <c r="I9" s="17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1.5</v>
      </c>
      <c r="E10" s="17">
        <f t="shared" si="2"/>
        <v>23.310000000000002</v>
      </c>
      <c r="F10" s="17">
        <f t="shared" si="2"/>
        <v>2.2800000000000002</v>
      </c>
      <c r="G10" s="17">
        <f t="shared" si="2"/>
        <v>2.2800000000000002</v>
      </c>
      <c r="H10" s="17">
        <f t="shared" si="1"/>
        <v>9.78120978120978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5.5275000000000007</v>
      </c>
      <c r="E11" s="17">
        <f t="shared" si="3"/>
        <v>62.971635000000006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133"/>
      <c r="K11" s="133"/>
      <c r="L11" s="133"/>
      <c r="M11" s="133"/>
      <c r="N11" s="133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57.43663500000001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133"/>
      <c r="K12" s="133"/>
      <c r="L12" s="133"/>
      <c r="M12" s="133"/>
      <c r="N12" s="133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21.810000000000002</v>
      </c>
      <c r="F13" s="17">
        <f t="shared" si="5"/>
        <v>0.78</v>
      </c>
      <c r="G13" s="17">
        <f t="shared" si="5"/>
        <v>0.78</v>
      </c>
      <c r="H13" s="17">
        <f t="shared" si="1"/>
        <v>3.5763411279229711</v>
      </c>
      <c r="I13" s="17"/>
      <c r="J13" s="126"/>
      <c r="K13" s="28"/>
      <c r="L13" s="35"/>
      <c r="M13" s="28"/>
      <c r="N13" s="2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26.335000000000001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57.43663500000001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0.78</v>
      </c>
      <c r="F16" s="17">
        <v>0.78</v>
      </c>
      <c r="G16" s="17">
        <v>0.78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2.6130000000000004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21.03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44"/>
      <c r="O19" s="86"/>
      <c r="P19" s="86"/>
      <c r="Q19" s="86"/>
      <c r="R19" s="86"/>
      <c r="S19" s="86"/>
      <c r="T19" s="86"/>
      <c r="U19" s="86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19.170000000000002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28"/>
      <c r="M20" s="28"/>
      <c r="N20" s="44"/>
      <c r="O20" s="86"/>
      <c r="P20" s="86"/>
      <c r="Q20" s="86"/>
      <c r="R20" s="86"/>
      <c r="S20" s="86"/>
      <c r="T20" s="86"/>
      <c r="U20" s="86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40.314510000000006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28"/>
      <c r="M21" s="28"/>
      <c r="N21" s="44"/>
      <c r="O21" s="86"/>
      <c r="P21" s="86"/>
      <c r="Q21" s="86"/>
      <c r="R21" s="86"/>
      <c r="S21" s="86"/>
      <c r="T21" s="86"/>
      <c r="U21" s="86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1" t="s">
        <v>33</v>
      </c>
      <c r="C22" s="40" t="s">
        <v>18</v>
      </c>
      <c r="D22" s="17"/>
      <c r="E22" s="96">
        <v>21.03</v>
      </c>
      <c r="F22" s="17">
        <v>0</v>
      </c>
      <c r="G22" s="96">
        <v>0</v>
      </c>
      <c r="H22" s="17">
        <f t="shared" si="1"/>
        <v>0</v>
      </c>
      <c r="I22" s="17"/>
      <c r="J22" s="53"/>
      <c r="K22" s="53"/>
      <c r="L22" s="53"/>
      <c r="M22" s="53"/>
      <c r="N22" s="61"/>
      <c r="O22" s="152"/>
      <c r="P22" s="152"/>
      <c r="Q22" s="152"/>
      <c r="R22" s="152"/>
      <c r="S22" s="152"/>
      <c r="T22" s="134"/>
      <c r="U22" s="86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3"/>
      <c r="K23" s="53"/>
      <c r="L23" s="53"/>
      <c r="M23" s="53"/>
      <c r="N23" s="61"/>
      <c r="O23" s="152"/>
      <c r="P23" s="152"/>
      <c r="Q23" s="152"/>
      <c r="R23" s="152"/>
      <c r="S23" s="152"/>
      <c r="T23" s="134"/>
      <c r="U23" s="86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/>
      <c r="E24" s="31"/>
      <c r="F24" s="31"/>
      <c r="G24" s="31"/>
      <c r="H24" s="17"/>
      <c r="I24" s="31"/>
      <c r="J24" s="53"/>
      <c r="K24" s="53"/>
      <c r="L24" s="53"/>
      <c r="M24" s="53"/>
      <c r="N24" s="61"/>
      <c r="O24" s="152"/>
      <c r="P24" s="152"/>
      <c r="Q24" s="152"/>
      <c r="R24" s="152"/>
      <c r="S24" s="152"/>
      <c r="T24" s="134"/>
      <c r="U24" s="86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1" t="s">
        <v>34</v>
      </c>
      <c r="C25" s="40" t="s">
        <v>18</v>
      </c>
      <c r="D25" s="31"/>
      <c r="E25" s="71">
        <v>0</v>
      </c>
      <c r="F25" s="71">
        <v>0</v>
      </c>
      <c r="G25" s="71">
        <v>0</v>
      </c>
      <c r="H25" s="17"/>
      <c r="I25" s="31"/>
      <c r="J25" s="53"/>
      <c r="K25" s="53"/>
      <c r="L25" s="53"/>
      <c r="M25" s="53"/>
      <c r="N25" s="61"/>
      <c r="O25" s="152"/>
      <c r="P25" s="152"/>
      <c r="Q25" s="152"/>
      <c r="R25" s="152"/>
      <c r="S25" s="152"/>
      <c r="T25" s="86"/>
      <c r="U25" s="86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/>
      <c r="G26" s="31"/>
      <c r="H26" s="17"/>
      <c r="I26" s="31"/>
      <c r="J26" s="53"/>
      <c r="K26" s="53"/>
      <c r="L26" s="53"/>
      <c r="M26" s="53"/>
      <c r="N26" s="61"/>
      <c r="O26" s="152"/>
      <c r="P26" s="152"/>
      <c r="Q26" s="152"/>
      <c r="R26" s="152"/>
      <c r="S26" s="152"/>
      <c r="T26" s="86"/>
      <c r="U26" s="86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/>
      <c r="E27" s="31"/>
      <c r="F27" s="31"/>
      <c r="G27" s="31"/>
      <c r="H27" s="17"/>
      <c r="I27" s="31"/>
      <c r="J27" s="53"/>
      <c r="K27" s="53"/>
      <c r="L27" s="53"/>
      <c r="M27" s="53"/>
      <c r="N27" s="61"/>
      <c r="O27" s="152"/>
      <c r="P27" s="152"/>
      <c r="Q27" s="152"/>
      <c r="R27" s="152"/>
      <c r="S27" s="152"/>
      <c r="T27" s="86"/>
      <c r="U27" s="86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2">D31+D34</f>
        <v>1.5</v>
      </c>
      <c r="E28" s="17">
        <f t="shared" si="12"/>
        <v>1.5</v>
      </c>
      <c r="F28" s="17">
        <f t="shared" si="12"/>
        <v>1.5</v>
      </c>
      <c r="G28" s="17">
        <f t="shared" si="12"/>
        <v>1.5</v>
      </c>
      <c r="H28" s="17">
        <f t="shared" ref="H28:H30" si="13">F28/E28*100</f>
        <v>100</v>
      </c>
      <c r="I28" s="17"/>
      <c r="J28" s="154"/>
      <c r="K28" s="154"/>
      <c r="L28" s="154"/>
      <c r="M28" s="154"/>
      <c r="N28" s="154"/>
      <c r="O28" s="153"/>
      <c r="P28" s="153"/>
      <c r="Q28" s="153"/>
      <c r="R28" s="153"/>
      <c r="S28" s="153"/>
      <c r="T28" s="1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G29" si="14">D35</f>
        <v>36.85</v>
      </c>
      <c r="E29" s="31">
        <f t="shared" si="14"/>
        <v>36.9</v>
      </c>
      <c r="F29" s="31">
        <f t="shared" si="14"/>
        <v>0</v>
      </c>
      <c r="G29" s="31">
        <f t="shared" si="14"/>
        <v>0</v>
      </c>
      <c r="H29" s="17">
        <f t="shared" si="13"/>
        <v>0</v>
      </c>
      <c r="I29" s="31"/>
      <c r="J29" s="154"/>
      <c r="K29" s="154"/>
      <c r="L29" s="154"/>
      <c r="M29" s="154"/>
      <c r="N29" s="154"/>
      <c r="O29" s="153"/>
      <c r="P29" s="153"/>
      <c r="Q29" s="153"/>
      <c r="R29" s="153"/>
      <c r="S29" s="153"/>
      <c r="T29" s="1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5">D28*D29/10</f>
        <v>5.5275000000000007</v>
      </c>
      <c r="E30" s="31">
        <f t="shared" si="15"/>
        <v>5.5349999999999993</v>
      </c>
      <c r="F30" s="31">
        <f t="shared" si="15"/>
        <v>0</v>
      </c>
      <c r="G30" s="31">
        <f t="shared" si="15"/>
        <v>0</v>
      </c>
      <c r="H30" s="17">
        <f t="shared" si="13"/>
        <v>0</v>
      </c>
      <c r="I30" s="31"/>
      <c r="J30" s="154"/>
      <c r="K30" s="154"/>
      <c r="L30" s="154"/>
      <c r="M30" s="154"/>
      <c r="N30" s="154"/>
      <c r="O30" s="153"/>
      <c r="P30" s="153"/>
      <c r="Q30" s="153"/>
      <c r="R30" s="153"/>
      <c r="S30" s="153"/>
      <c r="T30" s="1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7"/>
      <c r="I31" s="17"/>
      <c r="J31" s="154"/>
      <c r="K31" s="137"/>
      <c r="L31" s="155"/>
      <c r="M31" s="155"/>
      <c r="N31" s="155"/>
      <c r="O31" s="155"/>
      <c r="P31" s="153"/>
      <c r="Q31" s="153"/>
      <c r="R31" s="153"/>
      <c r="S31" s="153"/>
      <c r="T31" s="1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154"/>
      <c r="K32" s="137"/>
      <c r="L32" s="155"/>
      <c r="M32" s="155"/>
      <c r="N32" s="155"/>
      <c r="O32" s="155"/>
      <c r="P32" s="153"/>
      <c r="Q32" s="153"/>
      <c r="R32" s="153"/>
      <c r="S32" s="153"/>
      <c r="T32" s="1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154"/>
      <c r="K33" s="137"/>
      <c r="L33" s="155"/>
      <c r="M33" s="155"/>
      <c r="N33" s="155"/>
      <c r="O33" s="155"/>
      <c r="P33" s="153"/>
      <c r="Q33" s="153"/>
      <c r="R33" s="153"/>
      <c r="S33" s="153"/>
      <c r="T33" s="1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1" t="s">
        <v>38</v>
      </c>
      <c r="C34" s="40" t="s">
        <v>18</v>
      </c>
      <c r="D34" s="96">
        <v>1.5</v>
      </c>
      <c r="E34" s="96">
        <v>1.5</v>
      </c>
      <c r="F34" s="96">
        <v>1.5</v>
      </c>
      <c r="G34" s="96">
        <v>1.5</v>
      </c>
      <c r="H34" s="17">
        <f t="shared" ref="H34:H53" si="16">F34/E34*100</f>
        <v>100</v>
      </c>
      <c r="I34" s="17"/>
      <c r="J34" s="154"/>
      <c r="K34" s="44"/>
      <c r="L34" s="44"/>
      <c r="M34" s="44"/>
      <c r="N34" s="44"/>
      <c r="O34" s="44"/>
      <c r="P34" s="153"/>
      <c r="Q34" s="153"/>
      <c r="R34" s="153"/>
      <c r="S34" s="153"/>
      <c r="T34" s="1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6"/>
        <v>0</v>
      </c>
      <c r="I35" s="31"/>
      <c r="J35" s="154"/>
      <c r="K35" s="44"/>
      <c r="L35" s="44"/>
      <c r="M35" s="44"/>
      <c r="N35" s="44"/>
      <c r="O35" s="44"/>
      <c r="P35" s="153"/>
      <c r="Q35" s="153"/>
      <c r="R35" s="153"/>
      <c r="S35" s="153"/>
      <c r="T35" s="1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5.5275000000000007</v>
      </c>
      <c r="E36" s="31">
        <f t="shared" si="17"/>
        <v>5.5349999999999993</v>
      </c>
      <c r="F36" s="31">
        <f t="shared" si="17"/>
        <v>0</v>
      </c>
      <c r="G36" s="31">
        <f t="shared" si="17"/>
        <v>0</v>
      </c>
      <c r="H36" s="17">
        <f t="shared" si="16"/>
        <v>0</v>
      </c>
      <c r="I36" s="31"/>
      <c r="J36" s="154"/>
      <c r="K36" s="44"/>
      <c r="L36" s="44"/>
      <c r="M36" s="44"/>
      <c r="N36" s="44"/>
      <c r="O36" s="44"/>
      <c r="P36" s="153"/>
      <c r="Q36" s="153"/>
      <c r="R36" s="153"/>
      <c r="S36" s="153"/>
      <c r="T36" s="1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72</v>
      </c>
      <c r="E37" s="17">
        <v>42.28</v>
      </c>
      <c r="F37" s="17">
        <v>42.28</v>
      </c>
      <c r="G37" s="17">
        <v>42.28</v>
      </c>
      <c r="H37" s="17">
        <f t="shared" si="16"/>
        <v>100</v>
      </c>
      <c r="I37" s="17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33"/>
      <c r="U37" s="33"/>
      <c r="V37" s="33"/>
      <c r="W37" s="33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6"/>
        <v>0</v>
      </c>
      <c r="I38" s="31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33"/>
      <c r="U38" s="33"/>
      <c r="V38" s="33"/>
      <c r="W38" s="33"/>
      <c r="X38" s="1"/>
      <c r="Y38" s="1"/>
      <c r="Z38" s="1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18">D37*D38/10</f>
        <v>990</v>
      </c>
      <c r="E39" s="31">
        <f t="shared" si="18"/>
        <v>591.91999999999996</v>
      </c>
      <c r="F39" s="31">
        <f t="shared" si="18"/>
        <v>0</v>
      </c>
      <c r="G39" s="31">
        <f t="shared" si="18"/>
        <v>0</v>
      </c>
      <c r="H39" s="17">
        <f t="shared" si="16"/>
        <v>0</v>
      </c>
      <c r="I39" s="31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33"/>
      <c r="U39" s="33"/>
      <c r="V39" s="33"/>
      <c r="W39" s="33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si="16"/>
        <v>0</v>
      </c>
      <c r="I40" s="31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33"/>
      <c r="U40" s="33"/>
      <c r="V40" s="33"/>
      <c r="W40" s="33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16"/>
        <v>0</v>
      </c>
      <c r="I41" s="31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33"/>
      <c r="U41" s="33"/>
      <c r="V41" s="33"/>
      <c r="W41" s="33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>
        <f t="shared" ref="D42:G42" si="19">D40*D41/10</f>
        <v>1.25</v>
      </c>
      <c r="E42" s="31">
        <f t="shared" si="19"/>
        <v>1.2050000000000001</v>
      </c>
      <c r="F42" s="31">
        <f t="shared" si="19"/>
        <v>0</v>
      </c>
      <c r="G42" s="31">
        <f t="shared" si="19"/>
        <v>0</v>
      </c>
      <c r="H42" s="17">
        <f t="shared" si="16"/>
        <v>0</v>
      </c>
      <c r="I42" s="31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33"/>
      <c r="U42" s="33"/>
      <c r="V42" s="33"/>
      <c r="W42" s="33"/>
      <c r="X42" s="1"/>
      <c r="Y42" s="1"/>
      <c r="Z42" s="1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6"/>
        <v>54</v>
      </c>
      <c r="I43" s="17"/>
      <c r="J43" s="154"/>
      <c r="K43" s="53"/>
      <c r="L43" s="176"/>
      <c r="M43" s="176"/>
      <c r="N43" s="176"/>
      <c r="O43" s="176"/>
      <c r="P43" s="153"/>
      <c r="Q43" s="153"/>
      <c r="R43" s="153"/>
      <c r="S43" s="153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6"/>
        <v>0</v>
      </c>
      <c r="I44" s="31"/>
      <c r="J44" s="126"/>
      <c r="K44" s="135"/>
      <c r="L44" s="126"/>
      <c r="M44" s="126"/>
      <c r="N44" s="12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7" t="s">
        <v>27</v>
      </c>
      <c r="C45" s="48" t="s">
        <v>21</v>
      </c>
      <c r="D45" s="31">
        <f t="shared" ref="D45:G45" si="20">D43*D44/10</f>
        <v>5</v>
      </c>
      <c r="E45" s="31">
        <f t="shared" si="20"/>
        <v>4.9249999999999998</v>
      </c>
      <c r="F45" s="31">
        <f t="shared" si="20"/>
        <v>0</v>
      </c>
      <c r="G45" s="31">
        <f t="shared" si="20"/>
        <v>0</v>
      </c>
      <c r="H45" s="17">
        <f t="shared" si="16"/>
        <v>0</v>
      </c>
      <c r="I45" s="31"/>
      <c r="J45" s="126"/>
      <c r="K45" s="126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1">D47+D55+D64</f>
        <v>57.97</v>
      </c>
      <c r="E46" s="17">
        <f t="shared" si="21"/>
        <v>67.37</v>
      </c>
      <c r="F46" s="17">
        <f t="shared" si="21"/>
        <v>52.87</v>
      </c>
      <c r="G46" s="17">
        <f t="shared" si="21"/>
        <v>52.87</v>
      </c>
      <c r="H46" s="17">
        <f t="shared" si="16"/>
        <v>78.477066943743495</v>
      </c>
      <c r="I46" s="17"/>
      <c r="J46" s="126"/>
      <c r="K46" s="135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2">D48+D49</f>
        <v>32.97</v>
      </c>
      <c r="E47" s="17">
        <f t="shared" si="22"/>
        <v>44.87</v>
      </c>
      <c r="F47" s="17">
        <f t="shared" si="22"/>
        <v>32.97</v>
      </c>
      <c r="G47" s="17">
        <f t="shared" si="22"/>
        <v>32.97</v>
      </c>
      <c r="H47" s="17">
        <f t="shared" si="16"/>
        <v>73.478939157566302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7" t="s">
        <v>32</v>
      </c>
      <c r="B48" s="58" t="s">
        <v>45</v>
      </c>
      <c r="C48" s="59" t="s">
        <v>18</v>
      </c>
      <c r="D48" s="31">
        <v>32.31</v>
      </c>
      <c r="E48" s="31">
        <f>D48+D49</f>
        <v>32.97</v>
      </c>
      <c r="F48" s="31">
        <v>32.97</v>
      </c>
      <c r="G48" s="31">
        <v>32.97</v>
      </c>
      <c r="H48" s="31">
        <f t="shared" si="16"/>
        <v>100</v>
      </c>
      <c r="I48" s="31"/>
      <c r="J48" s="53"/>
      <c r="K48" s="53"/>
      <c r="L48" s="53"/>
      <c r="M48" s="53"/>
      <c r="N48" s="53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3">D50+D51</f>
        <v>0.65999999999999992</v>
      </c>
      <c r="E49" s="17">
        <f t="shared" si="23"/>
        <v>11.9</v>
      </c>
      <c r="F49" s="17">
        <f t="shared" si="23"/>
        <v>0</v>
      </c>
      <c r="G49" s="17">
        <f t="shared" si="23"/>
        <v>0</v>
      </c>
      <c r="H49" s="17">
        <f t="shared" si="16"/>
        <v>0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59" t="s">
        <v>47</v>
      </c>
      <c r="B50" s="64" t="s">
        <v>48</v>
      </c>
      <c r="C50" s="59" t="s">
        <v>18</v>
      </c>
      <c r="D50" s="31"/>
      <c r="E50" s="31">
        <v>9.4</v>
      </c>
      <c r="F50" s="31">
        <v>0</v>
      </c>
      <c r="G50" s="31">
        <v>0</v>
      </c>
      <c r="H50" s="17">
        <f t="shared" si="16"/>
        <v>0</v>
      </c>
      <c r="I50" s="31"/>
      <c r="J50" s="126"/>
      <c r="K50" s="126"/>
      <c r="L50" s="126"/>
      <c r="M50" s="126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59" t="s">
        <v>47</v>
      </c>
      <c r="B51" s="64" t="s">
        <v>49</v>
      </c>
      <c r="C51" s="30" t="s">
        <v>18</v>
      </c>
      <c r="D51" s="31">
        <f>0.86-0.2</f>
        <v>0.65999999999999992</v>
      </c>
      <c r="E51" s="31">
        <v>2.5</v>
      </c>
      <c r="F51" s="31">
        <v>0</v>
      </c>
      <c r="G51" s="31">
        <v>0</v>
      </c>
      <c r="H51" s="17">
        <f t="shared" si="16"/>
        <v>0</v>
      </c>
      <c r="I51" s="31"/>
      <c r="J51" s="126"/>
      <c r="K51" s="126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4">D53+D54</f>
        <v>21</v>
      </c>
      <c r="E52" s="17">
        <f t="shared" si="24"/>
        <v>27.4635</v>
      </c>
      <c r="F52" s="17">
        <f t="shared" si="24"/>
        <v>27.46</v>
      </c>
      <c r="G52" s="17">
        <f t="shared" si="24"/>
        <v>27.46</v>
      </c>
      <c r="H52" s="17">
        <f t="shared" si="16"/>
        <v>99.987255812259917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66" t="s">
        <v>47</v>
      </c>
      <c r="B53" s="64" t="s">
        <v>51</v>
      </c>
      <c r="C53" s="30" t="s">
        <v>18</v>
      </c>
      <c r="D53" s="31">
        <v>21</v>
      </c>
      <c r="E53" s="31">
        <f>D48*85%</f>
        <v>27.4635</v>
      </c>
      <c r="F53" s="31">
        <v>27.46</v>
      </c>
      <c r="G53" s="31">
        <v>27.46</v>
      </c>
      <c r="H53" s="31">
        <f t="shared" si="16"/>
        <v>99.987255812259917</v>
      </c>
      <c r="I53" s="31"/>
      <c r="J53" s="126"/>
      <c r="K53" s="126"/>
      <c r="L53" s="135"/>
      <c r="M53" s="126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4" t="s">
        <v>52</v>
      </c>
      <c r="C54" s="30" t="s">
        <v>18</v>
      </c>
      <c r="D54" s="31"/>
      <c r="E54" s="31"/>
      <c r="F54" s="31"/>
      <c r="G54" s="31"/>
      <c r="H54" s="17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5">D56+D57</f>
        <v>16.5</v>
      </c>
      <c r="E55" s="17">
        <f t="shared" si="25"/>
        <v>20.5</v>
      </c>
      <c r="F55" s="17">
        <f t="shared" si="25"/>
        <v>17.899999999999999</v>
      </c>
      <c r="G55" s="17">
        <f t="shared" si="25"/>
        <v>17.899999999999999</v>
      </c>
      <c r="H55" s="17">
        <f t="shared" ref="H55:H65" si="26">F55/E55*100</f>
        <v>87.317073170731703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58" t="s">
        <v>50</v>
      </c>
      <c r="C56" s="30" t="s">
        <v>18</v>
      </c>
      <c r="D56" s="31">
        <v>16.5</v>
      </c>
      <c r="E56" s="31">
        <f>D56+E58</f>
        <v>17.899999999999999</v>
      </c>
      <c r="F56" s="31">
        <v>17.899999999999999</v>
      </c>
      <c r="G56" s="31">
        <v>17.899999999999999</v>
      </c>
      <c r="H56" s="31">
        <f t="shared" si="26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7">D58+D61</f>
        <v>0</v>
      </c>
      <c r="E57" s="31">
        <f t="shared" si="27"/>
        <v>2.5999999999999996</v>
      </c>
      <c r="F57" s="31">
        <f t="shared" si="27"/>
        <v>0</v>
      </c>
      <c r="G57" s="31">
        <f t="shared" si="27"/>
        <v>0</v>
      </c>
      <c r="H57" s="17">
        <f t="shared" si="26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28">D59+D60</f>
        <v>0</v>
      </c>
      <c r="E58" s="71">
        <f t="shared" si="28"/>
        <v>1.4</v>
      </c>
      <c r="F58" s="71">
        <f t="shared" si="28"/>
        <v>0</v>
      </c>
      <c r="G58" s="71">
        <f t="shared" si="28"/>
        <v>0</v>
      </c>
      <c r="H58" s="17">
        <f t="shared" si="26"/>
        <v>0</v>
      </c>
      <c r="I58" s="71"/>
      <c r="J58" s="138"/>
      <c r="K58" s="138"/>
      <c r="L58" s="97"/>
      <c r="M58" s="97"/>
      <c r="N58" s="97"/>
      <c r="O58" s="97"/>
      <c r="P58" s="97"/>
      <c r="Q58" s="74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1.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0.7</v>
      </c>
      <c r="F59" s="31">
        <v>0</v>
      </c>
      <c r="G59" s="31">
        <v>0</v>
      </c>
      <c r="H59" s="17">
        <f t="shared" si="26"/>
        <v>0</v>
      </c>
      <c r="I59" s="31"/>
      <c r="J59" s="135"/>
      <c r="K59" s="126"/>
      <c r="L59" s="137"/>
      <c r="M59" s="137"/>
      <c r="N59" s="137"/>
      <c r="O59" s="137"/>
      <c r="P59" s="137"/>
      <c r="Q59" s="2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0.7</v>
      </c>
      <c r="F60" s="31">
        <v>0</v>
      </c>
      <c r="G60" s="31">
        <v>0</v>
      </c>
      <c r="H60" s="17">
        <f t="shared" si="26"/>
        <v>0</v>
      </c>
      <c r="I60" s="31"/>
      <c r="J60" s="135"/>
      <c r="K60" s="126"/>
      <c r="L60" s="137"/>
      <c r="M60" s="137"/>
      <c r="N60" s="137"/>
      <c r="O60" s="137"/>
      <c r="P60" s="137"/>
      <c r="Q60" s="2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29">D62+D63</f>
        <v>0</v>
      </c>
      <c r="E61" s="71">
        <f t="shared" si="29"/>
        <v>1.2</v>
      </c>
      <c r="F61" s="71">
        <f t="shared" si="29"/>
        <v>0</v>
      </c>
      <c r="G61" s="71">
        <f t="shared" si="29"/>
        <v>0</v>
      </c>
      <c r="H61" s="17">
        <f t="shared" si="26"/>
        <v>0</v>
      </c>
      <c r="I61" s="71"/>
      <c r="J61" s="135"/>
      <c r="K61" s="138"/>
      <c r="L61" s="97"/>
      <c r="M61" s="97"/>
      <c r="N61" s="97"/>
      <c r="O61" s="74"/>
      <c r="P61" s="74"/>
      <c r="Q61" s="74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1.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0.7</v>
      </c>
      <c r="F62" s="31">
        <v>0</v>
      </c>
      <c r="G62" s="31">
        <v>0</v>
      </c>
      <c r="H62" s="17">
        <f t="shared" si="26"/>
        <v>0</v>
      </c>
      <c r="I62" s="31"/>
      <c r="J62" s="135"/>
      <c r="K62" s="126"/>
      <c r="L62" s="137"/>
      <c r="M62" s="137"/>
      <c r="N62" s="137"/>
      <c r="O62" s="137"/>
      <c r="P62" s="137"/>
      <c r="Q62" s="2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0.5</v>
      </c>
      <c r="F63" s="31">
        <v>0</v>
      </c>
      <c r="G63" s="31">
        <v>0</v>
      </c>
      <c r="H63" s="17">
        <f t="shared" si="26"/>
        <v>0</v>
      </c>
      <c r="I63" s="31"/>
      <c r="J63" s="135"/>
      <c r="K63" s="126"/>
      <c r="L63" s="137"/>
      <c r="M63" s="137"/>
      <c r="N63" s="137"/>
      <c r="O63" s="137"/>
      <c r="P63" s="137"/>
      <c r="Q63" s="2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0">D65+D66</f>
        <v>8.5</v>
      </c>
      <c r="E64" s="17">
        <f t="shared" si="30"/>
        <v>2</v>
      </c>
      <c r="F64" s="17">
        <f t="shared" si="30"/>
        <v>2</v>
      </c>
      <c r="G64" s="17">
        <f t="shared" si="30"/>
        <v>2</v>
      </c>
      <c r="H64" s="17">
        <f t="shared" si="26"/>
        <v>100</v>
      </c>
      <c r="I64" s="17"/>
      <c r="J64" s="135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58" t="s">
        <v>45</v>
      </c>
      <c r="C65" s="30" t="s">
        <v>18</v>
      </c>
      <c r="D65" s="31">
        <v>8.5</v>
      </c>
      <c r="E65" s="31">
        <v>2</v>
      </c>
      <c r="F65" s="31">
        <v>2</v>
      </c>
      <c r="G65" s="31">
        <v>2</v>
      </c>
      <c r="H65" s="31">
        <f t="shared" si="26"/>
        <v>100</v>
      </c>
      <c r="I65" s="31"/>
      <c r="J65" s="126"/>
      <c r="K65" s="53"/>
      <c r="L65" s="53"/>
      <c r="M65" s="53"/>
      <c r="N65" s="53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1">D68+D71</f>
        <v>53.25</v>
      </c>
      <c r="E67" s="17">
        <f t="shared" si="31"/>
        <v>47.01</v>
      </c>
      <c r="F67" s="17">
        <f t="shared" si="31"/>
        <v>46.44</v>
      </c>
      <c r="G67" s="17">
        <f t="shared" si="31"/>
        <v>46.44</v>
      </c>
      <c r="H67" s="17">
        <f>F67/E67*100</f>
        <v>98.787492022973836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2">D69+D70</f>
        <v>0</v>
      </c>
      <c r="E68" s="17">
        <f t="shared" si="32"/>
        <v>0</v>
      </c>
      <c r="F68" s="17">
        <f t="shared" si="32"/>
        <v>0</v>
      </c>
      <c r="G68" s="17">
        <f t="shared" si="32"/>
        <v>0</v>
      </c>
      <c r="H68" s="17"/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58" t="s">
        <v>69</v>
      </c>
      <c r="C69" s="30" t="s">
        <v>18</v>
      </c>
      <c r="D69" s="31"/>
      <c r="E69" s="31"/>
      <c r="F69" s="31"/>
      <c r="G69" s="31"/>
      <c r="H69" s="17"/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58" t="s">
        <v>70</v>
      </c>
      <c r="C70" s="30" t="s">
        <v>18</v>
      </c>
      <c r="D70" s="31"/>
      <c r="E70" s="31"/>
      <c r="F70" s="31"/>
      <c r="G70" s="31"/>
      <c r="H70" s="17"/>
      <c r="I70" s="31"/>
      <c r="J70" s="126"/>
      <c r="K70" s="126"/>
      <c r="L70" s="126"/>
      <c r="M70" s="126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3">D72+D73</f>
        <v>53.25</v>
      </c>
      <c r="E71" s="17">
        <f t="shared" si="33"/>
        <v>47.01</v>
      </c>
      <c r="F71" s="17">
        <f t="shared" si="33"/>
        <v>46.44</v>
      </c>
      <c r="G71" s="17">
        <f t="shared" si="33"/>
        <v>46.44</v>
      </c>
      <c r="H71" s="17">
        <f t="shared" ref="H71:H75" si="34">F71/E71*100</f>
        <v>98.787492022973836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5">D75+D82</f>
        <v>52.75</v>
      </c>
      <c r="E72" s="87">
        <f t="shared" si="35"/>
        <v>46.44</v>
      </c>
      <c r="F72" s="87">
        <f t="shared" si="35"/>
        <v>46.44</v>
      </c>
      <c r="G72" s="87">
        <f t="shared" si="35"/>
        <v>46.44</v>
      </c>
      <c r="H72" s="17">
        <f t="shared" si="34"/>
        <v>100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6">D76+D83</f>
        <v>0.5</v>
      </c>
      <c r="E73" s="17">
        <f t="shared" si="36"/>
        <v>0.56999999999999995</v>
      </c>
      <c r="F73" s="17">
        <f t="shared" si="36"/>
        <v>0</v>
      </c>
      <c r="G73" s="17">
        <f t="shared" si="36"/>
        <v>0</v>
      </c>
      <c r="H73" s="17">
        <f t="shared" si="34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37">D75+D76</f>
        <v>37.44</v>
      </c>
      <c r="E74" s="91">
        <f t="shared" si="37"/>
        <v>34.44</v>
      </c>
      <c r="F74" s="91">
        <f t="shared" si="37"/>
        <v>34.44</v>
      </c>
      <c r="G74" s="91">
        <f t="shared" si="37"/>
        <v>34.44</v>
      </c>
      <c r="H74" s="96">
        <f t="shared" si="34"/>
        <v>100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7" t="s">
        <v>32</v>
      </c>
      <c r="B75" s="93" t="s">
        <v>45</v>
      </c>
      <c r="C75" s="30" t="s">
        <v>18</v>
      </c>
      <c r="D75" s="60">
        <f>32.94+4</f>
        <v>36.94</v>
      </c>
      <c r="E75" s="60">
        <f>37.44-3</f>
        <v>34.44</v>
      </c>
      <c r="F75" s="31">
        <v>34.44</v>
      </c>
      <c r="G75" s="31">
        <v>34.44</v>
      </c>
      <c r="H75" s="31">
        <f t="shared" si="34"/>
        <v>100</v>
      </c>
      <c r="I75" s="31"/>
      <c r="J75" s="126"/>
      <c r="K75" s="126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38">SUM(D77:D80)</f>
        <v>0.5</v>
      </c>
      <c r="E76" s="141">
        <f t="shared" si="38"/>
        <v>0</v>
      </c>
      <c r="F76" s="141">
        <f t="shared" si="38"/>
        <v>0</v>
      </c>
      <c r="G76" s="141">
        <f t="shared" si="38"/>
        <v>0</v>
      </c>
      <c r="H76" s="17"/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6" t="s">
        <v>47</v>
      </c>
      <c r="B77" s="94" t="s">
        <v>80</v>
      </c>
      <c r="C77" s="46" t="s">
        <v>18</v>
      </c>
      <c r="D77" s="31"/>
      <c r="E77" s="31"/>
      <c r="F77" s="31"/>
      <c r="G77" s="31"/>
      <c r="H77" s="17"/>
      <c r="I77" s="31"/>
      <c r="J77" s="138"/>
      <c r="K77" s="138"/>
      <c r="L77" s="97"/>
      <c r="M77" s="143"/>
      <c r="N77" s="143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6" t="s">
        <v>47</v>
      </c>
      <c r="B78" s="94" t="s">
        <v>81</v>
      </c>
      <c r="C78" s="46" t="s">
        <v>18</v>
      </c>
      <c r="D78" s="31"/>
      <c r="E78" s="31">
        <v>0</v>
      </c>
      <c r="F78" s="31"/>
      <c r="G78" s="31"/>
      <c r="H78" s="17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17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6" t="s">
        <v>47</v>
      </c>
      <c r="B80" s="144" t="s">
        <v>83</v>
      </c>
      <c r="C80" s="46" t="s">
        <v>18</v>
      </c>
      <c r="D80" s="31">
        <v>0.5</v>
      </c>
      <c r="E80" s="31"/>
      <c r="F80" s="31"/>
      <c r="G80" s="31"/>
      <c r="H80" s="17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39">D82+D83</f>
        <v>15.81</v>
      </c>
      <c r="E81" s="91">
        <f t="shared" si="39"/>
        <v>12.57</v>
      </c>
      <c r="F81" s="91">
        <f t="shared" si="39"/>
        <v>12</v>
      </c>
      <c r="G81" s="91">
        <f t="shared" si="39"/>
        <v>12</v>
      </c>
      <c r="H81" s="96">
        <f t="shared" ref="H81:H83" si="40">F81/E81*100</f>
        <v>95.465393794749403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1.5" customHeight="1" x14ac:dyDescent="0.25">
      <c r="A82" s="107" t="s">
        <v>47</v>
      </c>
      <c r="B82" s="94" t="s">
        <v>85</v>
      </c>
      <c r="C82" s="46" t="s">
        <v>18</v>
      </c>
      <c r="D82" s="71">
        <f>11.9+3.91</f>
        <v>15.81</v>
      </c>
      <c r="E82" s="71">
        <v>12</v>
      </c>
      <c r="F82" s="71">
        <v>12</v>
      </c>
      <c r="G82" s="71">
        <v>12</v>
      </c>
      <c r="H82" s="71">
        <f t="shared" si="40"/>
        <v>100</v>
      </c>
      <c r="I82" s="71"/>
      <c r="J82" s="138"/>
      <c r="K82" s="138"/>
      <c r="L82" s="143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1.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1">SUM(D84:D87)</f>
        <v>0</v>
      </c>
      <c r="E83" s="60">
        <f t="shared" si="41"/>
        <v>0.56999999999999995</v>
      </c>
      <c r="F83" s="60">
        <f t="shared" si="41"/>
        <v>0</v>
      </c>
      <c r="G83" s="60">
        <f t="shared" si="41"/>
        <v>0</v>
      </c>
      <c r="H83" s="17">
        <f t="shared" si="40"/>
        <v>0</v>
      </c>
      <c r="I83" s="60"/>
      <c r="J83" s="138"/>
      <c r="K83" s="138"/>
      <c r="L83" s="97"/>
      <c r="M83" s="97"/>
      <c r="N83" s="97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7"/>
      <c r="I84" s="31"/>
      <c r="J84" s="97"/>
      <c r="K84" s="97"/>
      <c r="L84" s="97"/>
      <c r="M84" s="97"/>
      <c r="N84" s="9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7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7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07" t="s">
        <v>47</v>
      </c>
      <c r="B87" s="94" t="s">
        <v>89</v>
      </c>
      <c r="C87" s="46" t="s">
        <v>18</v>
      </c>
      <c r="D87" s="31"/>
      <c r="E87" s="31">
        <v>0.56999999999999995</v>
      </c>
      <c r="F87" s="31">
        <v>0</v>
      </c>
      <c r="G87" s="31">
        <v>0</v>
      </c>
      <c r="H87" s="17">
        <f t="shared" ref="H87:H98" si="42">F87/E87*100</f>
        <v>0</v>
      </c>
      <c r="I87" s="31"/>
      <c r="J87" s="97"/>
      <c r="K87" s="97"/>
      <c r="L87" s="97"/>
      <c r="M87" s="196"/>
      <c r="N87" s="196"/>
      <c r="O87" s="33"/>
      <c r="P87" s="33"/>
      <c r="Q87" s="33"/>
      <c r="R87" s="33"/>
      <c r="S87" s="33"/>
      <c r="T87" s="2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3">SUM(D89:D93)</f>
        <v>1376</v>
      </c>
      <c r="E88" s="17">
        <f t="shared" si="43"/>
        <v>1142</v>
      </c>
      <c r="F88" s="17">
        <f t="shared" si="43"/>
        <v>1061</v>
      </c>
      <c r="G88" s="17">
        <f t="shared" si="43"/>
        <v>1061</v>
      </c>
      <c r="H88" s="17">
        <f t="shared" si="42"/>
        <v>92.907180385288967</v>
      </c>
      <c r="I88" s="17"/>
      <c r="J88" s="28"/>
      <c r="K88" s="28"/>
      <c r="L88" s="28"/>
      <c r="M88" s="28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124</v>
      </c>
      <c r="E89" s="31">
        <f>8+4</f>
        <v>12</v>
      </c>
      <c r="F89" s="31">
        <v>11</v>
      </c>
      <c r="G89" s="31">
        <f t="shared" ref="G89:G93" si="44">F89</f>
        <v>11</v>
      </c>
      <c r="H89" s="31">
        <f t="shared" si="42"/>
        <v>91.666666666666657</v>
      </c>
      <c r="I89" s="31"/>
      <c r="J89" s="55"/>
      <c r="K89" s="79"/>
      <c r="L89" s="198"/>
      <c r="M89" s="55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207</v>
      </c>
      <c r="E90" s="31">
        <f>216+35</f>
        <v>251</v>
      </c>
      <c r="F90" s="31">
        <v>249</v>
      </c>
      <c r="G90" s="31">
        <f t="shared" si="44"/>
        <v>249</v>
      </c>
      <c r="H90" s="31">
        <f t="shared" si="42"/>
        <v>99.203187250996024</v>
      </c>
      <c r="I90" s="31"/>
      <c r="J90" s="55"/>
      <c r="K90" s="79"/>
      <c r="L90" s="198"/>
      <c r="M90" s="55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118</v>
      </c>
      <c r="E91" s="31">
        <f>20+6</f>
        <v>26</v>
      </c>
      <c r="F91" s="31">
        <v>22</v>
      </c>
      <c r="G91" s="31">
        <f t="shared" si="44"/>
        <v>22</v>
      </c>
      <c r="H91" s="31">
        <f t="shared" si="42"/>
        <v>84.615384615384613</v>
      </c>
      <c r="I91" s="31"/>
      <c r="J91" s="55"/>
      <c r="K91" s="79"/>
      <c r="L91" s="198"/>
      <c r="M91" s="55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1.5" customHeight="1" x14ac:dyDescent="0.25">
      <c r="A92" s="30">
        <v>4</v>
      </c>
      <c r="B92" s="27" t="s">
        <v>98</v>
      </c>
      <c r="C92" s="30" t="s">
        <v>93</v>
      </c>
      <c r="D92" s="31">
        <v>20</v>
      </c>
      <c r="E92" s="31">
        <f>22+6</f>
        <v>28</v>
      </c>
      <c r="F92" s="31">
        <v>26</v>
      </c>
      <c r="G92" s="31">
        <f t="shared" si="44"/>
        <v>26</v>
      </c>
      <c r="H92" s="31">
        <f t="shared" si="42"/>
        <v>92.857142857142861</v>
      </c>
      <c r="I92" s="31"/>
      <c r="J92" s="55"/>
      <c r="K92" s="79"/>
      <c r="L92" s="55"/>
      <c r="M92" s="55"/>
      <c r="N92" s="55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ht="31.5" customHeight="1" x14ac:dyDescent="0.25">
      <c r="A93" s="30">
        <v>5</v>
      </c>
      <c r="B93" s="27" t="s">
        <v>99</v>
      </c>
      <c r="C93" s="30" t="s">
        <v>93</v>
      </c>
      <c r="D93" s="31">
        <v>907</v>
      </c>
      <c r="E93" s="31">
        <f>913-88</f>
        <v>825</v>
      </c>
      <c r="F93" s="31">
        <v>753</v>
      </c>
      <c r="G93" s="31">
        <f t="shared" si="44"/>
        <v>753</v>
      </c>
      <c r="H93" s="31">
        <f t="shared" si="42"/>
        <v>91.272727272727266</v>
      </c>
      <c r="I93" s="31"/>
      <c r="J93" s="79"/>
      <c r="K93" s="79"/>
      <c r="L93" s="198"/>
      <c r="M93" s="55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1.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5">D95</f>
        <v>1.1000000000000001</v>
      </c>
      <c r="E94" s="17">
        <f t="shared" si="45"/>
        <v>1.1000000000000001</v>
      </c>
      <c r="F94" s="17">
        <f t="shared" si="45"/>
        <v>1.1000000000000001</v>
      </c>
      <c r="G94" s="17">
        <f t="shared" si="45"/>
        <v>1.1000000000000001</v>
      </c>
      <c r="H94" s="17">
        <f t="shared" si="42"/>
        <v>100</v>
      </c>
      <c r="I94" s="17"/>
      <c r="J94" s="65"/>
      <c r="K94" s="65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6" t="s">
        <v>47</v>
      </c>
      <c r="B95" s="76" t="s">
        <v>102</v>
      </c>
      <c r="C95" s="46" t="s">
        <v>18</v>
      </c>
      <c r="D95" s="31">
        <v>1.1000000000000001</v>
      </c>
      <c r="E95" s="31">
        <v>1.1000000000000001</v>
      </c>
      <c r="F95" s="31">
        <v>1.1000000000000001</v>
      </c>
      <c r="G95" s="31">
        <v>1.1000000000000001</v>
      </c>
      <c r="H95" s="31">
        <f t="shared" si="42"/>
        <v>100</v>
      </c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6">D97+D98</f>
        <v>2.8</v>
      </c>
      <c r="E96" s="17">
        <f t="shared" si="46"/>
        <v>0.84999999999999987</v>
      </c>
      <c r="F96" s="17">
        <f t="shared" si="46"/>
        <v>0</v>
      </c>
      <c r="G96" s="17">
        <f t="shared" si="46"/>
        <v>0</v>
      </c>
      <c r="H96" s="17">
        <f t="shared" si="42"/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3" t="s">
        <v>263</v>
      </c>
      <c r="C97" s="46" t="s">
        <v>18</v>
      </c>
      <c r="D97" s="31"/>
      <c r="E97" s="31">
        <v>0.2</v>
      </c>
      <c r="F97" s="31"/>
      <c r="G97" s="31"/>
      <c r="H97" s="17">
        <f t="shared" si="42"/>
        <v>0</v>
      </c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23" t="s">
        <v>47</v>
      </c>
      <c r="B98" s="93" t="s">
        <v>109</v>
      </c>
      <c r="C98" s="46" t="s">
        <v>18</v>
      </c>
      <c r="D98" s="31">
        <v>2.8</v>
      </c>
      <c r="E98" s="31">
        <f>1.9-1.25</f>
        <v>0.64999999999999991</v>
      </c>
      <c r="F98" s="31"/>
      <c r="G98" s="31"/>
      <c r="H98" s="17">
        <f t="shared" si="42"/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1181102362204722" bottom="0.43307086614173229" header="0" footer="0"/>
  <pageSetup scale="85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21875" customWidth="1"/>
    <col min="2" max="2" width="29.109375" customWidth="1"/>
    <col min="3" max="3" width="8.5546875" customWidth="1"/>
    <col min="4" max="4" width="17.44140625" customWidth="1"/>
    <col min="5" max="5" width="17.6640625" customWidth="1"/>
    <col min="6" max="9" width="12.6640625" customWidth="1"/>
    <col min="10" max="10" width="8.88671875" customWidth="1"/>
    <col min="11" max="11" width="18.88671875" customWidth="1"/>
    <col min="12" max="14" width="8.88671875" customWidth="1"/>
    <col min="15" max="25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 t="s">
        <v>282</v>
      </c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283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'KON PIA(16)'!A5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60">
        <v>68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99">
        <v>352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120.07</v>
      </c>
      <c r="E9" s="17">
        <f t="shared" si="0"/>
        <v>126.14</v>
      </c>
      <c r="F9" s="17">
        <f t="shared" si="0"/>
        <v>107.50999999999999</v>
      </c>
      <c r="G9" s="17">
        <f t="shared" si="0"/>
        <v>107.50999999999999</v>
      </c>
      <c r="H9" s="17">
        <f t="shared" ref="H9:H23" si="1">F9/E9*100</f>
        <v>85.230696052005712</v>
      </c>
      <c r="I9" s="17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10.02</v>
      </c>
      <c r="F10" s="17">
        <f t="shared" si="2"/>
        <v>1.52</v>
      </c>
      <c r="G10" s="17">
        <f t="shared" si="2"/>
        <v>1.52</v>
      </c>
      <c r="H10" s="17">
        <f t="shared" si="1"/>
        <v>15.169660678642716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30.871770000000001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133"/>
      <c r="K11" s="133"/>
      <c r="L11" s="133"/>
      <c r="M11" s="133"/>
      <c r="N11" s="133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27.18177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133"/>
      <c r="K12" s="133"/>
      <c r="L12" s="133"/>
      <c r="M12" s="133"/>
      <c r="N12" s="133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9.02</v>
      </c>
      <c r="F13" s="17">
        <f t="shared" si="5"/>
        <v>0.52</v>
      </c>
      <c r="G13" s="17">
        <f t="shared" si="5"/>
        <v>0.52</v>
      </c>
      <c r="H13" s="17">
        <f t="shared" si="1"/>
        <v>5.7649667405764973</v>
      </c>
      <c r="I13" s="17"/>
      <c r="J13" s="126"/>
      <c r="K13" s="126"/>
      <c r="L13" s="126"/>
      <c r="M13" s="126"/>
      <c r="N13" s="12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27.18177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0.52</v>
      </c>
      <c r="F16" s="17">
        <v>0.52</v>
      </c>
      <c r="G16" s="17">
        <v>0.52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1.7420000000000002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8.5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28"/>
      <c r="O19" s="2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26.770000000000003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28"/>
      <c r="M20" s="28"/>
      <c r="N20" s="28"/>
      <c r="O20" s="2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22.7545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28"/>
      <c r="M21" s="28"/>
      <c r="N21" s="28"/>
      <c r="O21" s="2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1" t="s">
        <v>33</v>
      </c>
      <c r="C22" s="40" t="s">
        <v>18</v>
      </c>
      <c r="D22" s="17"/>
      <c r="E22" s="96">
        <v>6</v>
      </c>
      <c r="F22" s="96">
        <v>0</v>
      </c>
      <c r="G22" s="96">
        <v>0</v>
      </c>
      <c r="H22" s="17">
        <f t="shared" si="1"/>
        <v>0</v>
      </c>
      <c r="I22" s="17"/>
      <c r="J22" s="53"/>
      <c r="K22" s="53"/>
      <c r="L22" s="53"/>
      <c r="M22" s="53"/>
      <c r="N22" s="53"/>
      <c r="O22" s="33"/>
      <c r="P22" s="33"/>
      <c r="Q22" s="153"/>
      <c r="R22" s="153"/>
      <c r="S22" s="153"/>
      <c r="T22" s="153"/>
      <c r="U22" s="1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3"/>
      <c r="K23" s="53"/>
      <c r="L23" s="53"/>
      <c r="M23" s="53"/>
      <c r="N23" s="53"/>
      <c r="O23" s="33"/>
      <c r="P23" s="33"/>
      <c r="Q23" s="153"/>
      <c r="R23" s="153"/>
      <c r="S23" s="153"/>
      <c r="T23" s="153"/>
      <c r="U23" s="1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/>
      <c r="E24" s="31"/>
      <c r="F24" s="31"/>
      <c r="G24" s="31"/>
      <c r="H24" s="17"/>
      <c r="I24" s="31"/>
      <c r="J24" s="53"/>
      <c r="K24" s="53"/>
      <c r="L24" s="53"/>
      <c r="M24" s="53"/>
      <c r="N24" s="53"/>
      <c r="O24" s="33"/>
      <c r="P24" s="33"/>
      <c r="Q24" s="153"/>
      <c r="R24" s="153"/>
      <c r="S24" s="153"/>
      <c r="T24" s="153"/>
      <c r="U24" s="1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1" t="s">
        <v>34</v>
      </c>
      <c r="C25" s="40" t="s">
        <v>18</v>
      </c>
      <c r="D25" s="17"/>
      <c r="E25" s="96">
        <v>2.5</v>
      </c>
      <c r="F25" s="96">
        <v>0</v>
      </c>
      <c r="G25" s="96">
        <v>0</v>
      </c>
      <c r="H25" s="17">
        <f t="shared" ref="H25:H30" si="12">F25/E25*100</f>
        <v>0</v>
      </c>
      <c r="I25" s="17"/>
      <c r="J25" s="53"/>
      <c r="K25" s="53"/>
      <c r="L25" s="53"/>
      <c r="M25" s="53"/>
      <c r="N25" s="53"/>
      <c r="O25" s="33"/>
      <c r="P25" s="33"/>
      <c r="Q25" s="153"/>
      <c r="R25" s="153"/>
      <c r="S25" s="153"/>
      <c r="T25" s="153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>
        <f t="shared" si="12"/>
        <v>0</v>
      </c>
      <c r="I26" s="31"/>
      <c r="J26" s="53"/>
      <c r="K26" s="53"/>
      <c r="L26" s="53"/>
      <c r="M26" s="53"/>
      <c r="N26" s="53"/>
      <c r="O26" s="33"/>
      <c r="P26" s="33"/>
      <c r="Q26" s="153"/>
      <c r="R26" s="153"/>
      <c r="S26" s="153"/>
      <c r="T26" s="153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>
        <f t="shared" ref="D27:G27" si="13">D25*D26/10</f>
        <v>0</v>
      </c>
      <c r="E27" s="31">
        <f t="shared" si="13"/>
        <v>3.8</v>
      </c>
      <c r="F27" s="31">
        <f t="shared" si="13"/>
        <v>0</v>
      </c>
      <c r="G27" s="31">
        <f t="shared" si="13"/>
        <v>0</v>
      </c>
      <c r="H27" s="17">
        <f t="shared" si="12"/>
        <v>0</v>
      </c>
      <c r="I27" s="31"/>
      <c r="J27" s="53"/>
      <c r="K27" s="53"/>
      <c r="L27" s="53"/>
      <c r="M27" s="53"/>
      <c r="N27" s="53"/>
      <c r="O27" s="33"/>
      <c r="P27" s="33"/>
      <c r="Q27" s="153"/>
      <c r="R27" s="153"/>
      <c r="S27" s="153"/>
      <c r="T27" s="153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4">D31+D34</f>
        <v>1</v>
      </c>
      <c r="E28" s="17">
        <f t="shared" si="14"/>
        <v>1</v>
      </c>
      <c r="F28" s="17">
        <f t="shared" si="14"/>
        <v>1</v>
      </c>
      <c r="G28" s="17">
        <f t="shared" si="14"/>
        <v>1</v>
      </c>
      <c r="H28" s="17">
        <f t="shared" si="12"/>
        <v>100</v>
      </c>
      <c r="I28" s="17"/>
      <c r="J28" s="154"/>
      <c r="K28" s="154"/>
      <c r="L28" s="154"/>
      <c r="M28" s="154"/>
      <c r="N28" s="154"/>
      <c r="O28" s="153"/>
      <c r="P28" s="153"/>
      <c r="Q28" s="153"/>
      <c r="R28" s="153"/>
      <c r="S28" s="153"/>
      <c r="T28" s="153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G29" si="15">D35</f>
        <v>36.85</v>
      </c>
      <c r="E29" s="31">
        <f t="shared" si="15"/>
        <v>36.9</v>
      </c>
      <c r="F29" s="31">
        <f t="shared" si="15"/>
        <v>0</v>
      </c>
      <c r="G29" s="31">
        <f t="shared" si="15"/>
        <v>0</v>
      </c>
      <c r="H29" s="17">
        <f t="shared" si="12"/>
        <v>0</v>
      </c>
      <c r="I29" s="31"/>
      <c r="J29" s="154"/>
      <c r="K29" s="154"/>
      <c r="L29" s="154"/>
      <c r="M29" s="154"/>
      <c r="N29" s="154"/>
      <c r="O29" s="153"/>
      <c r="P29" s="153"/>
      <c r="Q29" s="153"/>
      <c r="R29" s="153"/>
      <c r="S29" s="153"/>
      <c r="T29" s="153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6">D28*D29/10</f>
        <v>3.6850000000000001</v>
      </c>
      <c r="E30" s="31">
        <f t="shared" si="16"/>
        <v>3.69</v>
      </c>
      <c r="F30" s="31">
        <f t="shared" si="16"/>
        <v>0</v>
      </c>
      <c r="G30" s="31">
        <f t="shared" si="16"/>
        <v>0</v>
      </c>
      <c r="H30" s="17">
        <f t="shared" si="12"/>
        <v>0</v>
      </c>
      <c r="I30" s="31"/>
      <c r="J30" s="154"/>
      <c r="K30" s="154"/>
      <c r="L30" s="154"/>
      <c r="M30" s="154"/>
      <c r="N30" s="154"/>
      <c r="O30" s="153"/>
      <c r="P30" s="153"/>
      <c r="Q30" s="153"/>
      <c r="R30" s="153"/>
      <c r="S30" s="153"/>
      <c r="T30" s="153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7"/>
      <c r="I31" s="17"/>
      <c r="J31" s="154"/>
      <c r="K31" s="137"/>
      <c r="L31" s="155"/>
      <c r="M31" s="155"/>
      <c r="N31" s="155"/>
      <c r="O31" s="155"/>
      <c r="P31" s="153"/>
      <c r="Q31" s="153"/>
      <c r="R31" s="153"/>
      <c r="S31" s="153"/>
      <c r="T31" s="153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154"/>
      <c r="K32" s="137"/>
      <c r="L32" s="155"/>
      <c r="M32" s="155"/>
      <c r="N32" s="155"/>
      <c r="O32" s="155"/>
      <c r="P32" s="153"/>
      <c r="Q32" s="153"/>
      <c r="R32" s="153"/>
      <c r="S32" s="153"/>
      <c r="T32" s="153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154"/>
      <c r="K33" s="137"/>
      <c r="L33" s="155"/>
      <c r="M33" s="155"/>
      <c r="N33" s="155"/>
      <c r="O33" s="155"/>
      <c r="P33" s="153"/>
      <c r="Q33" s="153"/>
      <c r="R33" s="153"/>
      <c r="S33" s="153"/>
      <c r="T33" s="153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7">
        <f t="shared" ref="H34:H53" si="17">F34/E34*100</f>
        <v>100</v>
      </c>
      <c r="I34" s="31"/>
      <c r="J34" s="154"/>
      <c r="K34" s="44"/>
      <c r="L34" s="44"/>
      <c r="M34" s="44"/>
      <c r="N34" s="44"/>
      <c r="O34" s="44"/>
      <c r="P34" s="153"/>
      <c r="Q34" s="153"/>
      <c r="R34" s="153"/>
      <c r="S34" s="153"/>
      <c r="T34" s="153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7"/>
        <v>0</v>
      </c>
      <c r="I35" s="31"/>
      <c r="J35" s="154"/>
      <c r="K35" s="44"/>
      <c r="L35" s="44"/>
      <c r="M35" s="44"/>
      <c r="N35" s="44"/>
      <c r="O35" s="44"/>
      <c r="P35" s="153"/>
      <c r="Q35" s="153"/>
      <c r="R35" s="153"/>
      <c r="S35" s="153"/>
      <c r="T35" s="153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8">D34*D35/10</f>
        <v>3.6850000000000001</v>
      </c>
      <c r="E36" s="31">
        <f t="shared" si="18"/>
        <v>3.69</v>
      </c>
      <c r="F36" s="31">
        <f t="shared" si="18"/>
        <v>0</v>
      </c>
      <c r="G36" s="31">
        <f t="shared" si="18"/>
        <v>0</v>
      </c>
      <c r="H36" s="17">
        <f t="shared" si="17"/>
        <v>0</v>
      </c>
      <c r="I36" s="31"/>
      <c r="J36" s="154"/>
      <c r="K36" s="44"/>
      <c r="L36" s="44"/>
      <c r="M36" s="44"/>
      <c r="N36" s="44"/>
      <c r="O36" s="44"/>
      <c r="P36" s="153"/>
      <c r="Q36" s="153"/>
      <c r="R36" s="153"/>
      <c r="S36" s="153"/>
      <c r="T36" s="153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76.8</v>
      </c>
      <c r="E37" s="17">
        <v>67.650000000000006</v>
      </c>
      <c r="F37" s="17">
        <v>67.650000000000006</v>
      </c>
      <c r="G37" s="17">
        <v>67.650000000000006</v>
      </c>
      <c r="H37" s="17">
        <f t="shared" si="17"/>
        <v>100</v>
      </c>
      <c r="I37" s="17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33"/>
      <c r="X37" s="33"/>
      <c r="Y37" s="33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7"/>
        <v>0</v>
      </c>
      <c r="I38" s="31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33"/>
      <c r="X38" s="33"/>
      <c r="Y38" s="33"/>
      <c r="Z38" s="1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19">D37*D38/10</f>
        <v>1056</v>
      </c>
      <c r="E39" s="31">
        <f t="shared" si="19"/>
        <v>947.1</v>
      </c>
      <c r="F39" s="31">
        <f t="shared" si="19"/>
        <v>0</v>
      </c>
      <c r="G39" s="31">
        <f t="shared" si="19"/>
        <v>0</v>
      </c>
      <c r="H39" s="17">
        <f t="shared" si="17"/>
        <v>0</v>
      </c>
      <c r="I39" s="31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33"/>
      <c r="X39" s="33"/>
      <c r="Y39" s="33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>
        <v>0.5</v>
      </c>
      <c r="E40" s="17">
        <v>0.5</v>
      </c>
      <c r="F40" s="17">
        <v>0</v>
      </c>
      <c r="G40" s="17">
        <v>0</v>
      </c>
      <c r="H40" s="17">
        <f t="shared" si="17"/>
        <v>0</v>
      </c>
      <c r="I40" s="31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33"/>
      <c r="X40" s="33"/>
      <c r="Y40" s="33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>
        <v>25</v>
      </c>
      <c r="E41" s="31">
        <v>24.1</v>
      </c>
      <c r="F41" s="31"/>
      <c r="G41" s="31"/>
      <c r="H41" s="17">
        <f t="shared" si="17"/>
        <v>0</v>
      </c>
      <c r="I41" s="31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33"/>
      <c r="X41" s="33"/>
      <c r="Y41" s="33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>
        <f t="shared" ref="D42:G42" si="20">D40*D41/10</f>
        <v>1.25</v>
      </c>
      <c r="E42" s="31">
        <f t="shared" si="20"/>
        <v>1.2050000000000001</v>
      </c>
      <c r="F42" s="31">
        <f t="shared" si="20"/>
        <v>0</v>
      </c>
      <c r="G42" s="31">
        <f t="shared" si="20"/>
        <v>0</v>
      </c>
      <c r="H42" s="17">
        <f t="shared" si="17"/>
        <v>0</v>
      </c>
      <c r="I42" s="31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33"/>
      <c r="X42" s="33"/>
      <c r="Y42" s="33"/>
      <c r="Z42" s="1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si="17"/>
        <v>54</v>
      </c>
      <c r="I43" s="17"/>
      <c r="J43" s="126"/>
      <c r="K43" s="35"/>
      <c r="L43" s="79"/>
      <c r="M43" s="79"/>
      <c r="N43" s="79"/>
      <c r="O43" s="7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17"/>
        <v>0</v>
      </c>
      <c r="I44" s="31"/>
      <c r="J44" s="126"/>
      <c r="K44" s="35"/>
      <c r="L44" s="28"/>
      <c r="M44" s="28"/>
      <c r="N44" s="28"/>
      <c r="O44" s="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7" t="s">
        <v>27</v>
      </c>
      <c r="C45" s="48" t="s">
        <v>21</v>
      </c>
      <c r="D45" s="31">
        <f t="shared" ref="D45:G45" si="21">D43*D44/10</f>
        <v>5</v>
      </c>
      <c r="E45" s="31">
        <f t="shared" si="21"/>
        <v>4.9249999999999998</v>
      </c>
      <c r="F45" s="31">
        <f t="shared" si="21"/>
        <v>0</v>
      </c>
      <c r="G45" s="31">
        <f t="shared" si="21"/>
        <v>0</v>
      </c>
      <c r="H45" s="17">
        <f t="shared" si="17"/>
        <v>0</v>
      </c>
      <c r="I45" s="31"/>
      <c r="J45" s="126"/>
      <c r="K45" s="126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2">D47+D55+D64</f>
        <v>19.87</v>
      </c>
      <c r="E46" s="17">
        <f t="shared" si="22"/>
        <v>28.97</v>
      </c>
      <c r="F46" s="17">
        <f t="shared" si="22"/>
        <v>19.27</v>
      </c>
      <c r="G46" s="17">
        <f t="shared" si="22"/>
        <v>19.27</v>
      </c>
      <c r="H46" s="17">
        <f t="shared" si="17"/>
        <v>66.517086641353131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3">D48+D49</f>
        <v>8.56</v>
      </c>
      <c r="E47" s="17">
        <f t="shared" si="23"/>
        <v>17.66</v>
      </c>
      <c r="F47" s="17">
        <f t="shared" si="23"/>
        <v>8.56</v>
      </c>
      <c r="G47" s="17">
        <f t="shared" si="23"/>
        <v>8.56</v>
      </c>
      <c r="H47" s="17">
        <f t="shared" si="17"/>
        <v>48.471121177802942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7" t="s">
        <v>32</v>
      </c>
      <c r="B48" s="58" t="s">
        <v>45</v>
      </c>
      <c r="C48" s="59" t="s">
        <v>18</v>
      </c>
      <c r="D48" s="31">
        <v>7.5</v>
      </c>
      <c r="E48" s="31">
        <f>D48+D49</f>
        <v>8.56</v>
      </c>
      <c r="F48" s="31">
        <v>8.56</v>
      </c>
      <c r="G48" s="31">
        <v>8.56</v>
      </c>
      <c r="H48" s="31">
        <f t="shared" si="17"/>
        <v>100</v>
      </c>
      <c r="I48" s="31"/>
      <c r="J48" s="53"/>
      <c r="K48" s="53"/>
      <c r="L48" s="53"/>
      <c r="M48" s="53"/>
      <c r="N48" s="53"/>
      <c r="O48" s="3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4">D50+D51</f>
        <v>1.06</v>
      </c>
      <c r="E49" s="17">
        <f t="shared" si="24"/>
        <v>9.1</v>
      </c>
      <c r="F49" s="17">
        <f t="shared" si="24"/>
        <v>0</v>
      </c>
      <c r="G49" s="17">
        <f t="shared" si="24"/>
        <v>0</v>
      </c>
      <c r="H49" s="17">
        <f t="shared" si="17"/>
        <v>0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59" t="s">
        <v>47</v>
      </c>
      <c r="B50" s="64" t="s">
        <v>48</v>
      </c>
      <c r="C50" s="59" t="s">
        <v>18</v>
      </c>
      <c r="D50" s="31"/>
      <c r="E50" s="31">
        <f>6.6</f>
        <v>6.6</v>
      </c>
      <c r="F50" s="31">
        <v>0</v>
      </c>
      <c r="G50" s="31">
        <v>0</v>
      </c>
      <c r="H50" s="17">
        <f t="shared" si="17"/>
        <v>0</v>
      </c>
      <c r="I50" s="31"/>
      <c r="J50" s="126"/>
      <c r="K50" s="126"/>
      <c r="L50" s="126"/>
      <c r="M50" s="126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59" t="s">
        <v>47</v>
      </c>
      <c r="B51" s="64" t="s">
        <v>49</v>
      </c>
      <c r="C51" s="30" t="s">
        <v>18</v>
      </c>
      <c r="D51" s="31">
        <f>0.86+0.2</f>
        <v>1.06</v>
      </c>
      <c r="E51" s="31">
        <f>2+0.5</f>
        <v>2.5</v>
      </c>
      <c r="F51" s="31">
        <v>0</v>
      </c>
      <c r="G51" s="31">
        <v>0</v>
      </c>
      <c r="H51" s="17">
        <f t="shared" si="17"/>
        <v>0</v>
      </c>
      <c r="I51" s="31"/>
      <c r="J51" s="126"/>
      <c r="K51" s="126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5">D53+D54</f>
        <v>4.88</v>
      </c>
      <c r="E52" s="17">
        <f t="shared" si="25"/>
        <v>6.375</v>
      </c>
      <c r="F52" s="17">
        <f t="shared" si="25"/>
        <v>6.38</v>
      </c>
      <c r="G52" s="17">
        <f t="shared" si="25"/>
        <v>6.38</v>
      </c>
      <c r="H52" s="17">
        <f t="shared" si="17"/>
        <v>100.07843137254902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66" t="s">
        <v>47</v>
      </c>
      <c r="B53" s="64" t="s">
        <v>51</v>
      </c>
      <c r="C53" s="30" t="s">
        <v>18</v>
      </c>
      <c r="D53" s="31">
        <v>4.88</v>
      </c>
      <c r="E53" s="31">
        <f>D48*85%</f>
        <v>6.375</v>
      </c>
      <c r="F53" s="31">
        <v>6.38</v>
      </c>
      <c r="G53" s="31">
        <v>6.38</v>
      </c>
      <c r="H53" s="31">
        <f t="shared" si="17"/>
        <v>100.07843137254902</v>
      </c>
      <c r="I53" s="31"/>
      <c r="J53" s="126"/>
      <c r="K53" s="126"/>
      <c r="L53" s="135"/>
      <c r="M53" s="126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4" t="s">
        <v>52</v>
      </c>
      <c r="C54" s="30" t="s">
        <v>18</v>
      </c>
      <c r="D54" s="31"/>
      <c r="E54" s="31"/>
      <c r="F54" s="31"/>
      <c r="G54" s="31"/>
      <c r="H54" s="17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6">D56+D57</f>
        <v>5.56</v>
      </c>
      <c r="E55" s="17">
        <f t="shared" si="26"/>
        <v>5.5600000000000005</v>
      </c>
      <c r="F55" s="17">
        <f t="shared" si="26"/>
        <v>4.96</v>
      </c>
      <c r="G55" s="17">
        <f t="shared" si="26"/>
        <v>4.96</v>
      </c>
      <c r="H55" s="17">
        <f t="shared" ref="H55:H65" si="27">F55/E55*100</f>
        <v>89.208633093525165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58" t="s">
        <v>50</v>
      </c>
      <c r="C56" s="30" t="s">
        <v>18</v>
      </c>
      <c r="D56" s="31">
        <v>4.5599999999999996</v>
      </c>
      <c r="E56" s="31">
        <f>D56+E58</f>
        <v>4.96</v>
      </c>
      <c r="F56" s="31">
        <v>4.96</v>
      </c>
      <c r="G56" s="31">
        <v>4.96</v>
      </c>
      <c r="H56" s="31">
        <f t="shared" si="27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8">D58+D61</f>
        <v>1</v>
      </c>
      <c r="E57" s="31">
        <f t="shared" si="28"/>
        <v>0.60000000000000009</v>
      </c>
      <c r="F57" s="31">
        <f t="shared" si="28"/>
        <v>0</v>
      </c>
      <c r="G57" s="31">
        <f t="shared" si="28"/>
        <v>0</v>
      </c>
      <c r="H57" s="17">
        <f t="shared" si="27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29">D59+D60</f>
        <v>0</v>
      </c>
      <c r="E58" s="71">
        <f t="shared" si="29"/>
        <v>0.4</v>
      </c>
      <c r="F58" s="71">
        <f t="shared" si="29"/>
        <v>0</v>
      </c>
      <c r="G58" s="71">
        <f t="shared" si="29"/>
        <v>0</v>
      </c>
      <c r="H58" s="17">
        <f t="shared" si="27"/>
        <v>0</v>
      </c>
      <c r="I58" s="71"/>
      <c r="J58" s="138"/>
      <c r="K58" s="97"/>
      <c r="L58" s="97"/>
      <c r="M58" s="97"/>
      <c r="N58" s="97"/>
      <c r="O58" s="97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1.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7">
        <f t="shared" si="27"/>
        <v>0</v>
      </c>
      <c r="I59" s="31"/>
      <c r="J59" s="35"/>
      <c r="K59" s="137"/>
      <c r="L59" s="137"/>
      <c r="M59" s="137"/>
      <c r="N59" s="137"/>
      <c r="O59" s="13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0.2</v>
      </c>
      <c r="F60" s="31">
        <v>0</v>
      </c>
      <c r="G60" s="31">
        <v>0</v>
      </c>
      <c r="H60" s="17">
        <f t="shared" si="27"/>
        <v>0</v>
      </c>
      <c r="I60" s="31"/>
      <c r="J60" s="35"/>
      <c r="K60" s="137"/>
      <c r="L60" s="137"/>
      <c r="M60" s="137"/>
      <c r="N60" s="137"/>
      <c r="O60" s="13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0">D62+D63</f>
        <v>1</v>
      </c>
      <c r="E61" s="71">
        <f t="shared" si="30"/>
        <v>0.2</v>
      </c>
      <c r="F61" s="71">
        <f t="shared" si="30"/>
        <v>0</v>
      </c>
      <c r="G61" s="71">
        <f t="shared" si="30"/>
        <v>0</v>
      </c>
      <c r="H61" s="17">
        <f t="shared" si="27"/>
        <v>0</v>
      </c>
      <c r="I61" s="71"/>
      <c r="J61" s="35"/>
      <c r="K61" s="97"/>
      <c r="L61" s="138"/>
      <c r="M61" s="138"/>
      <c r="N61" s="138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1.5" customHeight="1" x14ac:dyDescent="0.25">
      <c r="A62" s="30" t="s">
        <v>47</v>
      </c>
      <c r="B62" s="58" t="s">
        <v>61</v>
      </c>
      <c r="C62" s="30" t="s">
        <v>18</v>
      </c>
      <c r="D62" s="31">
        <v>1</v>
      </c>
      <c r="E62" s="31">
        <v>0.1</v>
      </c>
      <c r="F62" s="31">
        <v>0</v>
      </c>
      <c r="G62" s="31">
        <v>0</v>
      </c>
      <c r="H62" s="17">
        <f t="shared" si="27"/>
        <v>0</v>
      </c>
      <c r="I62" s="31"/>
      <c r="J62" s="35"/>
      <c r="K62" s="137"/>
      <c r="L62" s="137"/>
      <c r="M62" s="137"/>
      <c r="N62" s="137"/>
      <c r="O62" s="13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7"/>
        <v>0</v>
      </c>
      <c r="I63" s="31"/>
      <c r="J63" s="35"/>
      <c r="K63" s="137"/>
      <c r="L63" s="137"/>
      <c r="M63" s="137"/>
      <c r="N63" s="137"/>
      <c r="O63" s="13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1">D65+D66</f>
        <v>5.75</v>
      </c>
      <c r="E64" s="17">
        <f t="shared" si="31"/>
        <v>5.75</v>
      </c>
      <c r="F64" s="17">
        <f t="shared" si="31"/>
        <v>5.75</v>
      </c>
      <c r="G64" s="17">
        <f t="shared" si="31"/>
        <v>5.75</v>
      </c>
      <c r="H64" s="17">
        <f t="shared" si="27"/>
        <v>100</v>
      </c>
      <c r="I64" s="17"/>
      <c r="J64" s="126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58" t="s">
        <v>45</v>
      </c>
      <c r="C65" s="30" t="s">
        <v>18</v>
      </c>
      <c r="D65" s="31">
        <v>5.75</v>
      </c>
      <c r="E65" s="31">
        <v>5.75</v>
      </c>
      <c r="F65" s="31">
        <v>5.75</v>
      </c>
      <c r="G65" s="31">
        <v>5.75</v>
      </c>
      <c r="H65" s="31">
        <f t="shared" si="27"/>
        <v>100</v>
      </c>
      <c r="I65" s="31"/>
      <c r="J65" s="126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2">D68+D71</f>
        <v>21.9</v>
      </c>
      <c r="E67" s="17">
        <f t="shared" si="32"/>
        <v>19</v>
      </c>
      <c r="F67" s="17">
        <f t="shared" si="32"/>
        <v>18.8</v>
      </c>
      <c r="G67" s="17">
        <f t="shared" si="32"/>
        <v>18.8</v>
      </c>
      <c r="H67" s="17">
        <f>F67/E67*100</f>
        <v>98.947368421052644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3">D69+D70</f>
        <v>0</v>
      </c>
      <c r="E68" s="17">
        <f t="shared" si="33"/>
        <v>0</v>
      </c>
      <c r="F68" s="17">
        <f t="shared" si="33"/>
        <v>0</v>
      </c>
      <c r="G68" s="17">
        <f t="shared" si="33"/>
        <v>0</v>
      </c>
      <c r="H68" s="17"/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58" t="s">
        <v>69</v>
      </c>
      <c r="C69" s="30" t="s">
        <v>18</v>
      </c>
      <c r="D69" s="31"/>
      <c r="E69" s="31"/>
      <c r="F69" s="31"/>
      <c r="G69" s="31"/>
      <c r="H69" s="17"/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58" t="s">
        <v>70</v>
      </c>
      <c r="C70" s="30" t="s">
        <v>18</v>
      </c>
      <c r="D70" s="31"/>
      <c r="E70" s="31"/>
      <c r="F70" s="31"/>
      <c r="G70" s="31"/>
      <c r="H70" s="17"/>
      <c r="I70" s="31"/>
      <c r="J70" s="126"/>
      <c r="K70" s="126"/>
      <c r="L70" s="126"/>
      <c r="M70" s="126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4">D72+D73</f>
        <v>21.9</v>
      </c>
      <c r="E71" s="17">
        <f t="shared" si="34"/>
        <v>19</v>
      </c>
      <c r="F71" s="17">
        <f t="shared" si="34"/>
        <v>18.8</v>
      </c>
      <c r="G71" s="17">
        <f t="shared" si="34"/>
        <v>18.8</v>
      </c>
      <c r="H71" s="17">
        <f t="shared" ref="H71:H75" si="35">F71/E71*100</f>
        <v>98.947368421052644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6">D75+D82</f>
        <v>21.4</v>
      </c>
      <c r="E72" s="87">
        <f t="shared" si="36"/>
        <v>18.8</v>
      </c>
      <c r="F72" s="87">
        <f t="shared" si="36"/>
        <v>18.8</v>
      </c>
      <c r="G72" s="87">
        <f t="shared" si="36"/>
        <v>18.8</v>
      </c>
      <c r="H72" s="17">
        <f t="shared" si="35"/>
        <v>100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7">D76+D83</f>
        <v>0.5</v>
      </c>
      <c r="E73" s="17">
        <f t="shared" si="37"/>
        <v>0.2</v>
      </c>
      <c r="F73" s="17">
        <f t="shared" si="37"/>
        <v>0</v>
      </c>
      <c r="G73" s="17">
        <f t="shared" si="37"/>
        <v>0</v>
      </c>
      <c r="H73" s="17">
        <f t="shared" si="35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38">D75+D76</f>
        <v>17.8</v>
      </c>
      <c r="E74" s="91">
        <f t="shared" si="38"/>
        <v>15.8</v>
      </c>
      <c r="F74" s="91">
        <f t="shared" si="38"/>
        <v>15.8</v>
      </c>
      <c r="G74" s="91">
        <f t="shared" si="38"/>
        <v>15.8</v>
      </c>
      <c r="H74" s="96">
        <f t="shared" si="35"/>
        <v>100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7" t="s">
        <v>32</v>
      </c>
      <c r="B75" s="93" t="s">
        <v>45</v>
      </c>
      <c r="C75" s="30" t="s">
        <v>18</v>
      </c>
      <c r="D75" s="60">
        <f>11.34+5.96</f>
        <v>17.3</v>
      </c>
      <c r="E75" s="60">
        <f>17.8-2</f>
        <v>15.8</v>
      </c>
      <c r="F75" s="31">
        <v>15.8</v>
      </c>
      <c r="G75" s="31">
        <v>15.8</v>
      </c>
      <c r="H75" s="31">
        <f t="shared" si="35"/>
        <v>100</v>
      </c>
      <c r="I75" s="31"/>
      <c r="J75" s="126"/>
      <c r="K75" s="126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39">SUM(D77:D80)</f>
        <v>0.5</v>
      </c>
      <c r="E76" s="141">
        <f t="shared" si="39"/>
        <v>0</v>
      </c>
      <c r="F76" s="141">
        <f t="shared" si="39"/>
        <v>0</v>
      </c>
      <c r="G76" s="141">
        <f t="shared" si="39"/>
        <v>0</v>
      </c>
      <c r="H76" s="17"/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6" t="s">
        <v>47</v>
      </c>
      <c r="B77" s="94" t="s">
        <v>80</v>
      </c>
      <c r="C77" s="46" t="s">
        <v>18</v>
      </c>
      <c r="D77" s="31"/>
      <c r="E77" s="31"/>
      <c r="F77" s="31"/>
      <c r="G77" s="31"/>
      <c r="H77" s="17"/>
      <c r="I77" s="31"/>
      <c r="J77" s="138"/>
      <c r="K77" s="138"/>
      <c r="L77" s="97"/>
      <c r="M77" s="143"/>
      <c r="N77" s="143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6" t="s">
        <v>47</v>
      </c>
      <c r="B78" s="94" t="s">
        <v>81</v>
      </c>
      <c r="C78" s="46" t="s">
        <v>18</v>
      </c>
      <c r="D78" s="31"/>
      <c r="E78" s="31">
        <v>0</v>
      </c>
      <c r="F78" s="31"/>
      <c r="G78" s="31"/>
      <c r="H78" s="17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17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6" t="s">
        <v>47</v>
      </c>
      <c r="B80" s="144" t="s">
        <v>83</v>
      </c>
      <c r="C80" s="46" t="s">
        <v>18</v>
      </c>
      <c r="D80" s="31">
        <v>0.5</v>
      </c>
      <c r="E80" s="31"/>
      <c r="F80" s="31"/>
      <c r="G80" s="31"/>
      <c r="H80" s="17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0">D82+D83</f>
        <v>4.0999999999999996</v>
      </c>
      <c r="E81" s="91">
        <f t="shared" si="40"/>
        <v>3.2</v>
      </c>
      <c r="F81" s="91">
        <f t="shared" si="40"/>
        <v>3</v>
      </c>
      <c r="G81" s="91">
        <f t="shared" si="40"/>
        <v>3</v>
      </c>
      <c r="H81" s="96">
        <f t="shared" ref="H81:H83" si="41">F81/E81*100</f>
        <v>93.75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1.5" customHeight="1" x14ac:dyDescent="0.25">
      <c r="A82" s="107" t="s">
        <v>47</v>
      </c>
      <c r="B82" s="94" t="s">
        <v>85</v>
      </c>
      <c r="C82" s="46" t="s">
        <v>18</v>
      </c>
      <c r="D82" s="71">
        <v>4.0999999999999996</v>
      </c>
      <c r="E82" s="71">
        <v>3</v>
      </c>
      <c r="F82" s="71">
        <v>3</v>
      </c>
      <c r="G82" s="71">
        <v>3</v>
      </c>
      <c r="H82" s="71">
        <f t="shared" si="41"/>
        <v>100</v>
      </c>
      <c r="I82" s="71"/>
      <c r="J82" s="138"/>
      <c r="K82" s="138"/>
      <c r="L82" s="143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1.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2">SUM(D84:D87)</f>
        <v>0</v>
      </c>
      <c r="E83" s="60">
        <f t="shared" si="42"/>
        <v>0.2</v>
      </c>
      <c r="F83" s="60">
        <f t="shared" si="42"/>
        <v>0</v>
      </c>
      <c r="G83" s="60">
        <f t="shared" si="42"/>
        <v>0</v>
      </c>
      <c r="H83" s="17">
        <f t="shared" si="41"/>
        <v>0</v>
      </c>
      <c r="I83" s="60"/>
      <c r="J83" s="138"/>
      <c r="K83" s="138"/>
      <c r="L83" s="138"/>
      <c r="M83" s="138"/>
      <c r="N83" s="13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7"/>
      <c r="I84" s="31"/>
      <c r="J84" s="97"/>
      <c r="K84" s="97"/>
      <c r="L84" s="97"/>
      <c r="M84" s="97"/>
      <c r="N84" s="9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7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7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07" t="s">
        <v>47</v>
      </c>
      <c r="B87" s="94" t="s">
        <v>89</v>
      </c>
      <c r="C87" s="46" t="s">
        <v>18</v>
      </c>
      <c r="D87" s="31"/>
      <c r="E87" s="31">
        <v>0.2</v>
      </c>
      <c r="F87" s="31">
        <v>0</v>
      </c>
      <c r="G87" s="31">
        <v>0</v>
      </c>
      <c r="H87" s="17">
        <f t="shared" ref="H87:H96" si="43">F87/E87*100</f>
        <v>0</v>
      </c>
      <c r="I87" s="31"/>
      <c r="J87" s="97"/>
      <c r="K87" s="97"/>
      <c r="L87" s="97"/>
      <c r="M87" s="143"/>
      <c r="N87" s="143"/>
      <c r="O87" s="38"/>
      <c r="P87" s="38"/>
      <c r="Q87" s="38"/>
      <c r="R87" s="38"/>
      <c r="S87" s="2"/>
      <c r="T87" s="2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4">SUM(D89:D93)</f>
        <v>473</v>
      </c>
      <c r="E88" s="17">
        <f t="shared" si="44"/>
        <v>524</v>
      </c>
      <c r="F88" s="17">
        <f t="shared" si="44"/>
        <v>470</v>
      </c>
      <c r="G88" s="17">
        <f t="shared" si="44"/>
        <v>470</v>
      </c>
      <c r="H88" s="17">
        <f t="shared" si="43"/>
        <v>89.694656488549612</v>
      </c>
      <c r="I88" s="17"/>
      <c r="J88" s="28"/>
      <c r="K88" s="28"/>
      <c r="L88" s="28"/>
      <c r="M88" s="28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42</v>
      </c>
      <c r="E89" s="31">
        <f>70+11</f>
        <v>81</v>
      </c>
      <c r="F89" s="31">
        <v>79</v>
      </c>
      <c r="G89" s="31">
        <f t="shared" ref="G89:G93" si="45">F89</f>
        <v>79</v>
      </c>
      <c r="H89" s="31">
        <f t="shared" si="43"/>
        <v>97.53086419753086</v>
      </c>
      <c r="I89" s="31"/>
      <c r="J89" s="55"/>
      <c r="K89" s="79"/>
      <c r="L89" s="200"/>
      <c r="M89" s="55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71</v>
      </c>
      <c r="E90" s="31">
        <f>75+12</f>
        <v>87</v>
      </c>
      <c r="F90" s="31">
        <v>85</v>
      </c>
      <c r="G90" s="31">
        <f t="shared" si="45"/>
        <v>85</v>
      </c>
      <c r="H90" s="31">
        <f t="shared" si="43"/>
        <v>97.701149425287355</v>
      </c>
      <c r="I90" s="31"/>
      <c r="J90" s="55"/>
      <c r="K90" s="79"/>
      <c r="L90" s="200"/>
      <c r="M90" s="55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41</v>
      </c>
      <c r="E91" s="31">
        <f>44+14</f>
        <v>58</v>
      </c>
      <c r="F91" s="31">
        <v>54</v>
      </c>
      <c r="G91" s="31">
        <f t="shared" si="45"/>
        <v>54</v>
      </c>
      <c r="H91" s="31">
        <f t="shared" si="43"/>
        <v>93.103448275862064</v>
      </c>
      <c r="I91" s="31"/>
      <c r="J91" s="55"/>
      <c r="K91" s="79"/>
      <c r="L91" s="200"/>
      <c r="M91" s="55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1.5" customHeight="1" x14ac:dyDescent="0.25">
      <c r="A92" s="30">
        <v>4</v>
      </c>
      <c r="B92" s="27" t="s">
        <v>98</v>
      </c>
      <c r="C92" s="30" t="s">
        <v>93</v>
      </c>
      <c r="D92" s="31">
        <v>7</v>
      </c>
      <c r="E92" s="31">
        <f>9+2</f>
        <v>11</v>
      </c>
      <c r="F92" s="31">
        <v>9</v>
      </c>
      <c r="G92" s="31">
        <f t="shared" si="45"/>
        <v>9</v>
      </c>
      <c r="H92" s="31">
        <f t="shared" si="43"/>
        <v>81.818181818181827</v>
      </c>
      <c r="I92" s="31"/>
      <c r="J92" s="55"/>
      <c r="K92" s="79"/>
      <c r="L92" s="55"/>
      <c r="M92" s="55"/>
      <c r="N92" s="55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ht="31.5" customHeight="1" x14ac:dyDescent="0.25">
      <c r="A93" s="30">
        <v>5</v>
      </c>
      <c r="B93" s="27" t="s">
        <v>99</v>
      </c>
      <c r="C93" s="30" t="s">
        <v>93</v>
      </c>
      <c r="D93" s="31">
        <v>312</v>
      </c>
      <c r="E93" s="31">
        <f>318-31</f>
        <v>287</v>
      </c>
      <c r="F93" s="31">
        <v>243</v>
      </c>
      <c r="G93" s="31">
        <f t="shared" si="45"/>
        <v>243</v>
      </c>
      <c r="H93" s="31">
        <f t="shared" si="43"/>
        <v>84.668989547038336</v>
      </c>
      <c r="I93" s="31"/>
      <c r="J93" s="79"/>
      <c r="K93" s="79"/>
      <c r="L93" s="198"/>
      <c r="M93" s="55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1.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6">D95</f>
        <v>3.5</v>
      </c>
      <c r="E94" s="17">
        <f t="shared" si="46"/>
        <v>3.5</v>
      </c>
      <c r="F94" s="17">
        <f t="shared" si="46"/>
        <v>3.5</v>
      </c>
      <c r="G94" s="17">
        <f t="shared" si="46"/>
        <v>3.5</v>
      </c>
      <c r="H94" s="17">
        <f t="shared" si="43"/>
        <v>100</v>
      </c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6" t="s">
        <v>47</v>
      </c>
      <c r="B95" s="76" t="s">
        <v>102</v>
      </c>
      <c r="C95" s="46" t="s">
        <v>18</v>
      </c>
      <c r="D95" s="31">
        <v>3.5</v>
      </c>
      <c r="E95" s="31">
        <v>3.5</v>
      </c>
      <c r="F95" s="31">
        <v>3.5</v>
      </c>
      <c r="G95" s="31">
        <v>3.5</v>
      </c>
      <c r="H95" s="31">
        <f t="shared" si="43"/>
        <v>100</v>
      </c>
      <c r="I95" s="31"/>
      <c r="J95" s="35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7">D97+D98</f>
        <v>5.6</v>
      </c>
      <c r="E96" s="17">
        <f t="shared" si="47"/>
        <v>3.55</v>
      </c>
      <c r="F96" s="17">
        <f t="shared" si="47"/>
        <v>0</v>
      </c>
      <c r="G96" s="17">
        <f t="shared" si="47"/>
        <v>0</v>
      </c>
      <c r="H96" s="17">
        <f t="shared" si="43"/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3" t="s">
        <v>263</v>
      </c>
      <c r="C97" s="46" t="s">
        <v>18</v>
      </c>
      <c r="D97" s="31"/>
      <c r="E97" s="31">
        <v>0</v>
      </c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23" t="s">
        <v>47</v>
      </c>
      <c r="B98" s="93" t="s">
        <v>109</v>
      </c>
      <c r="C98" s="46" t="s">
        <v>18</v>
      </c>
      <c r="D98" s="31">
        <v>5.6</v>
      </c>
      <c r="E98" s="31">
        <v>3.55</v>
      </c>
      <c r="F98" s="31"/>
      <c r="G98" s="31"/>
      <c r="H98" s="17">
        <f>F98/E98*100</f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62992125984251968" bottom="0.51181102362204722" header="0" footer="0"/>
  <pageSetup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pane ySplit="7" topLeftCell="A100" activePane="bottomLeft" state="frozen"/>
      <selection pane="bottomLeft" activeCell="S7" sqref="S7"/>
    </sheetView>
  </sheetViews>
  <sheetFormatPr defaultColWidth="11.21875" defaultRowHeight="15" customHeight="1" x14ac:dyDescent="0.25"/>
  <cols>
    <col min="1" max="1" width="4.88671875" customWidth="1"/>
    <col min="2" max="2" width="46.6640625" customWidth="1"/>
    <col min="3" max="3" width="9.21875" customWidth="1"/>
    <col min="4" max="4" width="10.88671875" customWidth="1"/>
    <col min="5" max="5" width="9.77734375" customWidth="1"/>
    <col min="6" max="9" width="9.21875" customWidth="1"/>
    <col min="10" max="10" width="8" customWidth="1"/>
    <col min="11" max="14" width="8.88671875" hidden="1" customWidth="1"/>
    <col min="15" max="17" width="11.21875" hidden="1"/>
    <col min="18" max="18" width="11.21875" customWidth="1"/>
  </cols>
  <sheetData>
    <row r="1" spans="1:24" ht="15.75" customHeight="1" x14ac:dyDescent="0.25">
      <c r="A1" s="325">
        <v>90</v>
      </c>
      <c r="B1" s="320"/>
      <c r="C1" s="201"/>
      <c r="D1" s="201"/>
      <c r="E1" s="201"/>
      <c r="F1" s="326"/>
      <c r="G1" s="320"/>
      <c r="H1" s="320"/>
      <c r="I1" s="320"/>
      <c r="J1" s="320"/>
      <c r="K1" s="202"/>
      <c r="L1" s="202"/>
      <c r="M1" s="202"/>
      <c r="N1" s="202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5" customHeight="1" x14ac:dyDescent="0.25">
      <c r="A2" s="327" t="s">
        <v>112</v>
      </c>
      <c r="B2" s="320"/>
      <c r="C2" s="320"/>
      <c r="D2" s="320"/>
      <c r="E2" s="320"/>
      <c r="F2" s="320"/>
      <c r="G2" s="320"/>
      <c r="H2" s="320"/>
      <c r="I2" s="320"/>
      <c r="J2" s="320"/>
      <c r="K2" s="202"/>
      <c r="L2" s="202"/>
      <c r="M2" s="202"/>
      <c r="N2" s="202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6.5" customHeight="1" x14ac:dyDescent="0.25">
      <c r="A3" s="326" t="str">
        <f>'PL 01'!A3:J3</f>
        <v>(Kèm theo Báo cáo số        /BC-UBND, Ngày      tháng 6 năm 2026 của UBND xã Tu Mơ Rông)</v>
      </c>
      <c r="B3" s="320"/>
      <c r="C3" s="320"/>
      <c r="D3" s="320"/>
      <c r="E3" s="320"/>
      <c r="F3" s="320"/>
      <c r="G3" s="320"/>
      <c r="H3" s="320"/>
      <c r="I3" s="320"/>
      <c r="J3" s="320"/>
      <c r="K3" s="202"/>
      <c r="L3" s="202"/>
      <c r="M3" s="202"/>
      <c r="N3" s="202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6.5" customHeight="1" x14ac:dyDescent="0.25">
      <c r="A4" s="203"/>
      <c r="B4" s="203"/>
      <c r="C4" s="203"/>
      <c r="D4" s="203"/>
      <c r="E4" s="203"/>
      <c r="F4" s="204"/>
      <c r="G4" s="204"/>
      <c r="H4" s="204"/>
      <c r="I4" s="204"/>
      <c r="J4" s="205"/>
      <c r="K4" s="202"/>
      <c r="L4" s="202"/>
      <c r="M4" s="202"/>
      <c r="N4" s="202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4.75" customHeight="1" x14ac:dyDescent="0.25">
      <c r="A5" s="314" t="s">
        <v>113</v>
      </c>
      <c r="B5" s="328" t="s">
        <v>4</v>
      </c>
      <c r="C5" s="328" t="s">
        <v>114</v>
      </c>
      <c r="D5" s="314" t="s">
        <v>6</v>
      </c>
      <c r="E5" s="314" t="s">
        <v>115</v>
      </c>
      <c r="F5" s="316" t="s">
        <v>8</v>
      </c>
      <c r="G5" s="317"/>
      <c r="H5" s="317"/>
      <c r="I5" s="318"/>
      <c r="J5" s="329" t="s">
        <v>116</v>
      </c>
      <c r="K5" s="202"/>
      <c r="L5" s="202"/>
      <c r="M5" s="202"/>
      <c r="N5" s="202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4.5" customHeight="1" x14ac:dyDescent="0.25">
      <c r="A6" s="315"/>
      <c r="B6" s="315"/>
      <c r="C6" s="315"/>
      <c r="D6" s="324"/>
      <c r="E6" s="315"/>
      <c r="F6" s="14" t="s">
        <v>11</v>
      </c>
      <c r="G6" s="14" t="s">
        <v>12</v>
      </c>
      <c r="H6" s="14" t="s">
        <v>13</v>
      </c>
      <c r="I6" s="14" t="s">
        <v>14</v>
      </c>
      <c r="J6" s="330"/>
      <c r="K6" s="202"/>
      <c r="L6" s="202"/>
      <c r="M6" s="202"/>
      <c r="N6" s="202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6.5" customHeight="1" x14ac:dyDescent="0.25">
      <c r="A7" s="206">
        <v>1</v>
      </c>
      <c r="B7" s="207" t="s">
        <v>117</v>
      </c>
      <c r="C7" s="206" t="s">
        <v>118</v>
      </c>
      <c r="D7" s="208">
        <v>45000</v>
      </c>
      <c r="E7" s="208"/>
      <c r="F7" s="209">
        <v>25425</v>
      </c>
      <c r="G7" s="208"/>
      <c r="H7" s="206"/>
      <c r="I7" s="208">
        <f>G7/F7*100</f>
        <v>0</v>
      </c>
      <c r="J7" s="210"/>
      <c r="K7" s="211"/>
      <c r="L7" s="211"/>
      <c r="M7" s="211"/>
      <c r="N7" s="211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24" ht="26.25" customHeight="1" x14ac:dyDescent="0.25">
      <c r="A8" s="213" t="s">
        <v>47</v>
      </c>
      <c r="B8" s="214" t="s">
        <v>119</v>
      </c>
      <c r="C8" s="213" t="s">
        <v>96</v>
      </c>
      <c r="D8" s="215">
        <v>0.02</v>
      </c>
      <c r="E8" s="215"/>
      <c r="F8" s="216" t="s">
        <v>120</v>
      </c>
      <c r="G8" s="217"/>
      <c r="H8" s="218"/>
      <c r="I8" s="219"/>
      <c r="J8" s="220" t="s">
        <v>284</v>
      </c>
      <c r="K8" s="221"/>
      <c r="L8" s="221"/>
      <c r="M8" s="221"/>
      <c r="N8" s="221"/>
      <c r="O8" s="222"/>
      <c r="P8" s="222"/>
      <c r="Q8" s="222"/>
      <c r="R8" s="222"/>
      <c r="S8" s="222"/>
      <c r="T8" s="222"/>
      <c r="U8" s="222"/>
      <c r="V8" s="222"/>
      <c r="W8" s="222"/>
      <c r="X8" s="222"/>
    </row>
    <row r="9" spans="1:24" ht="16.5" customHeight="1" x14ac:dyDescent="0.25">
      <c r="A9" s="223">
        <v>2</v>
      </c>
      <c r="B9" s="224" t="s">
        <v>121</v>
      </c>
      <c r="C9" s="206" t="s">
        <v>96</v>
      </c>
      <c r="D9" s="225">
        <v>0.1</v>
      </c>
      <c r="E9" s="225"/>
      <c r="F9" s="225">
        <v>0.1</v>
      </c>
      <c r="G9" s="208"/>
      <c r="H9" s="206"/>
      <c r="I9" s="219">
        <f>G9/F9*100</f>
        <v>0</v>
      </c>
      <c r="J9" s="219"/>
      <c r="K9" s="226"/>
      <c r="L9" s="226"/>
      <c r="M9" s="226"/>
      <c r="N9" s="226"/>
      <c r="O9" s="227"/>
      <c r="P9" s="227"/>
      <c r="Q9" s="227"/>
      <c r="R9" s="227"/>
      <c r="S9" s="227"/>
      <c r="T9" s="227"/>
      <c r="U9" s="227"/>
      <c r="V9" s="227"/>
      <c r="W9" s="227"/>
      <c r="X9" s="227"/>
    </row>
    <row r="10" spans="1:24" ht="16.5" customHeight="1" x14ac:dyDescent="0.25">
      <c r="A10" s="206">
        <v>3</v>
      </c>
      <c r="B10" s="228" t="s">
        <v>122</v>
      </c>
      <c r="C10" s="229"/>
      <c r="D10" s="230"/>
      <c r="E10" s="230"/>
      <c r="F10" s="231"/>
      <c r="G10" s="232"/>
      <c r="H10" s="233"/>
      <c r="I10" s="208"/>
      <c r="J10" s="210"/>
      <c r="K10" s="211"/>
      <c r="L10" s="211"/>
      <c r="M10" s="211"/>
      <c r="N10" s="211"/>
      <c r="O10" s="234"/>
      <c r="P10" s="234"/>
      <c r="Q10" s="234"/>
      <c r="R10" s="234"/>
      <c r="S10" s="234"/>
      <c r="T10" s="234"/>
      <c r="U10" s="234"/>
      <c r="V10" s="234"/>
      <c r="W10" s="234"/>
      <c r="X10" s="234"/>
    </row>
    <row r="11" spans="1:24" ht="16.5" customHeight="1" x14ac:dyDescent="0.25">
      <c r="A11" s="235" t="s">
        <v>47</v>
      </c>
      <c r="B11" s="236" t="s">
        <v>123</v>
      </c>
      <c r="C11" s="237" t="s">
        <v>124</v>
      </c>
      <c r="D11" s="238">
        <v>6413</v>
      </c>
      <c r="E11" s="238"/>
      <c r="F11" s="238">
        <v>6500</v>
      </c>
      <c r="G11" s="239">
        <v>6212</v>
      </c>
      <c r="H11" s="238">
        <v>6212</v>
      </c>
      <c r="I11" s="219">
        <f t="shared" ref="I11:I15" si="0">G11/F11*100</f>
        <v>95.569230769230771</v>
      </c>
      <c r="J11" s="240"/>
      <c r="K11" s="241"/>
      <c r="L11" s="241"/>
      <c r="M11" s="241"/>
      <c r="N11" s="241"/>
      <c r="O11" s="234"/>
      <c r="P11" s="234"/>
      <c r="Q11" s="234"/>
      <c r="R11" s="234"/>
      <c r="S11" s="234"/>
      <c r="T11" s="234"/>
      <c r="U11" s="234"/>
      <c r="V11" s="234"/>
      <c r="W11" s="234"/>
      <c r="X11" s="234"/>
    </row>
    <row r="12" spans="1:24" ht="16.5" customHeight="1" x14ac:dyDescent="0.25">
      <c r="A12" s="235" t="s">
        <v>47</v>
      </c>
      <c r="B12" s="236" t="s">
        <v>125</v>
      </c>
      <c r="C12" s="235" t="s">
        <v>111</v>
      </c>
      <c r="D12" s="238">
        <v>6399</v>
      </c>
      <c r="E12" s="238"/>
      <c r="F12" s="238">
        <v>6584</v>
      </c>
      <c r="G12" s="239">
        <v>6288</v>
      </c>
      <c r="H12" s="238">
        <v>6364</v>
      </c>
      <c r="I12" s="219">
        <f t="shared" si="0"/>
        <v>95.504252733900358</v>
      </c>
      <c r="J12" s="240"/>
      <c r="K12" s="241"/>
      <c r="L12" s="241"/>
      <c r="M12" s="241"/>
      <c r="N12" s="241"/>
      <c r="O12" s="234"/>
      <c r="P12" s="234"/>
      <c r="Q12" s="234"/>
      <c r="R12" s="234"/>
      <c r="S12" s="234"/>
      <c r="T12" s="234"/>
      <c r="U12" s="234"/>
      <c r="V12" s="234"/>
      <c r="W12" s="234"/>
      <c r="X12" s="234"/>
    </row>
    <row r="13" spans="1:24" ht="16.5" customHeight="1" x14ac:dyDescent="0.25">
      <c r="A13" s="235" t="s">
        <v>47</v>
      </c>
      <c r="B13" s="236" t="s">
        <v>126</v>
      </c>
      <c r="C13" s="235" t="s">
        <v>111</v>
      </c>
      <c r="D13" s="238">
        <f>(D11+D12)/2</f>
        <v>6406</v>
      </c>
      <c r="E13" s="238">
        <v>6542</v>
      </c>
      <c r="F13" s="238">
        <v>6542</v>
      </c>
      <c r="G13" s="239">
        <f t="shared" ref="G13:H13" si="1">(G11+G12)/2</f>
        <v>6250</v>
      </c>
      <c r="H13" s="239">
        <f t="shared" si="1"/>
        <v>6288</v>
      </c>
      <c r="I13" s="219">
        <f t="shared" si="0"/>
        <v>95.536533170284315</v>
      </c>
      <c r="J13" s="240"/>
      <c r="K13" s="241"/>
      <c r="L13" s="241"/>
      <c r="M13" s="241"/>
      <c r="N13" s="241"/>
      <c r="O13" s="234"/>
      <c r="P13" s="234"/>
      <c r="Q13" s="234"/>
      <c r="R13" s="242"/>
      <c r="S13" s="234"/>
      <c r="T13" s="234"/>
      <c r="U13" s="234"/>
      <c r="V13" s="234"/>
      <c r="W13" s="234"/>
      <c r="X13" s="234"/>
    </row>
    <row r="14" spans="1:24" ht="16.5" hidden="1" customHeight="1" x14ac:dyDescent="0.25">
      <c r="A14" s="235" t="s">
        <v>47</v>
      </c>
      <c r="B14" s="240" t="s">
        <v>20</v>
      </c>
      <c r="C14" s="235" t="s">
        <v>21</v>
      </c>
      <c r="D14" s="238">
        <v>777.87</v>
      </c>
      <c r="E14" s="238"/>
      <c r="F14" s="238">
        <v>1.3</v>
      </c>
      <c r="G14" s="239"/>
      <c r="H14" s="238"/>
      <c r="I14" s="219">
        <f t="shared" si="0"/>
        <v>0</v>
      </c>
      <c r="J14" s="331"/>
      <c r="K14" s="244"/>
      <c r="L14" s="244"/>
      <c r="M14" s="244"/>
      <c r="N14" s="244"/>
      <c r="O14" s="245"/>
      <c r="P14" s="246"/>
      <c r="Q14" s="246"/>
      <c r="R14" s="245"/>
      <c r="S14" s="245"/>
      <c r="T14" s="245"/>
      <c r="U14" s="245"/>
      <c r="V14" s="245"/>
      <c r="W14" s="245"/>
      <c r="X14" s="245"/>
    </row>
    <row r="15" spans="1:24" ht="16.5" hidden="1" customHeight="1" x14ac:dyDescent="0.25">
      <c r="A15" s="235" t="s">
        <v>47</v>
      </c>
      <c r="B15" s="236" t="s">
        <v>127</v>
      </c>
      <c r="C15" s="235" t="s">
        <v>128</v>
      </c>
      <c r="D15" s="238">
        <f>D14/D13*1000</f>
        <v>121.42834842335311</v>
      </c>
      <c r="E15" s="238"/>
      <c r="F15" s="238">
        <v>789.0181</v>
      </c>
      <c r="G15" s="239"/>
      <c r="H15" s="238"/>
      <c r="I15" s="219">
        <f t="shared" si="0"/>
        <v>0</v>
      </c>
      <c r="J15" s="315"/>
      <c r="K15" s="244"/>
      <c r="L15" s="244"/>
      <c r="M15" s="244"/>
      <c r="N15" s="244"/>
      <c r="O15" s="245"/>
      <c r="P15" s="246"/>
      <c r="Q15" s="246"/>
      <c r="R15" s="245"/>
      <c r="S15" s="245"/>
      <c r="T15" s="245"/>
      <c r="U15" s="245"/>
      <c r="V15" s="245"/>
      <c r="W15" s="245"/>
      <c r="X15" s="245"/>
    </row>
    <row r="16" spans="1:24" ht="16.5" hidden="1" customHeight="1" x14ac:dyDescent="0.25">
      <c r="A16" s="235" t="s">
        <v>47</v>
      </c>
      <c r="B16" s="236" t="s">
        <v>129</v>
      </c>
      <c r="C16" s="235" t="s">
        <v>130</v>
      </c>
      <c r="D16" s="238">
        <v>70</v>
      </c>
      <c r="E16" s="238"/>
      <c r="F16" s="238"/>
      <c r="G16" s="239"/>
      <c r="H16" s="238"/>
      <c r="I16" s="219"/>
      <c r="J16" s="331"/>
      <c r="K16" s="244"/>
      <c r="L16" s="244"/>
      <c r="M16" s="244"/>
      <c r="N16" s="244"/>
      <c r="O16" s="245"/>
      <c r="P16" s="245"/>
      <c r="Q16" s="245"/>
      <c r="R16" s="245"/>
      <c r="S16" s="245"/>
      <c r="T16" s="245"/>
      <c r="U16" s="245"/>
      <c r="V16" s="245"/>
      <c r="W16" s="245"/>
      <c r="X16" s="245"/>
    </row>
    <row r="17" spans="1:24" ht="16.5" hidden="1" customHeight="1" x14ac:dyDescent="0.25">
      <c r="A17" s="235" t="s">
        <v>47</v>
      </c>
      <c r="B17" s="236" t="s">
        <v>131</v>
      </c>
      <c r="C17" s="235" t="s">
        <v>96</v>
      </c>
      <c r="D17" s="238">
        <v>106</v>
      </c>
      <c r="E17" s="238"/>
      <c r="F17" s="238">
        <v>70</v>
      </c>
      <c r="G17" s="239"/>
      <c r="H17" s="238"/>
      <c r="I17" s="219">
        <f>G17/F17*100</f>
        <v>0</v>
      </c>
      <c r="J17" s="315"/>
      <c r="K17" s="244"/>
      <c r="L17" s="244"/>
      <c r="M17" s="244"/>
      <c r="N17" s="244"/>
      <c r="O17" s="245"/>
      <c r="P17" s="245"/>
      <c r="Q17" s="245"/>
      <c r="R17" s="245"/>
      <c r="S17" s="245"/>
      <c r="T17" s="245"/>
      <c r="U17" s="245"/>
      <c r="V17" s="245"/>
      <c r="W17" s="245"/>
      <c r="X17" s="245"/>
    </row>
    <row r="18" spans="1:24" ht="16.5" customHeight="1" x14ac:dyDescent="0.25">
      <c r="A18" s="206">
        <v>4</v>
      </c>
      <c r="B18" s="247" t="s">
        <v>132</v>
      </c>
      <c r="C18" s="231"/>
      <c r="D18" s="238"/>
      <c r="E18" s="238"/>
      <c r="F18" s="238"/>
      <c r="G18" s="238"/>
      <c r="H18" s="238"/>
      <c r="I18" s="219"/>
      <c r="J18" s="240"/>
      <c r="K18" s="241"/>
      <c r="L18" s="241"/>
      <c r="M18" s="241"/>
      <c r="N18" s="241"/>
      <c r="O18" s="234"/>
      <c r="P18" s="234"/>
      <c r="Q18" s="234"/>
      <c r="R18" s="234"/>
      <c r="S18" s="234"/>
      <c r="T18" s="234"/>
      <c r="U18" s="234"/>
      <c r="V18" s="234"/>
      <c r="W18" s="234"/>
      <c r="X18" s="234"/>
    </row>
    <row r="19" spans="1:24" ht="16.5" customHeight="1" x14ac:dyDescent="0.25">
      <c r="A19" s="235" t="s">
        <v>47</v>
      </c>
      <c r="B19" s="249" t="s">
        <v>133</v>
      </c>
      <c r="C19" s="235" t="s">
        <v>96</v>
      </c>
      <c r="D19" s="238">
        <v>65</v>
      </c>
      <c r="E19" s="238"/>
      <c r="F19" s="238">
        <v>62</v>
      </c>
      <c r="G19" s="238">
        <v>23</v>
      </c>
      <c r="H19" s="238">
        <v>40</v>
      </c>
      <c r="I19" s="219">
        <f t="shared" ref="I19:I21" si="2">G19/F19*100</f>
        <v>37.096774193548384</v>
      </c>
      <c r="J19" s="324"/>
      <c r="K19" s="241"/>
      <c r="L19" s="241"/>
      <c r="M19" s="241"/>
      <c r="N19" s="241"/>
      <c r="O19" s="234"/>
      <c r="P19" s="234"/>
      <c r="Q19" s="234"/>
      <c r="R19" s="234"/>
      <c r="S19" s="234"/>
      <c r="T19" s="234"/>
      <c r="U19" s="234"/>
      <c r="V19" s="234"/>
      <c r="W19" s="234"/>
      <c r="X19" s="234"/>
    </row>
    <row r="20" spans="1:24" ht="16.5" customHeight="1" x14ac:dyDescent="0.25">
      <c r="A20" s="213"/>
      <c r="B20" s="250" t="s">
        <v>134</v>
      </c>
      <c r="C20" s="213" t="s">
        <v>96</v>
      </c>
      <c r="D20" s="238">
        <v>18</v>
      </c>
      <c r="E20" s="238"/>
      <c r="F20" s="238">
        <v>18</v>
      </c>
      <c r="G20" s="238">
        <v>0</v>
      </c>
      <c r="H20" s="238">
        <v>0</v>
      </c>
      <c r="I20" s="219">
        <f t="shared" si="2"/>
        <v>0</v>
      </c>
      <c r="J20" s="324"/>
      <c r="K20" s="241"/>
      <c r="L20" s="241"/>
      <c r="M20" s="241"/>
      <c r="N20" s="241"/>
      <c r="O20" s="234"/>
      <c r="P20" s="234"/>
      <c r="Q20" s="234"/>
      <c r="R20" s="234"/>
      <c r="S20" s="234"/>
      <c r="T20" s="234"/>
      <c r="U20" s="234"/>
      <c r="V20" s="234"/>
      <c r="W20" s="234"/>
      <c r="X20" s="234"/>
    </row>
    <row r="21" spans="1:24" ht="16.5" customHeight="1" x14ac:dyDescent="0.25">
      <c r="A21" s="235" t="s">
        <v>47</v>
      </c>
      <c r="B21" s="249" t="s">
        <v>135</v>
      </c>
      <c r="C21" s="235" t="s">
        <v>124</v>
      </c>
      <c r="D21" s="238">
        <v>3605</v>
      </c>
      <c r="E21" s="238"/>
      <c r="F21" s="238">
        <v>3630</v>
      </c>
      <c r="G21" s="238">
        <v>3630</v>
      </c>
      <c r="H21" s="238">
        <v>3630</v>
      </c>
      <c r="I21" s="219">
        <f t="shared" si="2"/>
        <v>100</v>
      </c>
      <c r="J21" s="324"/>
      <c r="K21" s="241"/>
      <c r="L21" s="241"/>
      <c r="M21" s="241"/>
      <c r="N21" s="241"/>
      <c r="O21" s="234"/>
      <c r="P21" s="234"/>
      <c r="Q21" s="234"/>
      <c r="R21" s="234"/>
      <c r="S21" s="234"/>
      <c r="T21" s="234"/>
      <c r="U21" s="234"/>
      <c r="V21" s="234"/>
      <c r="W21" s="234"/>
      <c r="X21" s="234"/>
    </row>
    <row r="22" spans="1:24" ht="18" customHeight="1" x14ac:dyDescent="0.25">
      <c r="A22" s="235" t="s">
        <v>47</v>
      </c>
      <c r="B22" s="251" t="s">
        <v>136</v>
      </c>
      <c r="C22" s="235" t="s">
        <v>96</v>
      </c>
      <c r="D22" s="238">
        <f>D21/D13*100</f>
        <v>56.275366843584138</v>
      </c>
      <c r="E22" s="238"/>
      <c r="F22" s="238">
        <v>55.13</v>
      </c>
      <c r="G22" s="238">
        <v>55</v>
      </c>
      <c r="H22" s="238">
        <v>56</v>
      </c>
      <c r="I22" s="219">
        <f>G22/F22*100</f>
        <v>99.76419372392526</v>
      </c>
      <c r="J22" s="315"/>
      <c r="K22" s="241"/>
      <c r="L22" s="241"/>
      <c r="M22" s="241"/>
      <c r="N22" s="241"/>
      <c r="O22" s="252"/>
      <c r="P22" s="252"/>
      <c r="Q22" s="252"/>
      <c r="R22" s="252"/>
      <c r="S22" s="252"/>
      <c r="T22" s="252"/>
      <c r="U22" s="252"/>
      <c r="V22" s="252"/>
      <c r="W22" s="252"/>
      <c r="X22" s="252"/>
    </row>
    <row r="23" spans="1:24" ht="16.5" customHeight="1" x14ac:dyDescent="0.25">
      <c r="A23" s="231">
        <v>5</v>
      </c>
      <c r="B23" s="253" t="s">
        <v>137</v>
      </c>
      <c r="C23" s="231"/>
      <c r="D23" s="238"/>
      <c r="E23" s="238"/>
      <c r="F23" s="238"/>
      <c r="G23" s="254"/>
      <c r="H23" s="238"/>
      <c r="I23" s="219"/>
      <c r="J23" s="240"/>
      <c r="K23" s="241"/>
      <c r="L23" s="241"/>
      <c r="M23" s="241"/>
      <c r="N23" s="241"/>
      <c r="O23" s="234"/>
      <c r="P23" s="234"/>
      <c r="Q23" s="234"/>
      <c r="R23" s="234"/>
      <c r="S23" s="234"/>
      <c r="T23" s="234"/>
      <c r="U23" s="234"/>
      <c r="V23" s="234"/>
      <c r="W23" s="234"/>
      <c r="X23" s="234"/>
    </row>
    <row r="24" spans="1:24" ht="16.5" customHeight="1" x14ac:dyDescent="0.25">
      <c r="A24" s="296" t="s">
        <v>32</v>
      </c>
      <c r="B24" s="297" t="s">
        <v>10</v>
      </c>
      <c r="C24" s="235" t="s">
        <v>138</v>
      </c>
      <c r="D24" s="255">
        <v>1329</v>
      </c>
      <c r="E24" s="255">
        <v>1341</v>
      </c>
      <c r="F24" s="238"/>
      <c r="G24" s="254"/>
      <c r="H24" s="238"/>
      <c r="I24" s="219"/>
      <c r="J24" s="331"/>
      <c r="K24" s="241"/>
      <c r="L24" s="241"/>
      <c r="M24" s="241"/>
      <c r="N24" s="241"/>
      <c r="O24" s="234"/>
      <c r="P24" s="234"/>
      <c r="Q24" s="234"/>
      <c r="R24" s="243"/>
      <c r="S24" s="234"/>
      <c r="T24" s="234"/>
      <c r="U24" s="234"/>
      <c r="V24" s="234"/>
      <c r="W24" s="234"/>
      <c r="X24" s="234"/>
    </row>
    <row r="25" spans="1:24" ht="16.5" customHeight="1" x14ac:dyDescent="0.25">
      <c r="A25" s="237" t="s">
        <v>47</v>
      </c>
      <c r="B25" s="249" t="s">
        <v>139</v>
      </c>
      <c r="C25" s="237" t="s">
        <v>138</v>
      </c>
      <c r="D25" s="238">
        <f>236-21</f>
        <v>215</v>
      </c>
      <c r="E25" s="238">
        <v>121</v>
      </c>
      <c r="F25" s="255">
        <v>1341</v>
      </c>
      <c r="G25" s="238">
        <v>215</v>
      </c>
      <c r="H25" s="238">
        <f>G25-94</f>
        <v>121</v>
      </c>
      <c r="I25" s="219">
        <f t="shared" ref="I25:I88" si="3">G25/F25*100</f>
        <v>16.032811334824757</v>
      </c>
      <c r="J25" s="324"/>
      <c r="K25" s="241"/>
      <c r="L25" s="241"/>
      <c r="M25" s="241"/>
      <c r="N25" s="241"/>
      <c r="O25" s="234"/>
      <c r="P25" s="234"/>
      <c r="Q25" s="234"/>
      <c r="R25" s="243"/>
      <c r="S25" s="234"/>
      <c r="T25" s="234"/>
      <c r="U25" s="234"/>
      <c r="V25" s="234"/>
      <c r="W25" s="234"/>
      <c r="X25" s="234"/>
    </row>
    <row r="26" spans="1:24" ht="16.5" customHeight="1" x14ac:dyDescent="0.25">
      <c r="A26" s="237" t="s">
        <v>47</v>
      </c>
      <c r="B26" s="249" t="s">
        <v>140</v>
      </c>
      <c r="C26" s="237" t="s">
        <v>138</v>
      </c>
      <c r="D26" s="238">
        <v>21</v>
      </c>
      <c r="E26" s="238">
        <v>94</v>
      </c>
      <c r="F26" s="238">
        <v>121</v>
      </c>
      <c r="G26" s="238">
        <v>0</v>
      </c>
      <c r="H26" s="238">
        <v>94</v>
      </c>
      <c r="I26" s="219">
        <f t="shared" si="3"/>
        <v>0</v>
      </c>
      <c r="J26" s="324"/>
      <c r="K26" s="241"/>
      <c r="L26" s="241"/>
      <c r="M26" s="241"/>
      <c r="N26" s="241"/>
      <c r="O26" s="234"/>
      <c r="P26" s="234"/>
      <c r="Q26" s="234"/>
      <c r="R26" s="243"/>
      <c r="S26" s="234"/>
      <c r="T26" s="234"/>
      <c r="U26" s="234"/>
      <c r="V26" s="234"/>
      <c r="W26" s="234"/>
      <c r="X26" s="234"/>
    </row>
    <row r="27" spans="1:24" ht="16.5" customHeight="1" x14ac:dyDescent="0.25">
      <c r="A27" s="237" t="s">
        <v>47</v>
      </c>
      <c r="B27" s="249" t="s">
        <v>141</v>
      </c>
      <c r="C27" s="235" t="s">
        <v>96</v>
      </c>
      <c r="D27" s="238">
        <f t="shared" ref="D27:E27" si="4">D25/D24*100</f>
        <v>16.177577125658392</v>
      </c>
      <c r="E27" s="238">
        <f t="shared" si="4"/>
        <v>9.0231170768083508</v>
      </c>
      <c r="F27" s="238">
        <v>9.1</v>
      </c>
      <c r="G27" s="238">
        <v>16.18</v>
      </c>
      <c r="H27" s="238">
        <v>9.1</v>
      </c>
      <c r="I27" s="219">
        <f>F27/G27*100</f>
        <v>56.242274412855373</v>
      </c>
      <c r="J27" s="315"/>
      <c r="K27" s="241"/>
      <c r="L27" s="241"/>
      <c r="M27" s="241"/>
      <c r="N27" s="241"/>
      <c r="O27" s="234"/>
      <c r="P27" s="234"/>
      <c r="Q27" s="234"/>
      <c r="R27" s="243"/>
      <c r="S27" s="234"/>
      <c r="T27" s="234"/>
      <c r="U27" s="234"/>
      <c r="V27" s="234"/>
      <c r="W27" s="234"/>
      <c r="X27" s="234"/>
    </row>
    <row r="28" spans="1:24" ht="16.5" customHeight="1" x14ac:dyDescent="0.25">
      <c r="A28" s="231">
        <v>6</v>
      </c>
      <c r="B28" s="253" t="s">
        <v>142</v>
      </c>
      <c r="C28" s="206"/>
      <c r="D28" s="238"/>
      <c r="E28" s="238"/>
      <c r="F28" s="238">
        <f>F26/F25*100</f>
        <v>9.0231170768083508</v>
      </c>
      <c r="G28" s="239"/>
      <c r="H28" s="238"/>
      <c r="I28" s="219">
        <f t="shared" si="3"/>
        <v>0</v>
      </c>
      <c r="J28" s="240"/>
      <c r="K28" s="221"/>
      <c r="L28" s="221"/>
      <c r="M28" s="221"/>
      <c r="N28" s="221"/>
      <c r="O28" s="234"/>
      <c r="P28" s="234"/>
      <c r="Q28" s="234"/>
      <c r="R28" s="243"/>
      <c r="S28" s="234"/>
      <c r="T28" s="234"/>
      <c r="U28" s="234"/>
      <c r="V28" s="234"/>
      <c r="W28" s="234"/>
      <c r="X28" s="234"/>
    </row>
    <row r="29" spans="1:24" ht="16.5" customHeight="1" x14ac:dyDescent="0.25">
      <c r="A29" s="256" t="s">
        <v>47</v>
      </c>
      <c r="B29" s="248" t="s">
        <v>143</v>
      </c>
      <c r="C29" s="235" t="s">
        <v>144</v>
      </c>
      <c r="D29" s="238">
        <f t="shared" ref="D29:E29" si="5">SUM(D30:D33)</f>
        <v>2217</v>
      </c>
      <c r="E29" s="238">
        <f t="shared" si="5"/>
        <v>2263</v>
      </c>
      <c r="F29" s="238">
        <f>SUM(F30:F33)</f>
        <v>1594</v>
      </c>
      <c r="G29" s="238">
        <v>2255</v>
      </c>
      <c r="H29" s="238">
        <v>2316</v>
      </c>
      <c r="I29" s="219">
        <f>G29/F29*100</f>
        <v>141.46800501882058</v>
      </c>
      <c r="J29" s="331"/>
      <c r="K29" s="221"/>
      <c r="L29" s="221"/>
      <c r="M29" s="221"/>
      <c r="N29" s="221"/>
      <c r="O29" s="234"/>
      <c r="P29" s="257">
        <v>1.3</v>
      </c>
      <c r="Q29" s="257">
        <v>1.25</v>
      </c>
      <c r="R29" s="243"/>
      <c r="S29" s="234"/>
      <c r="T29" s="234"/>
      <c r="U29" s="234"/>
      <c r="V29" s="234"/>
      <c r="W29" s="234"/>
      <c r="X29" s="234"/>
    </row>
    <row r="30" spans="1:24" ht="16.5" customHeight="1" x14ac:dyDescent="0.25">
      <c r="A30" s="256" t="s">
        <v>78</v>
      </c>
      <c r="B30" s="249" t="s">
        <v>145</v>
      </c>
      <c r="C30" s="235" t="s">
        <v>144</v>
      </c>
      <c r="D30" s="238">
        <v>34</v>
      </c>
      <c r="E30" s="238">
        <v>61</v>
      </c>
      <c r="F30" s="238">
        <v>61</v>
      </c>
      <c r="G30" s="238">
        <v>63</v>
      </c>
      <c r="H30" s="238">
        <v>63</v>
      </c>
      <c r="I30" s="219">
        <f t="shared" si="3"/>
        <v>103.27868852459017</v>
      </c>
      <c r="J30" s="324"/>
      <c r="K30" s="221"/>
      <c r="L30" s="221"/>
      <c r="M30" s="221"/>
      <c r="N30" s="221"/>
      <c r="O30" s="234"/>
      <c r="P30" s="258" t="e">
        <f>D29+#REF!</f>
        <v>#REF!</v>
      </c>
      <c r="Q30" s="234"/>
      <c r="R30" s="243"/>
      <c r="S30" s="234"/>
      <c r="T30" s="234"/>
      <c r="U30" s="234"/>
      <c r="V30" s="234"/>
      <c r="W30" s="234"/>
      <c r="X30" s="234"/>
    </row>
    <row r="31" spans="1:24" ht="16.5" customHeight="1" x14ac:dyDescent="0.25">
      <c r="A31" s="256" t="s">
        <v>78</v>
      </c>
      <c r="B31" s="249" t="s">
        <v>146</v>
      </c>
      <c r="C31" s="235" t="s">
        <v>144</v>
      </c>
      <c r="D31" s="238">
        <v>600</v>
      </c>
      <c r="E31" s="238">
        <v>609</v>
      </c>
      <c r="F31" s="238">
        <v>61</v>
      </c>
      <c r="G31" s="238">
        <v>625</v>
      </c>
      <c r="H31" s="238">
        <v>668</v>
      </c>
      <c r="I31" s="219">
        <f t="shared" si="3"/>
        <v>1024.5901639344263</v>
      </c>
      <c r="J31" s="324"/>
      <c r="K31" s="221"/>
      <c r="L31" s="221"/>
      <c r="M31" s="221"/>
      <c r="N31" s="221"/>
      <c r="O31" s="234"/>
      <c r="P31" s="234"/>
      <c r="Q31" s="234"/>
      <c r="R31" s="243"/>
      <c r="S31" s="234"/>
      <c r="T31" s="234"/>
      <c r="U31" s="234"/>
      <c r="V31" s="234"/>
      <c r="W31" s="234"/>
      <c r="X31" s="234"/>
    </row>
    <row r="32" spans="1:24" ht="16.5" customHeight="1" x14ac:dyDescent="0.25">
      <c r="A32" s="256" t="s">
        <v>78</v>
      </c>
      <c r="B32" s="249" t="s">
        <v>147</v>
      </c>
      <c r="C32" s="235" t="s">
        <v>144</v>
      </c>
      <c r="D32" s="238">
        <v>858</v>
      </c>
      <c r="E32" s="238">
        <v>863</v>
      </c>
      <c r="F32" s="238">
        <v>609</v>
      </c>
      <c r="G32" s="238">
        <v>868</v>
      </c>
      <c r="H32" s="238">
        <v>864</v>
      </c>
      <c r="I32" s="219">
        <f t="shared" si="3"/>
        <v>142.52873563218392</v>
      </c>
      <c r="J32" s="324"/>
      <c r="K32" s="221"/>
      <c r="L32" s="221"/>
      <c r="M32" s="221"/>
      <c r="N32" s="221"/>
      <c r="O32" s="234"/>
      <c r="P32" s="234"/>
      <c r="Q32" s="234"/>
      <c r="R32" s="243"/>
      <c r="S32" s="234"/>
      <c r="T32" s="234"/>
      <c r="U32" s="234"/>
      <c r="V32" s="234"/>
      <c r="W32" s="234"/>
      <c r="X32" s="234"/>
    </row>
    <row r="33" spans="1:24" ht="16.5" customHeight="1" x14ac:dyDescent="0.25">
      <c r="A33" s="256" t="s">
        <v>78</v>
      </c>
      <c r="B33" s="249" t="s">
        <v>148</v>
      </c>
      <c r="C33" s="235" t="s">
        <v>144</v>
      </c>
      <c r="D33" s="238">
        <v>725</v>
      </c>
      <c r="E33" s="238">
        <v>730</v>
      </c>
      <c r="F33" s="238">
        <v>863</v>
      </c>
      <c r="G33" s="238">
        <v>699</v>
      </c>
      <c r="H33" s="238">
        <v>721</v>
      </c>
      <c r="I33" s="219">
        <f t="shared" si="3"/>
        <v>80.996523754345304</v>
      </c>
      <c r="J33" s="324"/>
      <c r="K33" s="221"/>
      <c r="L33" s="221"/>
      <c r="M33" s="221"/>
      <c r="N33" s="221"/>
      <c r="O33" s="234"/>
      <c r="P33" s="234"/>
      <c r="Q33" s="234"/>
      <c r="R33" s="243"/>
      <c r="S33" s="234"/>
      <c r="T33" s="234"/>
      <c r="U33" s="234"/>
      <c r="V33" s="234"/>
      <c r="W33" s="234"/>
      <c r="X33" s="234"/>
    </row>
    <row r="34" spans="1:24" ht="16.5" customHeight="1" x14ac:dyDescent="0.25">
      <c r="A34" s="235" t="s">
        <v>47</v>
      </c>
      <c r="B34" s="249" t="s">
        <v>149</v>
      </c>
      <c r="C34" s="235" t="s">
        <v>96</v>
      </c>
      <c r="D34" s="238">
        <v>100</v>
      </c>
      <c r="E34" s="238"/>
      <c r="F34" s="238">
        <v>730</v>
      </c>
      <c r="G34" s="239">
        <v>100</v>
      </c>
      <c r="H34" s="238">
        <v>100</v>
      </c>
      <c r="I34" s="219">
        <f t="shared" si="3"/>
        <v>13.698630136986301</v>
      </c>
      <c r="J34" s="324"/>
      <c r="K34" s="241"/>
      <c r="L34" s="241"/>
      <c r="M34" s="241"/>
      <c r="N34" s="241"/>
      <c r="O34" s="234"/>
      <c r="P34" s="234"/>
      <c r="Q34" s="234"/>
      <c r="R34" s="234"/>
      <c r="S34" s="234"/>
      <c r="T34" s="234"/>
      <c r="U34" s="234"/>
      <c r="V34" s="234"/>
      <c r="W34" s="234"/>
      <c r="X34" s="234"/>
    </row>
    <row r="35" spans="1:24" ht="16.5" customHeight="1" x14ac:dyDescent="0.25">
      <c r="A35" s="235" t="s">
        <v>78</v>
      </c>
      <c r="B35" s="249" t="s">
        <v>147</v>
      </c>
      <c r="C35" s="235" t="s">
        <v>96</v>
      </c>
      <c r="D35" s="238">
        <v>100</v>
      </c>
      <c r="E35" s="238"/>
      <c r="F35" s="238">
        <v>100</v>
      </c>
      <c r="G35" s="238">
        <v>100</v>
      </c>
      <c r="H35" s="238">
        <v>100</v>
      </c>
      <c r="I35" s="219">
        <f t="shared" si="3"/>
        <v>100</v>
      </c>
      <c r="J35" s="324"/>
      <c r="K35" s="241"/>
      <c r="L35" s="241"/>
      <c r="M35" s="241"/>
      <c r="N35" s="241"/>
      <c r="O35" s="234"/>
      <c r="P35" s="234"/>
      <c r="Q35" s="234"/>
      <c r="R35" s="234"/>
      <c r="S35" s="234"/>
      <c r="T35" s="234"/>
      <c r="U35" s="234"/>
      <c r="V35" s="234"/>
      <c r="W35" s="234"/>
      <c r="X35" s="234"/>
    </row>
    <row r="36" spans="1:24" ht="16.5" customHeight="1" x14ac:dyDescent="0.25">
      <c r="A36" s="235" t="s">
        <v>78</v>
      </c>
      <c r="B36" s="249" t="s">
        <v>148</v>
      </c>
      <c r="C36" s="235" t="s">
        <v>96</v>
      </c>
      <c r="D36" s="238">
        <v>99</v>
      </c>
      <c r="E36" s="238"/>
      <c r="F36" s="238">
        <v>100</v>
      </c>
      <c r="G36" s="238">
        <v>100</v>
      </c>
      <c r="H36" s="238">
        <v>100</v>
      </c>
      <c r="I36" s="219">
        <f t="shared" si="3"/>
        <v>100</v>
      </c>
      <c r="J36" s="324"/>
      <c r="K36" s="241"/>
      <c r="L36" s="241"/>
      <c r="M36" s="241"/>
      <c r="N36" s="241"/>
      <c r="O36" s="234"/>
      <c r="P36" s="234"/>
      <c r="Q36" s="234"/>
      <c r="R36" s="234"/>
      <c r="S36" s="234"/>
      <c r="T36" s="234"/>
      <c r="U36" s="234"/>
      <c r="V36" s="234"/>
      <c r="W36" s="234"/>
      <c r="X36" s="234"/>
    </row>
    <row r="37" spans="1:24" ht="32.25" customHeight="1" x14ac:dyDescent="0.25">
      <c r="A37" s="235" t="s">
        <v>78</v>
      </c>
      <c r="B37" s="249" t="s">
        <v>150</v>
      </c>
      <c r="C37" s="235" t="s">
        <v>96</v>
      </c>
      <c r="D37" s="238">
        <v>93</v>
      </c>
      <c r="E37" s="238"/>
      <c r="F37" s="238">
        <v>99</v>
      </c>
      <c r="G37" s="238"/>
      <c r="H37" s="238"/>
      <c r="I37" s="298" t="s">
        <v>285</v>
      </c>
      <c r="J37" s="324"/>
      <c r="K37" s="241"/>
      <c r="L37" s="241"/>
      <c r="M37" s="241"/>
      <c r="N37" s="241"/>
      <c r="O37" s="234"/>
      <c r="P37" s="234"/>
      <c r="Q37" s="234"/>
      <c r="R37" s="234"/>
      <c r="S37" s="234"/>
      <c r="T37" s="234"/>
      <c r="U37" s="234"/>
      <c r="V37" s="234"/>
      <c r="W37" s="234"/>
      <c r="X37" s="234"/>
    </row>
    <row r="38" spans="1:24" ht="16.5" customHeight="1" x14ac:dyDescent="0.25">
      <c r="A38" s="235" t="s">
        <v>47</v>
      </c>
      <c r="B38" s="249" t="s">
        <v>151</v>
      </c>
      <c r="C38" s="235" t="s">
        <v>96</v>
      </c>
      <c r="D38" s="238">
        <v>10</v>
      </c>
      <c r="E38" s="238"/>
      <c r="F38" s="238">
        <v>93</v>
      </c>
      <c r="G38" s="238">
        <v>100</v>
      </c>
      <c r="H38" s="238">
        <v>100</v>
      </c>
      <c r="I38" s="219">
        <f t="shared" si="3"/>
        <v>107.5268817204301</v>
      </c>
      <c r="J38" s="324"/>
      <c r="K38" s="241"/>
      <c r="L38" s="241"/>
      <c r="M38" s="241"/>
      <c r="N38" s="241"/>
      <c r="O38" s="234"/>
      <c r="P38" s="234"/>
      <c r="Q38" s="234"/>
      <c r="R38" s="234"/>
      <c r="S38" s="234"/>
      <c r="T38" s="234"/>
      <c r="U38" s="234"/>
      <c r="V38" s="234"/>
      <c r="W38" s="234"/>
      <c r="X38" s="234"/>
    </row>
    <row r="39" spans="1:24" ht="16.5" customHeight="1" x14ac:dyDescent="0.25">
      <c r="A39" s="235" t="s">
        <v>47</v>
      </c>
      <c r="B39" s="249" t="s">
        <v>152</v>
      </c>
      <c r="C39" s="235" t="s">
        <v>96</v>
      </c>
      <c r="D39" s="238">
        <v>80</v>
      </c>
      <c r="E39" s="238"/>
      <c r="F39" s="238">
        <v>10</v>
      </c>
      <c r="G39" s="238">
        <v>80</v>
      </c>
      <c r="H39" s="238">
        <v>20</v>
      </c>
      <c r="I39" s="219">
        <f t="shared" si="3"/>
        <v>800</v>
      </c>
      <c r="J39" s="324"/>
      <c r="K39" s="241"/>
      <c r="L39" s="241"/>
      <c r="M39" s="241"/>
      <c r="N39" s="241"/>
      <c r="O39" s="234"/>
      <c r="P39" s="234"/>
      <c r="Q39" s="234"/>
      <c r="R39" s="234"/>
      <c r="S39" s="234"/>
      <c r="T39" s="234"/>
      <c r="U39" s="234"/>
      <c r="V39" s="234"/>
      <c r="W39" s="234"/>
      <c r="X39" s="234"/>
    </row>
    <row r="40" spans="1:24" ht="16.5" customHeight="1" x14ac:dyDescent="0.25">
      <c r="A40" s="235" t="s">
        <v>47</v>
      </c>
      <c r="B40" s="249" t="s">
        <v>153</v>
      </c>
      <c r="C40" s="235" t="s">
        <v>96</v>
      </c>
      <c r="D40" s="238">
        <v>95</v>
      </c>
      <c r="E40" s="238"/>
      <c r="F40" s="238">
        <v>80</v>
      </c>
      <c r="G40" s="238">
        <v>96.67</v>
      </c>
      <c r="H40" s="238">
        <v>96.67</v>
      </c>
      <c r="I40" s="219">
        <f t="shared" si="3"/>
        <v>120.83749999999999</v>
      </c>
      <c r="J40" s="324"/>
      <c r="K40" s="241"/>
      <c r="L40" s="241"/>
      <c r="M40" s="241"/>
      <c r="N40" s="241"/>
      <c r="O40" s="234"/>
      <c r="P40" s="234"/>
      <c r="Q40" s="234"/>
      <c r="R40" s="234"/>
      <c r="S40" s="234"/>
      <c r="T40" s="234"/>
      <c r="U40" s="234"/>
      <c r="V40" s="234"/>
      <c r="W40" s="234"/>
      <c r="X40" s="234"/>
    </row>
    <row r="41" spans="1:24" ht="16.5" customHeight="1" x14ac:dyDescent="0.25">
      <c r="A41" s="235" t="s">
        <v>78</v>
      </c>
      <c r="B41" s="249" t="s">
        <v>154</v>
      </c>
      <c r="C41" s="235" t="s">
        <v>96</v>
      </c>
      <c r="D41" s="238">
        <v>100</v>
      </c>
      <c r="E41" s="238"/>
      <c r="F41" s="238">
        <v>95</v>
      </c>
      <c r="G41" s="238">
        <v>93.31</v>
      </c>
      <c r="H41" s="238">
        <v>93.31</v>
      </c>
      <c r="I41" s="219">
        <f t="shared" si="3"/>
        <v>98.221052631578956</v>
      </c>
      <c r="J41" s="324"/>
      <c r="K41" s="241"/>
      <c r="L41" s="241"/>
      <c r="M41" s="241"/>
      <c r="N41" s="241"/>
      <c r="O41" s="234"/>
      <c r="P41" s="234"/>
      <c r="Q41" s="234"/>
      <c r="R41" s="234"/>
      <c r="S41" s="234"/>
      <c r="T41" s="234"/>
      <c r="U41" s="234"/>
      <c r="V41" s="234"/>
      <c r="W41" s="234"/>
      <c r="X41" s="234"/>
    </row>
    <row r="42" spans="1:24" ht="16.5" customHeight="1" x14ac:dyDescent="0.25">
      <c r="A42" s="235" t="s">
        <v>78</v>
      </c>
      <c r="B42" s="249" t="s">
        <v>147</v>
      </c>
      <c r="C42" s="235" t="s">
        <v>96</v>
      </c>
      <c r="D42" s="238">
        <v>100</v>
      </c>
      <c r="E42" s="238"/>
      <c r="F42" s="238">
        <v>100</v>
      </c>
      <c r="G42" s="238">
        <v>100</v>
      </c>
      <c r="H42" s="238">
        <v>100</v>
      </c>
      <c r="I42" s="219">
        <f t="shared" si="3"/>
        <v>100</v>
      </c>
      <c r="J42" s="324"/>
      <c r="K42" s="241"/>
      <c r="L42" s="241"/>
      <c r="M42" s="241"/>
      <c r="N42" s="241"/>
      <c r="O42" s="234"/>
      <c r="P42" s="234"/>
      <c r="Q42" s="234"/>
      <c r="R42" s="234"/>
      <c r="S42" s="234"/>
      <c r="T42" s="234"/>
      <c r="U42" s="234"/>
      <c r="V42" s="234"/>
      <c r="W42" s="234"/>
      <c r="X42" s="234"/>
    </row>
    <row r="43" spans="1:24" ht="16.5" customHeight="1" x14ac:dyDescent="0.25">
      <c r="A43" s="235" t="s">
        <v>78</v>
      </c>
      <c r="B43" s="249" t="s">
        <v>148</v>
      </c>
      <c r="C43" s="235" t="s">
        <v>96</v>
      </c>
      <c r="D43" s="238">
        <v>100</v>
      </c>
      <c r="E43" s="238"/>
      <c r="F43" s="238">
        <v>100</v>
      </c>
      <c r="G43" s="238">
        <v>96.62</v>
      </c>
      <c r="H43" s="238">
        <v>96.62</v>
      </c>
      <c r="I43" s="219">
        <f t="shared" si="3"/>
        <v>96.62</v>
      </c>
      <c r="J43" s="324"/>
      <c r="K43" s="241"/>
      <c r="L43" s="241"/>
      <c r="M43" s="241"/>
      <c r="N43" s="241"/>
      <c r="O43" s="234"/>
      <c r="P43" s="234"/>
      <c r="Q43" s="234"/>
      <c r="R43" s="234"/>
      <c r="S43" s="234"/>
      <c r="T43" s="234"/>
      <c r="U43" s="234"/>
      <c r="V43" s="234"/>
      <c r="W43" s="234"/>
      <c r="X43" s="234"/>
    </row>
    <row r="44" spans="1:24" ht="24" customHeight="1" x14ac:dyDescent="0.25">
      <c r="A44" s="235" t="s">
        <v>78</v>
      </c>
      <c r="B44" s="249" t="s">
        <v>150</v>
      </c>
      <c r="C44" s="235" t="s">
        <v>96</v>
      </c>
      <c r="D44" s="238">
        <v>99</v>
      </c>
      <c r="E44" s="238"/>
      <c r="F44" s="238">
        <v>100</v>
      </c>
      <c r="G44" s="239"/>
      <c r="H44" s="239"/>
      <c r="I44" s="298" t="s">
        <v>285</v>
      </c>
      <c r="J44" s="324"/>
      <c r="K44" s="241"/>
      <c r="L44" s="241"/>
      <c r="M44" s="241"/>
      <c r="N44" s="241"/>
      <c r="O44" s="234"/>
      <c r="P44" s="234"/>
      <c r="Q44" s="234"/>
      <c r="R44" s="234"/>
      <c r="S44" s="234"/>
      <c r="T44" s="234"/>
      <c r="U44" s="234"/>
      <c r="V44" s="234"/>
      <c r="W44" s="234"/>
      <c r="X44" s="234"/>
    </row>
    <row r="45" spans="1:24" ht="32.25" customHeight="1" x14ac:dyDescent="0.25">
      <c r="A45" s="235" t="s">
        <v>47</v>
      </c>
      <c r="B45" s="249" t="s">
        <v>155</v>
      </c>
      <c r="C45" s="235" t="s">
        <v>156</v>
      </c>
      <c r="D45" s="238"/>
      <c r="E45" s="238"/>
      <c r="F45" s="238">
        <v>99</v>
      </c>
      <c r="G45" s="239">
        <v>95.77</v>
      </c>
      <c r="H45" s="239">
        <v>95.77</v>
      </c>
      <c r="I45" s="219">
        <f t="shared" si="3"/>
        <v>96.73737373737373</v>
      </c>
      <c r="J45" s="315"/>
      <c r="K45" s="241"/>
      <c r="L45" s="241"/>
      <c r="M45" s="241"/>
      <c r="N45" s="241"/>
      <c r="O45" s="234"/>
      <c r="P45" s="234"/>
      <c r="Q45" s="234"/>
      <c r="R45" s="234"/>
      <c r="S45" s="234"/>
      <c r="T45" s="234"/>
      <c r="U45" s="234"/>
      <c r="V45" s="234"/>
      <c r="W45" s="234"/>
      <c r="X45" s="234"/>
    </row>
    <row r="46" spans="1:24" ht="16.5" customHeight="1" x14ac:dyDescent="0.25">
      <c r="A46" s="231">
        <v>7</v>
      </c>
      <c r="B46" s="253" t="s">
        <v>157</v>
      </c>
      <c r="C46" s="206"/>
      <c r="D46" s="238"/>
      <c r="E46" s="238"/>
      <c r="F46" s="238">
        <v>0</v>
      </c>
      <c r="G46" s="259"/>
      <c r="H46" s="238"/>
      <c r="I46" s="219"/>
      <c r="J46" s="210"/>
      <c r="K46" s="211"/>
      <c r="L46" s="211"/>
      <c r="M46" s="211"/>
      <c r="N46" s="211"/>
      <c r="O46" s="234"/>
      <c r="P46" s="234"/>
      <c r="Q46" s="234"/>
      <c r="R46" s="234"/>
      <c r="S46" s="234"/>
      <c r="T46" s="234"/>
      <c r="U46" s="234"/>
      <c r="V46" s="234"/>
      <c r="W46" s="234"/>
      <c r="X46" s="234"/>
    </row>
    <row r="47" spans="1:24" ht="16.5" customHeight="1" x14ac:dyDescent="0.25">
      <c r="A47" s="231" t="s">
        <v>47</v>
      </c>
      <c r="B47" s="248" t="s">
        <v>158</v>
      </c>
      <c r="C47" s="235" t="s">
        <v>96</v>
      </c>
      <c r="D47" s="238">
        <v>100</v>
      </c>
      <c r="E47" s="238"/>
      <c r="F47" s="238">
        <v>100</v>
      </c>
      <c r="G47" s="238">
        <v>100</v>
      </c>
      <c r="H47" s="238">
        <v>100</v>
      </c>
      <c r="I47" s="219">
        <f t="shared" si="3"/>
        <v>100</v>
      </c>
      <c r="J47" s="331"/>
      <c r="K47" s="260"/>
      <c r="L47" s="260"/>
      <c r="M47" s="260"/>
      <c r="N47" s="260"/>
      <c r="O47" s="234"/>
      <c r="P47" s="234"/>
      <c r="Q47" s="234"/>
      <c r="R47" s="234"/>
      <c r="S47" s="234"/>
      <c r="T47" s="234"/>
      <c r="U47" s="234"/>
      <c r="V47" s="234"/>
      <c r="W47" s="234"/>
      <c r="X47" s="234"/>
    </row>
    <row r="48" spans="1:24" ht="16.5" customHeight="1" x14ac:dyDescent="0.25">
      <c r="A48" s="231" t="s">
        <v>47</v>
      </c>
      <c r="B48" s="248" t="s">
        <v>159</v>
      </c>
      <c r="C48" s="235" t="s">
        <v>96</v>
      </c>
      <c r="D48" s="238">
        <v>1</v>
      </c>
      <c r="E48" s="238"/>
      <c r="F48" s="238">
        <v>100</v>
      </c>
      <c r="G48" s="238">
        <v>100</v>
      </c>
      <c r="H48" s="238">
        <v>100</v>
      </c>
      <c r="I48" s="219">
        <f t="shared" si="3"/>
        <v>100</v>
      </c>
      <c r="J48" s="324"/>
      <c r="K48" s="260"/>
      <c r="L48" s="260"/>
      <c r="M48" s="260"/>
      <c r="N48" s="260"/>
      <c r="O48" s="234"/>
      <c r="P48" s="234"/>
      <c r="Q48" s="234"/>
      <c r="R48" s="234"/>
      <c r="S48" s="234"/>
      <c r="T48" s="234"/>
      <c r="U48" s="234"/>
      <c r="V48" s="234"/>
      <c r="W48" s="234"/>
      <c r="X48" s="234"/>
    </row>
    <row r="49" spans="1:24" ht="21.75" customHeight="1" x14ac:dyDescent="0.25">
      <c r="A49" s="231"/>
      <c r="B49" s="261" t="s">
        <v>160</v>
      </c>
      <c r="C49" s="235" t="s">
        <v>96</v>
      </c>
      <c r="D49" s="238">
        <v>9.31</v>
      </c>
      <c r="E49" s="238"/>
      <c r="F49" s="238">
        <v>1</v>
      </c>
      <c r="G49" s="238"/>
      <c r="H49" s="238"/>
      <c r="I49" s="219">
        <f t="shared" si="3"/>
        <v>0</v>
      </c>
      <c r="J49" s="324"/>
      <c r="K49" s="260"/>
      <c r="L49" s="260"/>
      <c r="M49" s="260"/>
      <c r="N49" s="260"/>
      <c r="O49" s="234"/>
      <c r="P49" s="234"/>
      <c r="Q49" s="234"/>
      <c r="R49" s="234"/>
      <c r="S49" s="234"/>
      <c r="T49" s="234"/>
      <c r="U49" s="234"/>
      <c r="V49" s="234"/>
      <c r="W49" s="234"/>
      <c r="X49" s="234"/>
    </row>
    <row r="50" spans="1:24" ht="17.25" customHeight="1" x14ac:dyDescent="0.25">
      <c r="A50" s="231" t="s">
        <v>47</v>
      </c>
      <c r="B50" s="248" t="s">
        <v>161</v>
      </c>
      <c r="C50" s="235" t="s">
        <v>96</v>
      </c>
      <c r="D50" s="238"/>
      <c r="E50" s="238"/>
      <c r="F50" s="238">
        <f>D50-0.44</f>
        <v>-0.44</v>
      </c>
      <c r="G50" s="238"/>
      <c r="H50" s="238"/>
      <c r="I50" s="219">
        <f t="shared" si="3"/>
        <v>0</v>
      </c>
      <c r="J50" s="324"/>
      <c r="K50" s="260"/>
      <c r="L50" s="260"/>
      <c r="M50" s="260"/>
      <c r="N50" s="260"/>
      <c r="O50" s="234"/>
      <c r="P50" s="234"/>
      <c r="Q50" s="234"/>
      <c r="R50" s="234"/>
      <c r="S50" s="234"/>
      <c r="T50" s="234"/>
      <c r="U50" s="234"/>
      <c r="V50" s="234"/>
      <c r="W50" s="234"/>
      <c r="X50" s="234"/>
    </row>
    <row r="51" spans="1:24" ht="16.5" customHeight="1" x14ac:dyDescent="0.25">
      <c r="A51" s="231" t="s">
        <v>47</v>
      </c>
      <c r="B51" s="249" t="s">
        <v>162</v>
      </c>
      <c r="C51" s="237" t="s">
        <v>163</v>
      </c>
      <c r="D51" s="238">
        <v>10</v>
      </c>
      <c r="E51" s="238"/>
      <c r="F51" s="238">
        <v>10</v>
      </c>
      <c r="G51" s="238">
        <v>10</v>
      </c>
      <c r="H51" s="238">
        <v>10</v>
      </c>
      <c r="I51" s="219">
        <f t="shared" si="3"/>
        <v>100</v>
      </c>
      <c r="J51" s="324"/>
      <c r="K51" s="260"/>
      <c r="L51" s="260"/>
      <c r="M51" s="260"/>
      <c r="N51" s="260"/>
      <c r="O51" s="234"/>
      <c r="P51" s="234"/>
      <c r="Q51" s="234"/>
      <c r="R51" s="234"/>
      <c r="S51" s="234"/>
      <c r="T51" s="234"/>
      <c r="U51" s="234"/>
      <c r="V51" s="234"/>
      <c r="W51" s="234"/>
      <c r="X51" s="234"/>
    </row>
    <row r="52" spans="1:24" ht="16.5" customHeight="1" x14ac:dyDescent="0.25">
      <c r="A52" s="231" t="s">
        <v>78</v>
      </c>
      <c r="B52" s="249" t="s">
        <v>164</v>
      </c>
      <c r="C52" s="237" t="s">
        <v>163</v>
      </c>
      <c r="D52" s="238"/>
      <c r="E52" s="238"/>
      <c r="F52" s="238">
        <v>10</v>
      </c>
      <c r="G52" s="238"/>
      <c r="H52" s="238"/>
      <c r="I52" s="219">
        <f t="shared" si="3"/>
        <v>0</v>
      </c>
      <c r="J52" s="324"/>
      <c r="K52" s="260"/>
      <c r="L52" s="260"/>
      <c r="M52" s="260"/>
      <c r="N52" s="260"/>
      <c r="O52" s="234"/>
      <c r="P52" s="234"/>
      <c r="Q52" s="234"/>
      <c r="R52" s="234"/>
      <c r="S52" s="234"/>
      <c r="T52" s="234"/>
      <c r="U52" s="234"/>
      <c r="V52" s="234"/>
      <c r="W52" s="234"/>
      <c r="X52" s="234"/>
    </row>
    <row r="53" spans="1:24" ht="16.5" customHeight="1" x14ac:dyDescent="0.25">
      <c r="A53" s="231" t="s">
        <v>78</v>
      </c>
      <c r="B53" s="249" t="s">
        <v>165</v>
      </c>
      <c r="C53" s="237" t="s">
        <v>163</v>
      </c>
      <c r="D53" s="238">
        <v>6</v>
      </c>
      <c r="E53" s="238"/>
      <c r="F53" s="238">
        <v>6</v>
      </c>
      <c r="G53" s="238">
        <v>10</v>
      </c>
      <c r="H53" s="238">
        <v>10</v>
      </c>
      <c r="I53" s="219">
        <f t="shared" si="3"/>
        <v>166.66666666666669</v>
      </c>
      <c r="J53" s="324"/>
      <c r="K53" s="260"/>
      <c r="L53" s="260"/>
      <c r="M53" s="260"/>
      <c r="N53" s="260"/>
      <c r="O53" s="234"/>
      <c r="P53" s="234"/>
      <c r="Q53" s="234"/>
      <c r="R53" s="234"/>
      <c r="S53" s="234"/>
      <c r="T53" s="234"/>
      <c r="U53" s="234"/>
      <c r="V53" s="234"/>
      <c r="W53" s="234"/>
      <c r="X53" s="234"/>
    </row>
    <row r="54" spans="1:24" ht="16.5" customHeight="1" x14ac:dyDescent="0.25">
      <c r="A54" s="231" t="s">
        <v>47</v>
      </c>
      <c r="B54" s="249" t="s">
        <v>166</v>
      </c>
      <c r="C54" s="235" t="s">
        <v>96</v>
      </c>
      <c r="D54" s="238">
        <v>100</v>
      </c>
      <c r="E54" s="238"/>
      <c r="F54" s="238">
        <v>100</v>
      </c>
      <c r="G54" s="238">
        <v>100</v>
      </c>
      <c r="H54" s="238">
        <v>100</v>
      </c>
      <c r="I54" s="219">
        <f t="shared" si="3"/>
        <v>100</v>
      </c>
      <c r="J54" s="324"/>
      <c r="K54" s="260"/>
      <c r="L54" s="260"/>
      <c r="M54" s="260"/>
      <c r="N54" s="260"/>
      <c r="O54" s="234"/>
      <c r="P54" s="234"/>
      <c r="Q54" s="234"/>
      <c r="R54" s="234"/>
      <c r="S54" s="234"/>
      <c r="T54" s="234"/>
      <c r="U54" s="234"/>
      <c r="V54" s="234"/>
      <c r="W54" s="234"/>
      <c r="X54" s="234"/>
    </row>
    <row r="55" spans="1:24" ht="16.5" customHeight="1" x14ac:dyDescent="0.25">
      <c r="A55" s="231" t="s">
        <v>47</v>
      </c>
      <c r="B55" s="249" t="s">
        <v>167</v>
      </c>
      <c r="C55" s="237" t="s">
        <v>96</v>
      </c>
      <c r="D55" s="238">
        <v>100</v>
      </c>
      <c r="E55" s="238"/>
      <c r="F55" s="238">
        <v>100</v>
      </c>
      <c r="G55" s="238">
        <v>100</v>
      </c>
      <c r="H55" s="238">
        <v>100</v>
      </c>
      <c r="I55" s="219">
        <f t="shared" si="3"/>
        <v>100</v>
      </c>
      <c r="J55" s="324"/>
      <c r="K55" s="241"/>
      <c r="L55" s="241"/>
      <c r="M55" s="241"/>
      <c r="N55" s="241"/>
      <c r="O55" s="234"/>
      <c r="P55" s="234"/>
      <c r="Q55" s="234"/>
      <c r="R55" s="234"/>
      <c r="S55" s="234"/>
      <c r="T55" s="234"/>
      <c r="U55" s="234"/>
      <c r="V55" s="234"/>
      <c r="W55" s="234"/>
      <c r="X55" s="234"/>
    </row>
    <row r="56" spans="1:24" ht="18" customHeight="1" x14ac:dyDescent="0.25">
      <c r="A56" s="231" t="s">
        <v>47</v>
      </c>
      <c r="B56" s="249" t="s">
        <v>168</v>
      </c>
      <c r="C56" s="237" t="s">
        <v>163</v>
      </c>
      <c r="D56" s="238">
        <v>10</v>
      </c>
      <c r="E56" s="238"/>
      <c r="F56" s="238">
        <v>10</v>
      </c>
      <c r="G56" s="238">
        <v>10</v>
      </c>
      <c r="H56" s="238">
        <v>10</v>
      </c>
      <c r="I56" s="219">
        <f t="shared" si="3"/>
        <v>100</v>
      </c>
      <c r="J56" s="324"/>
      <c r="K56" s="241"/>
      <c r="L56" s="241"/>
      <c r="M56" s="241"/>
      <c r="N56" s="241"/>
      <c r="O56" s="234"/>
      <c r="P56" s="234"/>
      <c r="Q56" s="234"/>
      <c r="R56" s="234"/>
      <c r="S56" s="234"/>
      <c r="T56" s="234"/>
      <c r="U56" s="234"/>
      <c r="V56" s="234"/>
      <c r="W56" s="234"/>
      <c r="X56" s="234"/>
    </row>
    <row r="57" spans="1:24" ht="16.5" customHeight="1" x14ac:dyDescent="0.25">
      <c r="A57" s="231" t="s">
        <v>47</v>
      </c>
      <c r="B57" s="249" t="s">
        <v>169</v>
      </c>
      <c r="C57" s="237" t="s">
        <v>96</v>
      </c>
      <c r="D57" s="238">
        <v>100</v>
      </c>
      <c r="E57" s="238"/>
      <c r="F57" s="238">
        <v>100</v>
      </c>
      <c r="G57" s="239">
        <v>100</v>
      </c>
      <c r="H57" s="238">
        <v>100</v>
      </c>
      <c r="I57" s="219">
        <f t="shared" si="3"/>
        <v>100</v>
      </c>
      <c r="J57" s="324"/>
      <c r="K57" s="241"/>
      <c r="L57" s="241"/>
      <c r="M57" s="241"/>
      <c r="N57" s="241"/>
      <c r="O57" s="234"/>
      <c r="P57" s="234"/>
      <c r="Q57" s="234"/>
      <c r="R57" s="234"/>
      <c r="S57" s="234"/>
      <c r="T57" s="234"/>
      <c r="U57" s="234"/>
      <c r="V57" s="234"/>
      <c r="W57" s="234"/>
      <c r="X57" s="234"/>
    </row>
    <row r="58" spans="1:24" ht="16.5" customHeight="1" x14ac:dyDescent="0.25">
      <c r="A58" s="231" t="s">
        <v>47</v>
      </c>
      <c r="B58" s="249" t="s">
        <v>170</v>
      </c>
      <c r="C58" s="237" t="s">
        <v>96</v>
      </c>
      <c r="D58" s="238">
        <v>100</v>
      </c>
      <c r="E58" s="238"/>
      <c r="F58" s="238">
        <v>100</v>
      </c>
      <c r="G58" s="239">
        <v>100</v>
      </c>
      <c r="H58" s="238">
        <v>100</v>
      </c>
      <c r="I58" s="219">
        <f t="shared" si="3"/>
        <v>100</v>
      </c>
      <c r="J58" s="324"/>
      <c r="K58" s="241"/>
      <c r="L58" s="241"/>
      <c r="M58" s="241"/>
      <c r="N58" s="241"/>
      <c r="O58" s="234"/>
      <c r="P58" s="234"/>
      <c r="Q58" s="234"/>
      <c r="R58" s="234"/>
      <c r="S58" s="234"/>
      <c r="T58" s="234"/>
      <c r="U58" s="234"/>
      <c r="V58" s="234"/>
      <c r="W58" s="234"/>
      <c r="X58" s="234"/>
    </row>
    <row r="59" spans="1:24" ht="16.5" customHeight="1" x14ac:dyDescent="0.25">
      <c r="A59" s="231" t="s">
        <v>47</v>
      </c>
      <c r="B59" s="295" t="s">
        <v>171</v>
      </c>
      <c r="C59" s="237" t="s">
        <v>96</v>
      </c>
      <c r="D59" s="238">
        <v>31</v>
      </c>
      <c r="E59" s="238"/>
      <c r="F59" s="262" t="s">
        <v>172</v>
      </c>
      <c r="G59" s="262" t="s">
        <v>173</v>
      </c>
      <c r="H59" s="263" t="s">
        <v>172</v>
      </c>
      <c r="I59" s="219">
        <f>F59/G59*100</f>
        <v>99.35275080906149</v>
      </c>
      <c r="J59" s="324"/>
      <c r="K59" s="241"/>
      <c r="L59" s="241"/>
      <c r="M59" s="241"/>
      <c r="N59" s="241"/>
      <c r="O59" s="234"/>
      <c r="P59" s="234"/>
      <c r="Q59" s="234"/>
      <c r="R59" s="234"/>
      <c r="S59" s="234"/>
      <c r="T59" s="234"/>
      <c r="U59" s="234"/>
      <c r="V59" s="234"/>
      <c r="W59" s="234"/>
      <c r="X59" s="234"/>
    </row>
    <row r="60" spans="1:24" ht="16.5" customHeight="1" x14ac:dyDescent="0.25">
      <c r="A60" s="231" t="s">
        <v>47</v>
      </c>
      <c r="B60" s="295" t="s">
        <v>174</v>
      </c>
      <c r="C60" s="237" t="s">
        <v>96</v>
      </c>
      <c r="D60" s="238">
        <v>17</v>
      </c>
      <c r="E60" s="238"/>
      <c r="F60" s="263" t="s">
        <v>175</v>
      </c>
      <c r="G60" s="263" t="s">
        <v>176</v>
      </c>
      <c r="H60" s="263" t="s">
        <v>175</v>
      </c>
      <c r="I60" s="219">
        <f>F60/G60*100</f>
        <v>99.40119760479044</v>
      </c>
      <c r="J60" s="324"/>
      <c r="K60" s="241"/>
      <c r="L60" s="241"/>
      <c r="M60" s="241"/>
      <c r="N60" s="241"/>
      <c r="O60" s="234"/>
      <c r="P60" s="234"/>
      <c r="Q60" s="234"/>
      <c r="R60" s="234"/>
      <c r="S60" s="234"/>
      <c r="T60" s="234"/>
      <c r="U60" s="234"/>
      <c r="V60" s="234"/>
      <c r="W60" s="234"/>
      <c r="X60" s="234"/>
    </row>
    <row r="61" spans="1:24" ht="30" customHeight="1" x14ac:dyDescent="0.25">
      <c r="A61" s="231" t="s">
        <v>47</v>
      </c>
      <c r="B61" s="295" t="s">
        <v>177</v>
      </c>
      <c r="C61" s="237" t="s">
        <v>178</v>
      </c>
      <c r="D61" s="238">
        <v>0</v>
      </c>
      <c r="E61" s="238"/>
      <c r="F61" s="238">
        <v>0</v>
      </c>
      <c r="G61" s="238">
        <v>0</v>
      </c>
      <c r="H61" s="238">
        <v>0</v>
      </c>
      <c r="I61" s="219"/>
      <c r="J61" s="324"/>
      <c r="K61" s="241"/>
      <c r="L61" s="241"/>
      <c r="M61" s="241"/>
      <c r="N61" s="241"/>
      <c r="O61" s="234"/>
      <c r="P61" s="234"/>
      <c r="Q61" s="234"/>
      <c r="R61" s="234"/>
      <c r="S61" s="234"/>
      <c r="T61" s="234"/>
      <c r="U61" s="234"/>
      <c r="V61" s="234"/>
      <c r="W61" s="234"/>
      <c r="X61" s="234"/>
    </row>
    <row r="62" spans="1:24" ht="17.25" customHeight="1" x14ac:dyDescent="0.25">
      <c r="A62" s="231" t="s">
        <v>47</v>
      </c>
      <c r="B62" s="299" t="s">
        <v>179</v>
      </c>
      <c r="C62" s="237" t="s">
        <v>96</v>
      </c>
      <c r="D62" s="238">
        <v>94</v>
      </c>
      <c r="E62" s="238"/>
      <c r="F62" s="238">
        <v>94</v>
      </c>
      <c r="G62" s="238">
        <v>63</v>
      </c>
      <c r="H62" s="238">
        <v>95</v>
      </c>
      <c r="I62" s="219">
        <f t="shared" si="3"/>
        <v>67.021276595744681</v>
      </c>
      <c r="J62" s="324"/>
      <c r="K62" s="241"/>
      <c r="L62" s="241"/>
      <c r="M62" s="241"/>
      <c r="N62" s="241"/>
      <c r="O62" s="234"/>
      <c r="P62" s="234"/>
      <c r="Q62" s="234"/>
      <c r="R62" s="234"/>
      <c r="S62" s="234"/>
      <c r="T62" s="234"/>
      <c r="U62" s="234"/>
      <c r="V62" s="234"/>
      <c r="W62" s="234"/>
      <c r="X62" s="234"/>
    </row>
    <row r="63" spans="1:24" ht="17.25" customHeight="1" x14ac:dyDescent="0.25">
      <c r="A63" s="231" t="s">
        <v>47</v>
      </c>
      <c r="B63" s="295" t="s">
        <v>180</v>
      </c>
      <c r="C63" s="237" t="s">
        <v>96</v>
      </c>
      <c r="D63" s="238">
        <v>83.3</v>
      </c>
      <c r="E63" s="238"/>
      <c r="F63" s="238">
        <v>47</v>
      </c>
      <c r="G63" s="238">
        <v>47</v>
      </c>
      <c r="H63" s="238">
        <v>47</v>
      </c>
      <c r="I63" s="219">
        <f t="shared" si="3"/>
        <v>100</v>
      </c>
      <c r="J63" s="324"/>
      <c r="K63" s="241"/>
      <c r="L63" s="241"/>
      <c r="M63" s="241"/>
      <c r="N63" s="241"/>
      <c r="O63" s="234"/>
      <c r="P63" s="234"/>
      <c r="Q63" s="234"/>
      <c r="R63" s="234"/>
      <c r="S63" s="234"/>
      <c r="T63" s="234"/>
      <c r="U63" s="234"/>
      <c r="V63" s="234"/>
      <c r="W63" s="234"/>
      <c r="X63" s="234"/>
    </row>
    <row r="64" spans="1:24" ht="17.25" customHeight="1" x14ac:dyDescent="0.25">
      <c r="A64" s="231" t="s">
        <v>47</v>
      </c>
      <c r="B64" s="248" t="s">
        <v>181</v>
      </c>
      <c r="C64" s="237" t="s">
        <v>96</v>
      </c>
      <c r="D64" s="238">
        <v>86</v>
      </c>
      <c r="E64" s="238"/>
      <c r="F64" s="238">
        <v>86</v>
      </c>
      <c r="G64" s="238">
        <v>65</v>
      </c>
      <c r="H64" s="238">
        <v>90</v>
      </c>
      <c r="I64" s="219">
        <f t="shared" si="3"/>
        <v>75.581395348837205</v>
      </c>
      <c r="J64" s="324"/>
      <c r="K64" s="241"/>
      <c r="L64" s="241"/>
      <c r="M64" s="241"/>
      <c r="N64" s="241"/>
      <c r="O64" s="234"/>
      <c r="P64" s="234"/>
      <c r="Q64" s="234"/>
      <c r="R64" s="234"/>
      <c r="S64" s="234"/>
      <c r="T64" s="234"/>
      <c r="U64" s="234"/>
      <c r="V64" s="234"/>
      <c r="W64" s="234"/>
      <c r="X64" s="234"/>
    </row>
    <row r="65" spans="1:24" ht="16.5" customHeight="1" x14ac:dyDescent="0.25">
      <c r="A65" s="231" t="s">
        <v>47</v>
      </c>
      <c r="B65" s="248" t="s">
        <v>182</v>
      </c>
      <c r="C65" s="237" t="s">
        <v>96</v>
      </c>
      <c r="D65" s="238">
        <v>75</v>
      </c>
      <c r="E65" s="238"/>
      <c r="F65" s="238">
        <v>75</v>
      </c>
      <c r="G65" s="238">
        <v>60</v>
      </c>
      <c r="H65" s="238">
        <v>70</v>
      </c>
      <c r="I65" s="219">
        <f t="shared" si="3"/>
        <v>80</v>
      </c>
      <c r="J65" s="324"/>
      <c r="K65" s="241"/>
      <c r="L65" s="241"/>
      <c r="M65" s="241"/>
      <c r="N65" s="241"/>
      <c r="O65" s="234"/>
      <c r="P65" s="234"/>
      <c r="Q65" s="234"/>
      <c r="R65" s="234"/>
      <c r="S65" s="234"/>
      <c r="T65" s="234"/>
      <c r="U65" s="234"/>
      <c r="V65" s="234"/>
      <c r="W65" s="234"/>
      <c r="X65" s="234"/>
    </row>
    <row r="66" spans="1:24" ht="16.5" customHeight="1" x14ac:dyDescent="0.25">
      <c r="A66" s="231" t="s">
        <v>47</v>
      </c>
      <c r="B66" s="248" t="s">
        <v>183</v>
      </c>
      <c r="C66" s="237" t="s">
        <v>96</v>
      </c>
      <c r="D66" s="238">
        <v>75</v>
      </c>
      <c r="E66" s="238"/>
      <c r="F66" s="238">
        <v>82</v>
      </c>
      <c r="G66" s="238">
        <v>60</v>
      </c>
      <c r="H66" s="238">
        <v>70</v>
      </c>
      <c r="I66" s="219">
        <f t="shared" si="3"/>
        <v>73.170731707317074</v>
      </c>
      <c r="J66" s="324"/>
      <c r="K66" s="241"/>
      <c r="L66" s="241"/>
      <c r="M66" s="241"/>
      <c r="N66" s="241"/>
      <c r="O66" s="234"/>
      <c r="P66" s="234"/>
      <c r="Q66" s="234"/>
      <c r="R66" s="234"/>
      <c r="S66" s="234"/>
      <c r="T66" s="234"/>
      <c r="U66" s="234"/>
      <c r="V66" s="234"/>
      <c r="W66" s="234"/>
      <c r="X66" s="234"/>
    </row>
    <row r="67" spans="1:24" ht="16.5" customHeight="1" x14ac:dyDescent="0.25">
      <c r="A67" s="231" t="s">
        <v>47</v>
      </c>
      <c r="B67" s="248" t="s">
        <v>184</v>
      </c>
      <c r="C67" s="237" t="s">
        <v>96</v>
      </c>
      <c r="D67" s="238">
        <v>92</v>
      </c>
      <c r="E67" s="238"/>
      <c r="F67" s="238">
        <v>92</v>
      </c>
      <c r="G67" s="238">
        <v>81.3</v>
      </c>
      <c r="H67" s="238">
        <v>82</v>
      </c>
      <c r="I67" s="219">
        <f t="shared" si="3"/>
        <v>88.369565217391298</v>
      </c>
      <c r="J67" s="324"/>
      <c r="K67" s="241"/>
      <c r="L67" s="241"/>
      <c r="M67" s="241"/>
      <c r="N67" s="241"/>
      <c r="O67" s="234"/>
      <c r="P67" s="234"/>
      <c r="Q67" s="234"/>
      <c r="R67" s="234"/>
      <c r="S67" s="234"/>
      <c r="T67" s="234"/>
      <c r="U67" s="234"/>
      <c r="V67" s="234"/>
      <c r="W67" s="234"/>
      <c r="X67" s="234"/>
    </row>
    <row r="68" spans="1:24" ht="16.5" customHeight="1" x14ac:dyDescent="0.25">
      <c r="A68" s="231" t="s">
        <v>47</v>
      </c>
      <c r="B68" s="248" t="s">
        <v>185</v>
      </c>
      <c r="C68" s="237" t="s">
        <v>96</v>
      </c>
      <c r="D68" s="238">
        <v>92</v>
      </c>
      <c r="E68" s="238"/>
      <c r="F68" s="238">
        <v>92</v>
      </c>
      <c r="G68" s="238">
        <v>74</v>
      </c>
      <c r="H68" s="238">
        <v>75</v>
      </c>
      <c r="I68" s="219">
        <f t="shared" si="3"/>
        <v>80.434782608695656</v>
      </c>
      <c r="J68" s="324"/>
      <c r="K68" s="241"/>
      <c r="L68" s="241"/>
      <c r="M68" s="241"/>
      <c r="N68" s="241"/>
      <c r="O68" s="234"/>
      <c r="P68" s="234"/>
      <c r="Q68" s="234"/>
      <c r="R68" s="234"/>
      <c r="S68" s="234"/>
      <c r="T68" s="234"/>
      <c r="U68" s="234"/>
      <c r="V68" s="234"/>
      <c r="W68" s="234"/>
      <c r="X68" s="234"/>
    </row>
    <row r="69" spans="1:24" ht="36" customHeight="1" x14ac:dyDescent="0.25">
      <c r="A69" s="231" t="s">
        <v>47</v>
      </c>
      <c r="B69" s="248" t="s">
        <v>186</v>
      </c>
      <c r="C69" s="237" t="s">
        <v>96</v>
      </c>
      <c r="D69" s="238">
        <v>100</v>
      </c>
      <c r="E69" s="238"/>
      <c r="F69" s="238">
        <v>100</v>
      </c>
      <c r="G69" s="238">
        <v>100</v>
      </c>
      <c r="H69" s="238">
        <v>100</v>
      </c>
      <c r="I69" s="219">
        <f t="shared" si="3"/>
        <v>100</v>
      </c>
      <c r="J69" s="324"/>
      <c r="K69" s="241"/>
      <c r="L69" s="241"/>
      <c r="M69" s="241"/>
      <c r="N69" s="241"/>
      <c r="O69" s="234"/>
      <c r="P69" s="234"/>
      <c r="Q69" s="234"/>
      <c r="R69" s="234"/>
      <c r="S69" s="234"/>
      <c r="T69" s="234"/>
      <c r="U69" s="234"/>
      <c r="V69" s="234"/>
      <c r="W69" s="234"/>
      <c r="X69" s="234"/>
    </row>
    <row r="70" spans="1:24" ht="20.25" customHeight="1" x14ac:dyDescent="0.25">
      <c r="A70" s="231" t="s">
        <v>47</v>
      </c>
      <c r="B70" s="248" t="s">
        <v>187</v>
      </c>
      <c r="C70" s="237" t="s">
        <v>96</v>
      </c>
      <c r="D70" s="238">
        <v>97</v>
      </c>
      <c r="E70" s="238"/>
      <c r="F70" s="238">
        <v>90</v>
      </c>
      <c r="G70" s="238">
        <v>52.5</v>
      </c>
      <c r="H70" s="238">
        <v>92</v>
      </c>
      <c r="I70" s="219">
        <f t="shared" si="3"/>
        <v>58.333333333333336</v>
      </c>
      <c r="J70" s="324"/>
      <c r="K70" s="241"/>
      <c r="L70" s="241"/>
      <c r="M70" s="241"/>
      <c r="N70" s="241"/>
      <c r="O70" s="234"/>
      <c r="P70" s="234"/>
      <c r="Q70" s="234"/>
      <c r="R70" s="234"/>
      <c r="S70" s="234"/>
      <c r="T70" s="234"/>
      <c r="U70" s="234"/>
      <c r="V70" s="234"/>
      <c r="W70" s="234"/>
      <c r="X70" s="234"/>
    </row>
    <row r="71" spans="1:24" ht="21" customHeight="1" x14ac:dyDescent="0.25">
      <c r="A71" s="231" t="s">
        <v>47</v>
      </c>
      <c r="B71" s="248" t="s">
        <v>188</v>
      </c>
      <c r="C71" s="237" t="s">
        <v>96</v>
      </c>
      <c r="D71" s="238">
        <v>98</v>
      </c>
      <c r="E71" s="238"/>
      <c r="F71" s="238">
        <v>97</v>
      </c>
      <c r="G71" s="238">
        <v>54.6</v>
      </c>
      <c r="H71" s="238">
        <v>97</v>
      </c>
      <c r="I71" s="219">
        <f t="shared" si="3"/>
        <v>56.288659793814432</v>
      </c>
      <c r="J71" s="315"/>
      <c r="K71" s="241"/>
      <c r="L71" s="241"/>
      <c r="M71" s="241"/>
      <c r="N71" s="241"/>
      <c r="O71" s="234"/>
      <c r="P71" s="234"/>
      <c r="Q71" s="234"/>
      <c r="R71" s="234"/>
      <c r="S71" s="234"/>
      <c r="T71" s="234"/>
      <c r="U71" s="234"/>
      <c r="V71" s="234"/>
      <c r="W71" s="234"/>
      <c r="X71" s="234"/>
    </row>
    <row r="72" spans="1:24" ht="16.5" customHeight="1" x14ac:dyDescent="0.25">
      <c r="A72" s="206">
        <v>8</v>
      </c>
      <c r="B72" s="253" t="s">
        <v>189</v>
      </c>
      <c r="C72" s="206"/>
      <c r="D72" s="238"/>
      <c r="E72" s="238"/>
      <c r="F72" s="238">
        <v>98</v>
      </c>
      <c r="G72" s="238"/>
      <c r="H72" s="238"/>
      <c r="I72" s="219">
        <f t="shared" si="3"/>
        <v>0</v>
      </c>
      <c r="J72" s="240"/>
      <c r="K72" s="241"/>
      <c r="L72" s="241"/>
      <c r="M72" s="241"/>
      <c r="N72" s="241"/>
      <c r="O72" s="234"/>
      <c r="P72" s="234"/>
      <c r="Q72" s="234"/>
      <c r="R72" s="234"/>
      <c r="S72" s="234"/>
      <c r="T72" s="234"/>
      <c r="U72" s="234"/>
      <c r="V72" s="234"/>
      <c r="W72" s="234"/>
      <c r="X72" s="234"/>
    </row>
    <row r="73" spans="1:24" ht="16.5" customHeight="1" x14ac:dyDescent="0.25">
      <c r="A73" s="235" t="s">
        <v>47</v>
      </c>
      <c r="B73" s="249" t="s">
        <v>190</v>
      </c>
      <c r="C73" s="235" t="s">
        <v>191</v>
      </c>
      <c r="D73" s="238">
        <v>280</v>
      </c>
      <c r="E73" s="238"/>
      <c r="F73" s="238">
        <f>SUM(F74:F75)</f>
        <v>313</v>
      </c>
      <c r="G73" s="238">
        <v>295</v>
      </c>
      <c r="H73" s="238">
        <f>F73-G73</f>
        <v>18</v>
      </c>
      <c r="I73" s="219">
        <f t="shared" si="3"/>
        <v>94.249201277955279</v>
      </c>
      <c r="J73" s="331"/>
      <c r="K73" s="241"/>
      <c r="L73" s="241"/>
      <c r="M73" s="241"/>
      <c r="N73" s="241"/>
      <c r="O73" s="234"/>
      <c r="P73" s="234"/>
      <c r="Q73" s="234"/>
      <c r="R73" s="234"/>
      <c r="S73" s="234"/>
      <c r="T73" s="234"/>
      <c r="U73" s="234"/>
      <c r="V73" s="234"/>
      <c r="W73" s="234"/>
      <c r="X73" s="234"/>
    </row>
    <row r="74" spans="1:24" ht="16.5" customHeight="1" x14ac:dyDescent="0.25">
      <c r="A74" s="213"/>
      <c r="B74" s="261" t="s">
        <v>192</v>
      </c>
      <c r="C74" s="213" t="s">
        <v>191</v>
      </c>
      <c r="D74" s="264">
        <v>4</v>
      </c>
      <c r="E74" s="264"/>
      <c r="F74" s="264">
        <v>5</v>
      </c>
      <c r="G74" s="264">
        <v>35</v>
      </c>
      <c r="H74" s="264">
        <v>0</v>
      </c>
      <c r="I74" s="219">
        <f t="shared" si="3"/>
        <v>700</v>
      </c>
      <c r="J74" s="324"/>
      <c r="K74" s="221"/>
      <c r="L74" s="221"/>
      <c r="M74" s="221"/>
      <c r="N74" s="221"/>
      <c r="O74" s="265"/>
      <c r="P74" s="265"/>
      <c r="Q74" s="265"/>
      <c r="R74" s="265"/>
      <c r="S74" s="265"/>
      <c r="T74" s="265"/>
      <c r="U74" s="265"/>
      <c r="V74" s="265"/>
      <c r="W74" s="265"/>
      <c r="X74" s="265"/>
    </row>
    <row r="75" spans="1:24" ht="16.5" customHeight="1" x14ac:dyDescent="0.25">
      <c r="A75" s="213"/>
      <c r="B75" s="261" t="s">
        <v>193</v>
      </c>
      <c r="C75" s="213" t="s">
        <v>191</v>
      </c>
      <c r="D75" s="264">
        <v>190</v>
      </c>
      <c r="E75" s="264"/>
      <c r="F75" s="264">
        <v>308</v>
      </c>
      <c r="G75" s="264">
        <f>G73-G74</f>
        <v>260</v>
      </c>
      <c r="H75" s="264">
        <f>F75-G75</f>
        <v>48</v>
      </c>
      <c r="I75" s="219">
        <f t="shared" si="3"/>
        <v>84.415584415584405</v>
      </c>
      <c r="J75" s="324"/>
      <c r="K75" s="221"/>
      <c r="L75" s="221"/>
      <c r="M75" s="221"/>
      <c r="N75" s="221"/>
      <c r="O75" s="265"/>
      <c r="P75" s="265"/>
      <c r="Q75" s="265"/>
      <c r="R75" s="265"/>
      <c r="S75" s="265"/>
      <c r="T75" s="265"/>
      <c r="U75" s="265"/>
      <c r="V75" s="265"/>
      <c r="W75" s="265"/>
      <c r="X75" s="265"/>
    </row>
    <row r="76" spans="1:24" ht="16.5" customHeight="1" x14ac:dyDescent="0.25">
      <c r="A76" s="235" t="s">
        <v>47</v>
      </c>
      <c r="B76" s="249" t="s">
        <v>194</v>
      </c>
      <c r="C76" s="235" t="s">
        <v>195</v>
      </c>
      <c r="D76" s="238">
        <v>0.45</v>
      </c>
      <c r="E76" s="238"/>
      <c r="F76" s="238">
        <v>200</v>
      </c>
      <c r="G76" s="238">
        <v>650</v>
      </c>
      <c r="H76" s="238"/>
      <c r="I76" s="219">
        <f t="shared" si="3"/>
        <v>325</v>
      </c>
      <c r="J76" s="324"/>
      <c r="K76" s="221"/>
      <c r="L76" s="221"/>
      <c r="M76" s="221"/>
      <c r="N76" s="221"/>
      <c r="O76" s="234"/>
      <c r="P76" s="234"/>
      <c r="Q76" s="234"/>
      <c r="R76" s="234"/>
      <c r="S76" s="234"/>
      <c r="T76" s="234"/>
      <c r="U76" s="234"/>
      <c r="V76" s="234"/>
      <c r="W76" s="234"/>
      <c r="X76" s="234"/>
    </row>
    <row r="77" spans="1:24" ht="16.5" customHeight="1" x14ac:dyDescent="0.25">
      <c r="A77" s="235" t="s">
        <v>47</v>
      </c>
      <c r="B77" s="249" t="s">
        <v>196</v>
      </c>
      <c r="C77" s="235" t="s">
        <v>197</v>
      </c>
      <c r="D77" s="238">
        <v>0</v>
      </c>
      <c r="E77" s="238"/>
      <c r="F77" s="238">
        <v>0</v>
      </c>
      <c r="G77" s="238"/>
      <c r="H77" s="238"/>
      <c r="I77" s="219"/>
      <c r="J77" s="324"/>
      <c r="K77" s="221"/>
      <c r="L77" s="221"/>
      <c r="M77" s="221"/>
      <c r="N77" s="221"/>
      <c r="O77" s="234"/>
      <c r="P77" s="234"/>
      <c r="Q77" s="234"/>
      <c r="R77" s="234"/>
      <c r="S77" s="234"/>
      <c r="T77" s="234"/>
      <c r="U77" s="234"/>
      <c r="V77" s="234"/>
      <c r="W77" s="234"/>
      <c r="X77" s="234"/>
    </row>
    <row r="78" spans="1:24" ht="16.5" customHeight="1" x14ac:dyDescent="0.25">
      <c r="A78" s="235" t="s">
        <v>47</v>
      </c>
      <c r="B78" s="249" t="s">
        <v>198</v>
      </c>
      <c r="C78" s="235" t="s">
        <v>199</v>
      </c>
      <c r="D78" s="238">
        <v>0</v>
      </c>
      <c r="E78" s="238"/>
      <c r="F78" s="238">
        <v>0</v>
      </c>
      <c r="G78" s="238"/>
      <c r="H78" s="238"/>
      <c r="I78" s="219"/>
      <c r="J78" s="324"/>
      <c r="K78" s="221"/>
      <c r="L78" s="221"/>
      <c r="M78" s="221"/>
      <c r="N78" s="221"/>
      <c r="O78" s="234"/>
      <c r="P78" s="234"/>
      <c r="Q78" s="234"/>
      <c r="R78" s="234"/>
      <c r="S78" s="234"/>
      <c r="T78" s="234"/>
      <c r="U78" s="234"/>
      <c r="V78" s="234"/>
      <c r="W78" s="234"/>
      <c r="X78" s="234"/>
    </row>
    <row r="79" spans="1:24" ht="16.5" customHeight="1" x14ac:dyDescent="0.25">
      <c r="A79" s="235" t="s">
        <v>47</v>
      </c>
      <c r="B79" s="249" t="s">
        <v>200</v>
      </c>
      <c r="C79" s="235" t="s">
        <v>199</v>
      </c>
      <c r="D79" s="238">
        <v>0</v>
      </c>
      <c r="E79" s="238"/>
      <c r="F79" s="238"/>
      <c r="G79" s="238"/>
      <c r="H79" s="238"/>
      <c r="I79" s="219"/>
      <c r="J79" s="324"/>
      <c r="K79" s="221"/>
      <c r="L79" s="221"/>
      <c r="M79" s="221"/>
      <c r="N79" s="221"/>
      <c r="O79" s="234"/>
      <c r="P79" s="234"/>
      <c r="Q79" s="234"/>
      <c r="R79" s="234"/>
      <c r="S79" s="234"/>
      <c r="T79" s="234"/>
      <c r="U79" s="234"/>
      <c r="V79" s="234"/>
      <c r="W79" s="234"/>
      <c r="X79" s="234"/>
    </row>
    <row r="80" spans="1:24" ht="16.5" customHeight="1" x14ac:dyDescent="0.25">
      <c r="A80" s="235" t="s">
        <v>47</v>
      </c>
      <c r="B80" s="249" t="s">
        <v>201</v>
      </c>
      <c r="C80" s="235" t="s">
        <v>96</v>
      </c>
      <c r="D80" s="238">
        <v>100</v>
      </c>
      <c r="E80" s="238"/>
      <c r="F80" s="238">
        <v>100</v>
      </c>
      <c r="G80" s="238">
        <v>100</v>
      </c>
      <c r="H80" s="238">
        <v>100</v>
      </c>
      <c r="I80" s="219">
        <f t="shared" si="3"/>
        <v>100</v>
      </c>
      <c r="J80" s="324"/>
      <c r="K80" s="221"/>
      <c r="L80" s="221"/>
      <c r="M80" s="221"/>
      <c r="N80" s="221"/>
      <c r="O80" s="234"/>
      <c r="P80" s="234"/>
      <c r="Q80" s="234"/>
      <c r="R80" s="234"/>
      <c r="S80" s="234"/>
      <c r="T80" s="234"/>
      <c r="U80" s="234"/>
      <c r="V80" s="234"/>
      <c r="W80" s="234"/>
      <c r="X80" s="234"/>
    </row>
    <row r="81" spans="1:24" ht="16.5" customHeight="1" x14ac:dyDescent="0.25">
      <c r="A81" s="235" t="s">
        <v>47</v>
      </c>
      <c r="B81" s="249" t="s">
        <v>202</v>
      </c>
      <c r="C81" s="235" t="s">
        <v>96</v>
      </c>
      <c r="D81" s="238">
        <v>100</v>
      </c>
      <c r="E81" s="238"/>
      <c r="F81" s="238">
        <v>100</v>
      </c>
      <c r="G81" s="238">
        <v>100</v>
      </c>
      <c r="H81" s="238">
        <v>100</v>
      </c>
      <c r="I81" s="219">
        <f t="shared" si="3"/>
        <v>100</v>
      </c>
      <c r="J81" s="324"/>
      <c r="K81" s="221"/>
      <c r="L81" s="221"/>
      <c r="M81" s="221"/>
      <c r="N81" s="221"/>
      <c r="O81" s="234"/>
      <c r="P81" s="234"/>
      <c r="Q81" s="234"/>
      <c r="R81" s="234"/>
      <c r="S81" s="234"/>
      <c r="T81" s="234"/>
      <c r="U81" s="234"/>
      <c r="V81" s="234"/>
      <c r="W81" s="234"/>
      <c r="X81" s="234"/>
    </row>
    <row r="82" spans="1:24" ht="16.5" customHeight="1" x14ac:dyDescent="0.25">
      <c r="A82" s="235" t="s">
        <v>47</v>
      </c>
      <c r="B82" s="249" t="s">
        <v>203</v>
      </c>
      <c r="C82" s="235" t="s">
        <v>96</v>
      </c>
      <c r="D82" s="238">
        <v>85</v>
      </c>
      <c r="E82" s="238"/>
      <c r="F82" s="238">
        <v>100</v>
      </c>
      <c r="G82" s="238">
        <v>100</v>
      </c>
      <c r="H82" s="238">
        <v>100</v>
      </c>
      <c r="I82" s="219">
        <f t="shared" si="3"/>
        <v>100</v>
      </c>
      <c r="J82" s="324"/>
      <c r="K82" s="221"/>
      <c r="L82" s="221"/>
      <c r="M82" s="221"/>
      <c r="N82" s="221"/>
      <c r="O82" s="234"/>
      <c r="P82" s="234"/>
      <c r="Q82" s="234"/>
      <c r="R82" s="266"/>
      <c r="S82" s="234"/>
      <c r="T82" s="234"/>
      <c r="U82" s="234"/>
      <c r="V82" s="234"/>
      <c r="W82" s="234"/>
      <c r="X82" s="234"/>
    </row>
    <row r="83" spans="1:24" ht="16.5" customHeight="1" x14ac:dyDescent="0.25">
      <c r="A83" s="235" t="s">
        <v>47</v>
      </c>
      <c r="B83" s="249" t="s">
        <v>204</v>
      </c>
      <c r="C83" s="235" t="s">
        <v>96</v>
      </c>
      <c r="D83" s="238">
        <v>38</v>
      </c>
      <c r="E83" s="238"/>
      <c r="F83" s="238">
        <v>86</v>
      </c>
      <c r="G83" s="238">
        <v>86</v>
      </c>
      <c r="H83" s="238">
        <v>86</v>
      </c>
      <c r="I83" s="219">
        <f t="shared" si="3"/>
        <v>100</v>
      </c>
      <c r="J83" s="324"/>
      <c r="K83" s="221"/>
      <c r="L83" s="221"/>
      <c r="M83" s="221"/>
      <c r="N83" s="221"/>
      <c r="O83" s="234"/>
      <c r="P83" s="234"/>
      <c r="Q83" s="234"/>
      <c r="R83" s="234"/>
      <c r="S83" s="234"/>
      <c r="T83" s="234"/>
      <c r="U83" s="234"/>
      <c r="V83" s="234"/>
      <c r="W83" s="234"/>
      <c r="X83" s="234"/>
    </row>
    <row r="84" spans="1:24" ht="16.5" customHeight="1" x14ac:dyDescent="0.25">
      <c r="A84" s="235" t="s">
        <v>47</v>
      </c>
      <c r="B84" s="249" t="s">
        <v>205</v>
      </c>
      <c r="C84" s="235" t="s">
        <v>206</v>
      </c>
      <c r="D84" s="238">
        <v>4</v>
      </c>
      <c r="E84" s="238"/>
      <c r="F84" s="238"/>
      <c r="G84" s="238"/>
      <c r="H84" s="238"/>
      <c r="I84" s="219"/>
      <c r="J84" s="324"/>
      <c r="K84" s="221"/>
      <c r="L84" s="221"/>
      <c r="M84" s="221"/>
      <c r="N84" s="221"/>
      <c r="O84" s="234"/>
      <c r="P84" s="234"/>
      <c r="Q84" s="234"/>
      <c r="R84" s="234"/>
      <c r="S84" s="234"/>
      <c r="T84" s="234"/>
      <c r="U84" s="234"/>
      <c r="V84" s="234"/>
      <c r="W84" s="234"/>
      <c r="X84" s="234"/>
    </row>
    <row r="85" spans="1:24" ht="16.5" customHeight="1" x14ac:dyDescent="0.25">
      <c r="A85" s="235" t="s">
        <v>47</v>
      </c>
      <c r="B85" s="249" t="s">
        <v>207</v>
      </c>
      <c r="C85" s="235" t="s">
        <v>96</v>
      </c>
      <c r="D85" s="238">
        <v>80</v>
      </c>
      <c r="E85" s="238"/>
      <c r="F85" s="238">
        <v>100</v>
      </c>
      <c r="G85" s="238">
        <v>100</v>
      </c>
      <c r="H85" s="238">
        <v>100</v>
      </c>
      <c r="I85" s="219">
        <f t="shared" si="3"/>
        <v>100</v>
      </c>
      <c r="J85" s="315"/>
      <c r="K85" s="221"/>
      <c r="L85" s="221"/>
      <c r="M85" s="221"/>
      <c r="N85" s="221"/>
      <c r="O85" s="234"/>
      <c r="P85" s="234"/>
      <c r="Q85" s="234"/>
      <c r="R85" s="234"/>
      <c r="S85" s="234"/>
      <c r="T85" s="234"/>
      <c r="U85" s="234"/>
      <c r="V85" s="234"/>
      <c r="W85" s="234"/>
      <c r="X85" s="234"/>
    </row>
    <row r="86" spans="1:24" ht="16.5" customHeight="1" x14ac:dyDescent="0.25">
      <c r="A86" s="206">
        <v>9</v>
      </c>
      <c r="B86" s="253" t="s">
        <v>208</v>
      </c>
      <c r="C86" s="206"/>
      <c r="D86" s="238"/>
      <c r="E86" s="238"/>
      <c r="F86" s="238">
        <v>81</v>
      </c>
      <c r="G86" s="239"/>
      <c r="H86" s="238"/>
      <c r="I86" s="219">
        <f t="shared" si="3"/>
        <v>0</v>
      </c>
      <c r="J86" s="240"/>
      <c r="K86" s="241"/>
      <c r="L86" s="241"/>
      <c r="M86" s="241"/>
      <c r="N86" s="241"/>
      <c r="O86" s="234"/>
      <c r="P86" s="234"/>
      <c r="Q86" s="234"/>
      <c r="R86" s="234"/>
      <c r="S86" s="234"/>
      <c r="T86" s="234"/>
      <c r="U86" s="234"/>
      <c r="V86" s="234"/>
      <c r="W86" s="234"/>
      <c r="X86" s="234"/>
    </row>
    <row r="87" spans="1:24" ht="16.5" customHeight="1" x14ac:dyDescent="0.25">
      <c r="A87" s="237" t="s">
        <v>47</v>
      </c>
      <c r="B87" s="236" t="s">
        <v>209</v>
      </c>
      <c r="C87" s="237" t="s">
        <v>210</v>
      </c>
      <c r="D87" s="238">
        <v>13</v>
      </c>
      <c r="E87" s="238"/>
      <c r="F87" s="238">
        <v>13</v>
      </c>
      <c r="G87" s="233">
        <v>12</v>
      </c>
      <c r="H87" s="233">
        <v>10</v>
      </c>
      <c r="I87" s="219">
        <f t="shared" si="3"/>
        <v>92.307692307692307</v>
      </c>
      <c r="J87" s="331" t="s">
        <v>288</v>
      </c>
      <c r="K87" s="241"/>
      <c r="L87" s="241"/>
      <c r="M87" s="241"/>
      <c r="N87" s="241"/>
      <c r="O87" s="234"/>
      <c r="P87" s="234"/>
      <c r="Q87" s="234"/>
      <c r="R87" s="234"/>
      <c r="S87" s="234"/>
      <c r="T87" s="234"/>
      <c r="U87" s="234"/>
      <c r="V87" s="234"/>
      <c r="W87" s="234"/>
      <c r="X87" s="234"/>
    </row>
    <row r="88" spans="1:24" ht="16.5" customHeight="1" x14ac:dyDescent="0.25">
      <c r="A88" s="267"/>
      <c r="B88" s="268" t="s">
        <v>211</v>
      </c>
      <c r="C88" s="267" t="s">
        <v>210</v>
      </c>
      <c r="D88" s="238">
        <v>2</v>
      </c>
      <c r="E88" s="238"/>
      <c r="F88" s="238">
        <v>14</v>
      </c>
      <c r="G88" s="233">
        <v>0</v>
      </c>
      <c r="H88" s="233">
        <v>0</v>
      </c>
      <c r="I88" s="219">
        <f t="shared" si="3"/>
        <v>0</v>
      </c>
      <c r="J88" s="324"/>
      <c r="K88" s="241"/>
      <c r="L88" s="241"/>
      <c r="M88" s="241"/>
      <c r="N88" s="241"/>
      <c r="O88" s="234"/>
      <c r="P88" s="234"/>
      <c r="Q88" s="234"/>
      <c r="R88" s="234"/>
      <c r="S88" s="234"/>
      <c r="T88" s="234"/>
      <c r="U88" s="234"/>
      <c r="V88" s="234"/>
      <c r="W88" s="234"/>
      <c r="X88" s="234"/>
    </row>
    <row r="89" spans="1:24" ht="16.5" customHeight="1" x14ac:dyDescent="0.25">
      <c r="A89" s="267"/>
      <c r="B89" s="268" t="s">
        <v>212</v>
      </c>
      <c r="C89" s="267" t="s">
        <v>210</v>
      </c>
      <c r="D89" s="238">
        <v>0</v>
      </c>
      <c r="E89" s="238"/>
      <c r="F89" s="238">
        <v>1</v>
      </c>
      <c r="G89" s="233">
        <v>0</v>
      </c>
      <c r="H89" s="233">
        <v>0</v>
      </c>
      <c r="I89" s="219">
        <f t="shared" ref="I89:I152" si="6">G89/F89*100</f>
        <v>0</v>
      </c>
      <c r="J89" s="324"/>
      <c r="K89" s="241"/>
      <c r="L89" s="241"/>
      <c r="M89" s="241"/>
      <c r="N89" s="241"/>
      <c r="O89" s="234"/>
      <c r="P89" s="234"/>
      <c r="Q89" s="234"/>
      <c r="R89" s="234"/>
      <c r="S89" s="234"/>
      <c r="T89" s="234"/>
      <c r="U89" s="234"/>
      <c r="V89" s="234"/>
      <c r="W89" s="234"/>
      <c r="X89" s="234"/>
    </row>
    <row r="90" spans="1:24" ht="16.5" customHeight="1" x14ac:dyDescent="0.25">
      <c r="A90" s="237" t="s">
        <v>47</v>
      </c>
      <c r="B90" s="236" t="s">
        <v>213</v>
      </c>
      <c r="C90" s="237" t="s">
        <v>124</v>
      </c>
      <c r="D90" s="238">
        <v>162</v>
      </c>
      <c r="E90" s="238"/>
      <c r="F90" s="238">
        <v>2</v>
      </c>
      <c r="G90" s="233"/>
      <c r="H90" s="233"/>
      <c r="I90" s="219">
        <f t="shared" si="6"/>
        <v>0</v>
      </c>
      <c r="J90" s="324"/>
      <c r="K90" s="241"/>
      <c r="L90" s="241"/>
      <c r="M90" s="241"/>
      <c r="N90" s="241"/>
      <c r="O90" s="234"/>
      <c r="P90" s="234"/>
      <c r="Q90" s="234"/>
      <c r="R90" s="234"/>
      <c r="S90" s="234"/>
      <c r="T90" s="234"/>
      <c r="U90" s="234"/>
      <c r="V90" s="234"/>
      <c r="W90" s="234"/>
      <c r="X90" s="234"/>
    </row>
    <row r="91" spans="1:24" ht="16.5" customHeight="1" x14ac:dyDescent="0.25">
      <c r="A91" s="237" t="s">
        <v>47</v>
      </c>
      <c r="B91" s="236" t="s">
        <v>214</v>
      </c>
      <c r="C91" s="237" t="s">
        <v>96</v>
      </c>
      <c r="D91" s="238">
        <v>57.06</v>
      </c>
      <c r="E91" s="238"/>
      <c r="F91" s="238">
        <v>60</v>
      </c>
      <c r="G91" s="269"/>
      <c r="H91" s="233"/>
      <c r="I91" s="219">
        <f t="shared" si="6"/>
        <v>0</v>
      </c>
      <c r="J91" s="315"/>
      <c r="K91" s="241"/>
      <c r="L91" s="241"/>
      <c r="M91" s="241"/>
      <c r="N91" s="241"/>
      <c r="O91" s="234"/>
      <c r="P91" s="234"/>
      <c r="Q91" s="234"/>
      <c r="R91" s="234"/>
      <c r="S91" s="234"/>
      <c r="T91" s="234"/>
      <c r="U91" s="234"/>
      <c r="V91" s="234"/>
      <c r="W91" s="234"/>
      <c r="X91" s="234"/>
    </row>
    <row r="92" spans="1:24" ht="16.5" customHeight="1" x14ac:dyDescent="0.25">
      <c r="A92" s="231">
        <v>10</v>
      </c>
      <c r="B92" s="228" t="s">
        <v>215</v>
      </c>
      <c r="C92" s="231"/>
      <c r="D92" s="230">
        <v>0</v>
      </c>
      <c r="E92" s="230"/>
      <c r="F92" s="230"/>
      <c r="G92" s="270"/>
      <c r="H92" s="233"/>
      <c r="I92" s="219"/>
      <c r="J92" s="240"/>
      <c r="K92" s="241"/>
      <c r="L92" s="241"/>
      <c r="M92" s="241"/>
      <c r="N92" s="241"/>
      <c r="O92" s="234"/>
      <c r="P92" s="234"/>
      <c r="Q92" s="234"/>
      <c r="R92" s="234"/>
      <c r="S92" s="234"/>
      <c r="T92" s="234"/>
      <c r="U92" s="234"/>
      <c r="V92" s="234"/>
      <c r="W92" s="234"/>
      <c r="X92" s="234"/>
    </row>
    <row r="93" spans="1:24" ht="16.5" customHeight="1" x14ac:dyDescent="0.25">
      <c r="A93" s="237" t="s">
        <v>47</v>
      </c>
      <c r="B93" s="236" t="s">
        <v>216</v>
      </c>
      <c r="C93" s="237" t="s">
        <v>217</v>
      </c>
      <c r="D93" s="230">
        <v>0</v>
      </c>
      <c r="E93" s="230"/>
      <c r="F93" s="230">
        <v>0</v>
      </c>
      <c r="G93" s="270"/>
      <c r="H93" s="233"/>
      <c r="I93" s="219"/>
      <c r="J93" s="331"/>
      <c r="K93" s="241"/>
      <c r="L93" s="241"/>
      <c r="M93" s="241"/>
      <c r="N93" s="241"/>
      <c r="O93" s="234"/>
      <c r="P93" s="234"/>
      <c r="Q93" s="234"/>
      <c r="R93" s="234"/>
      <c r="S93" s="234"/>
      <c r="T93" s="234"/>
      <c r="U93" s="234"/>
      <c r="V93" s="234"/>
      <c r="W93" s="234"/>
      <c r="X93" s="234"/>
    </row>
    <row r="94" spans="1:24" ht="16.5" customHeight="1" x14ac:dyDescent="0.25">
      <c r="A94" s="237" t="s">
        <v>47</v>
      </c>
      <c r="B94" s="236" t="s">
        <v>218</v>
      </c>
      <c r="C94" s="237" t="s">
        <v>124</v>
      </c>
      <c r="D94" s="230">
        <v>0</v>
      </c>
      <c r="E94" s="230"/>
      <c r="F94" s="230">
        <v>0</v>
      </c>
      <c r="G94" s="270"/>
      <c r="H94" s="233"/>
      <c r="I94" s="219"/>
      <c r="J94" s="315"/>
      <c r="K94" s="241"/>
      <c r="L94" s="241"/>
      <c r="M94" s="241"/>
      <c r="N94" s="241"/>
      <c r="O94" s="234"/>
      <c r="P94" s="234"/>
      <c r="Q94" s="234"/>
      <c r="R94" s="234"/>
      <c r="S94" s="234"/>
      <c r="T94" s="234"/>
      <c r="U94" s="234"/>
      <c r="V94" s="234"/>
      <c r="W94" s="234"/>
      <c r="X94" s="234"/>
    </row>
    <row r="95" spans="1:24" ht="16.5" customHeight="1" x14ac:dyDescent="0.25">
      <c r="A95" s="231">
        <v>11</v>
      </c>
      <c r="B95" s="228" t="s">
        <v>219</v>
      </c>
      <c r="C95" s="231"/>
      <c r="D95" s="230"/>
      <c r="E95" s="230"/>
      <c r="F95" s="230">
        <v>0</v>
      </c>
      <c r="G95" s="235"/>
      <c r="H95" s="233"/>
      <c r="I95" s="219"/>
      <c r="J95" s="240"/>
      <c r="K95" s="241"/>
      <c r="L95" s="241"/>
      <c r="M95" s="241"/>
      <c r="N95" s="241"/>
      <c r="O95" s="234"/>
      <c r="P95" s="234"/>
      <c r="Q95" s="234"/>
      <c r="R95" s="234"/>
      <c r="S95" s="234"/>
      <c r="T95" s="234"/>
      <c r="U95" s="234"/>
      <c r="V95" s="234"/>
      <c r="W95" s="234"/>
      <c r="X95" s="234"/>
    </row>
    <row r="96" spans="1:24" ht="16.5" customHeight="1" x14ac:dyDescent="0.25">
      <c r="A96" s="237" t="s">
        <v>47</v>
      </c>
      <c r="B96" s="236" t="s">
        <v>220</v>
      </c>
      <c r="C96" s="237" t="s">
        <v>221</v>
      </c>
      <c r="D96" s="271">
        <v>5000</v>
      </c>
      <c r="E96" s="271"/>
      <c r="F96" s="230"/>
      <c r="G96" s="233"/>
      <c r="H96" s="233"/>
      <c r="I96" s="219"/>
      <c r="J96" s="331"/>
      <c r="K96" s="241"/>
      <c r="L96" s="241"/>
      <c r="M96" s="241"/>
      <c r="N96" s="241"/>
      <c r="O96" s="234"/>
      <c r="P96" s="234"/>
      <c r="Q96" s="234"/>
      <c r="R96" s="234"/>
      <c r="S96" s="234"/>
      <c r="T96" s="234"/>
      <c r="U96" s="234"/>
      <c r="V96" s="234"/>
      <c r="W96" s="234"/>
      <c r="X96" s="234"/>
    </row>
    <row r="97" spans="1:24" ht="16.5" customHeight="1" x14ac:dyDescent="0.25">
      <c r="A97" s="237" t="s">
        <v>47</v>
      </c>
      <c r="B97" s="236" t="s">
        <v>222</v>
      </c>
      <c r="C97" s="237" t="s">
        <v>223</v>
      </c>
      <c r="D97" s="230"/>
      <c r="E97" s="230"/>
      <c r="F97" s="271">
        <v>5100</v>
      </c>
      <c r="G97" s="269"/>
      <c r="H97" s="233"/>
      <c r="I97" s="219">
        <f t="shared" si="6"/>
        <v>0</v>
      </c>
      <c r="J97" s="315"/>
      <c r="K97" s="241"/>
      <c r="L97" s="241"/>
      <c r="M97" s="241"/>
      <c r="N97" s="241"/>
      <c r="O97" s="234"/>
      <c r="P97" s="234"/>
      <c r="Q97" s="234"/>
      <c r="R97" s="234"/>
      <c r="S97" s="234"/>
      <c r="T97" s="234"/>
      <c r="U97" s="234"/>
      <c r="V97" s="234"/>
      <c r="W97" s="234"/>
      <c r="X97" s="234"/>
    </row>
    <row r="98" spans="1:24" ht="16.5" customHeight="1" x14ac:dyDescent="0.25">
      <c r="A98" s="231">
        <v>12</v>
      </c>
      <c r="B98" s="228" t="s">
        <v>224</v>
      </c>
      <c r="C98" s="231" t="s">
        <v>195</v>
      </c>
      <c r="D98" s="230"/>
      <c r="E98" s="230"/>
      <c r="F98" s="230"/>
      <c r="G98" s="272"/>
      <c r="H98" s="233"/>
      <c r="I98" s="219"/>
      <c r="J98" s="240"/>
      <c r="K98" s="211"/>
      <c r="L98" s="211"/>
      <c r="M98" s="211"/>
      <c r="N98" s="211"/>
      <c r="O98" s="234"/>
      <c r="P98" s="234"/>
      <c r="Q98" s="234"/>
      <c r="R98" s="234"/>
      <c r="S98" s="234"/>
      <c r="T98" s="234"/>
      <c r="U98" s="234"/>
      <c r="V98" s="234"/>
      <c r="W98" s="234"/>
      <c r="X98" s="234"/>
    </row>
    <row r="99" spans="1:24" ht="16.5" customHeight="1" x14ac:dyDescent="0.25">
      <c r="A99" s="231">
        <v>13</v>
      </c>
      <c r="B99" s="228" t="s">
        <v>225</v>
      </c>
      <c r="C99" s="231"/>
      <c r="D99" s="230"/>
      <c r="E99" s="230"/>
      <c r="F99" s="230"/>
      <c r="G99" s="270"/>
      <c r="H99" s="233"/>
      <c r="I99" s="219"/>
      <c r="J99" s="210"/>
      <c r="K99" s="211"/>
      <c r="L99" s="211"/>
      <c r="M99" s="211"/>
      <c r="N99" s="211"/>
      <c r="O99" s="234"/>
      <c r="P99" s="234"/>
      <c r="Q99" s="234"/>
      <c r="R99" s="234"/>
      <c r="S99" s="234"/>
      <c r="T99" s="234"/>
      <c r="U99" s="234"/>
      <c r="V99" s="234"/>
      <c r="W99" s="234"/>
      <c r="X99" s="234"/>
    </row>
    <row r="100" spans="1:24" ht="16.5" customHeight="1" x14ac:dyDescent="0.25">
      <c r="A100" s="237" t="s">
        <v>47</v>
      </c>
      <c r="B100" s="236" t="s">
        <v>226</v>
      </c>
      <c r="C100" s="237" t="s">
        <v>227</v>
      </c>
      <c r="D100" s="230">
        <v>0</v>
      </c>
      <c r="E100" s="230"/>
      <c r="F100" s="230"/>
      <c r="G100" s="270"/>
      <c r="H100" s="233"/>
      <c r="I100" s="219"/>
      <c r="J100" s="332" t="s">
        <v>286</v>
      </c>
      <c r="K100" s="241"/>
      <c r="L100" s="241"/>
      <c r="M100" s="241"/>
      <c r="N100" s="241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</row>
    <row r="101" spans="1:24" ht="16.5" customHeight="1" x14ac:dyDescent="0.25">
      <c r="A101" s="237" t="s">
        <v>47</v>
      </c>
      <c r="B101" s="236" t="s">
        <v>228</v>
      </c>
      <c r="C101" s="237" t="s">
        <v>96</v>
      </c>
      <c r="D101" s="230"/>
      <c r="E101" s="230"/>
      <c r="F101" s="230">
        <v>0</v>
      </c>
      <c r="G101" s="269"/>
      <c r="H101" s="233"/>
      <c r="I101" s="219"/>
      <c r="J101" s="315"/>
      <c r="K101" s="241"/>
      <c r="L101" s="241"/>
      <c r="M101" s="241"/>
      <c r="N101" s="241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</row>
    <row r="102" spans="1:24" ht="16.5" customHeight="1" x14ac:dyDescent="0.25">
      <c r="A102" s="231">
        <v>14</v>
      </c>
      <c r="B102" s="228" t="s">
        <v>229</v>
      </c>
      <c r="C102" s="231" t="s">
        <v>96</v>
      </c>
      <c r="D102" s="238">
        <v>100</v>
      </c>
      <c r="E102" s="238"/>
      <c r="F102" s="238">
        <v>100</v>
      </c>
      <c r="G102" s="238">
        <v>100</v>
      </c>
      <c r="H102" s="233">
        <v>100</v>
      </c>
      <c r="I102" s="219">
        <f t="shared" si="6"/>
        <v>100</v>
      </c>
      <c r="J102" s="240"/>
      <c r="K102" s="241"/>
      <c r="L102" s="241"/>
      <c r="M102" s="241"/>
      <c r="N102" s="241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</row>
    <row r="103" spans="1:24" ht="16.5" customHeight="1" x14ac:dyDescent="0.25">
      <c r="A103" s="231">
        <v>15</v>
      </c>
      <c r="B103" s="228" t="s">
        <v>230</v>
      </c>
      <c r="C103" s="231" t="s">
        <v>96</v>
      </c>
      <c r="D103" s="238">
        <v>100</v>
      </c>
      <c r="E103" s="238"/>
      <c r="F103" s="238">
        <v>100</v>
      </c>
      <c r="G103" s="238">
        <v>100</v>
      </c>
      <c r="H103" s="233">
        <v>100</v>
      </c>
      <c r="I103" s="219">
        <f t="shared" si="6"/>
        <v>100</v>
      </c>
      <c r="J103" s="240"/>
      <c r="K103" s="241"/>
      <c r="L103" s="241"/>
      <c r="M103" s="241"/>
      <c r="N103" s="241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</row>
    <row r="104" spans="1:24" ht="16.5" customHeight="1" x14ac:dyDescent="0.25">
      <c r="A104" s="231">
        <v>16</v>
      </c>
      <c r="B104" s="228" t="s">
        <v>231</v>
      </c>
      <c r="C104" s="231" t="s">
        <v>96</v>
      </c>
      <c r="D104" s="238">
        <v>100</v>
      </c>
      <c r="E104" s="238"/>
      <c r="F104" s="238">
        <v>100</v>
      </c>
      <c r="G104" s="238">
        <v>100</v>
      </c>
      <c r="H104" s="233">
        <v>100</v>
      </c>
      <c r="I104" s="219">
        <f t="shared" si="6"/>
        <v>100</v>
      </c>
      <c r="J104" s="240"/>
      <c r="K104" s="241"/>
      <c r="L104" s="241"/>
      <c r="M104" s="241"/>
      <c r="N104" s="241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</row>
    <row r="105" spans="1:24" ht="16.5" customHeight="1" x14ac:dyDescent="0.25">
      <c r="A105" s="231">
        <v>17</v>
      </c>
      <c r="B105" s="228" t="s">
        <v>232</v>
      </c>
      <c r="C105" s="231"/>
      <c r="D105" s="238"/>
      <c r="E105" s="238"/>
      <c r="F105" s="238">
        <v>100</v>
      </c>
      <c r="G105" s="239"/>
      <c r="H105" s="233"/>
      <c r="I105" s="219">
        <f>G105/F105*100</f>
        <v>0</v>
      </c>
      <c r="J105" s="240"/>
      <c r="K105" s="241"/>
      <c r="L105" s="241"/>
      <c r="M105" s="241"/>
      <c r="N105" s="241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</row>
    <row r="106" spans="1:24" ht="16.5" customHeight="1" x14ac:dyDescent="0.25">
      <c r="A106" s="237" t="s">
        <v>47</v>
      </c>
      <c r="B106" s="236" t="s">
        <v>233</v>
      </c>
      <c r="C106" s="237" t="s">
        <v>96</v>
      </c>
      <c r="D106" s="238">
        <v>88</v>
      </c>
      <c r="E106" s="238"/>
      <c r="F106" s="238">
        <v>88</v>
      </c>
      <c r="G106" s="238">
        <v>80</v>
      </c>
      <c r="H106" s="238">
        <v>88</v>
      </c>
      <c r="I106" s="219">
        <f t="shared" si="6"/>
        <v>90.909090909090907</v>
      </c>
      <c r="J106" s="331"/>
      <c r="K106" s="241"/>
      <c r="L106" s="241"/>
      <c r="M106" s="241"/>
      <c r="N106" s="241"/>
      <c r="O106" s="234"/>
      <c r="P106" s="234"/>
      <c r="Q106" s="234"/>
      <c r="R106" s="234"/>
      <c r="S106" s="234"/>
      <c r="T106" s="234"/>
      <c r="U106" s="234"/>
      <c r="V106" s="234"/>
      <c r="W106" s="234"/>
      <c r="X106" s="234"/>
    </row>
    <row r="107" spans="1:24" ht="16.5" customHeight="1" x14ac:dyDescent="0.25">
      <c r="A107" s="237"/>
      <c r="B107" s="236" t="s">
        <v>234</v>
      </c>
      <c r="C107" s="237" t="s">
        <v>96</v>
      </c>
      <c r="D107" s="238">
        <v>91</v>
      </c>
      <c r="E107" s="238"/>
      <c r="F107" s="238">
        <v>88</v>
      </c>
      <c r="G107" s="238">
        <v>75</v>
      </c>
      <c r="H107" s="238">
        <v>88</v>
      </c>
      <c r="I107" s="219">
        <f t="shared" si="6"/>
        <v>85.227272727272734</v>
      </c>
      <c r="J107" s="324"/>
      <c r="K107" s="241"/>
      <c r="L107" s="241"/>
      <c r="M107" s="241"/>
      <c r="N107" s="241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</row>
    <row r="108" spans="1:24" ht="18" customHeight="1" x14ac:dyDescent="0.25">
      <c r="A108" s="237" t="s">
        <v>47</v>
      </c>
      <c r="B108" s="236" t="s">
        <v>235</v>
      </c>
      <c r="C108" s="235" t="s">
        <v>96</v>
      </c>
      <c r="D108" s="238">
        <v>95</v>
      </c>
      <c r="E108" s="238"/>
      <c r="F108" s="238">
        <v>91</v>
      </c>
      <c r="G108" s="238">
        <v>71.790000000000006</v>
      </c>
      <c r="H108" s="233">
        <v>91</v>
      </c>
      <c r="I108" s="219">
        <f t="shared" si="6"/>
        <v>78.890109890109898</v>
      </c>
      <c r="J108" s="324"/>
      <c r="K108" s="241"/>
      <c r="L108" s="241"/>
      <c r="M108" s="241"/>
      <c r="N108" s="241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</row>
    <row r="109" spans="1:24" ht="18" customHeight="1" x14ac:dyDescent="0.25">
      <c r="A109" s="237" t="s">
        <v>47</v>
      </c>
      <c r="B109" s="236" t="s">
        <v>236</v>
      </c>
      <c r="C109" s="235" t="s">
        <v>96</v>
      </c>
      <c r="D109" s="238">
        <v>26</v>
      </c>
      <c r="E109" s="238"/>
      <c r="F109" s="238">
        <v>30</v>
      </c>
      <c r="G109" s="238">
        <v>28.06</v>
      </c>
      <c r="H109" s="233">
        <v>30</v>
      </c>
      <c r="I109" s="219">
        <f t="shared" si="6"/>
        <v>93.533333333333317</v>
      </c>
      <c r="J109" s="324"/>
      <c r="K109" s="241"/>
      <c r="L109" s="241"/>
      <c r="M109" s="241"/>
      <c r="N109" s="241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</row>
    <row r="110" spans="1:24" ht="18" customHeight="1" x14ac:dyDescent="0.25">
      <c r="A110" s="237" t="s">
        <v>47</v>
      </c>
      <c r="B110" s="236" t="s">
        <v>237</v>
      </c>
      <c r="C110" s="235" t="s">
        <v>238</v>
      </c>
      <c r="D110" s="238">
        <v>89</v>
      </c>
      <c r="E110" s="238">
        <v>187</v>
      </c>
      <c r="F110" s="238"/>
      <c r="G110" s="238"/>
      <c r="H110" s="233"/>
      <c r="I110" s="219"/>
      <c r="J110" s="324"/>
      <c r="K110" s="241"/>
      <c r="L110" s="241"/>
      <c r="M110" s="241"/>
      <c r="N110" s="241"/>
      <c r="O110" s="234"/>
      <c r="P110" s="234"/>
      <c r="Q110" s="234"/>
      <c r="R110" s="258"/>
      <c r="S110" s="234"/>
      <c r="T110" s="234"/>
      <c r="U110" s="234"/>
      <c r="V110" s="234"/>
      <c r="W110" s="234"/>
      <c r="X110" s="234"/>
    </row>
    <row r="111" spans="1:24" ht="18" customHeight="1" x14ac:dyDescent="0.25">
      <c r="A111" s="267"/>
      <c r="B111" s="268" t="s">
        <v>239</v>
      </c>
      <c r="C111" s="213" t="s">
        <v>238</v>
      </c>
      <c r="D111" s="264">
        <v>89</v>
      </c>
      <c r="E111" s="264">
        <v>187</v>
      </c>
      <c r="F111" s="238">
        <v>187</v>
      </c>
      <c r="G111" s="264">
        <v>187</v>
      </c>
      <c r="H111" s="273">
        <v>187</v>
      </c>
      <c r="I111" s="219">
        <f t="shared" si="6"/>
        <v>100</v>
      </c>
      <c r="J111" s="315"/>
      <c r="K111" s="221"/>
      <c r="L111" s="221"/>
      <c r="M111" s="221"/>
      <c r="N111" s="221"/>
      <c r="O111" s="265"/>
      <c r="P111" s="265"/>
      <c r="Q111" s="265"/>
      <c r="R111" s="258"/>
      <c r="S111" s="265"/>
      <c r="T111" s="265"/>
      <c r="U111" s="265"/>
      <c r="V111" s="265"/>
      <c r="W111" s="265"/>
      <c r="X111" s="265"/>
    </row>
    <row r="112" spans="1:24" ht="21" customHeight="1" x14ac:dyDescent="0.25">
      <c r="A112" s="206">
        <v>18</v>
      </c>
      <c r="B112" s="253" t="s">
        <v>240</v>
      </c>
      <c r="C112" s="237"/>
      <c r="D112" s="238"/>
      <c r="E112" s="238"/>
      <c r="F112" s="264">
        <v>187</v>
      </c>
      <c r="G112" s="239">
        <v>187</v>
      </c>
      <c r="H112" s="233">
        <v>187</v>
      </c>
      <c r="I112" s="219">
        <f t="shared" si="6"/>
        <v>100</v>
      </c>
      <c r="J112" s="240"/>
      <c r="K112" s="241"/>
      <c r="L112" s="241"/>
      <c r="M112" s="241"/>
      <c r="N112" s="241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</row>
    <row r="113" spans="1:24" ht="21" customHeight="1" x14ac:dyDescent="0.25">
      <c r="A113" s="237" t="s">
        <v>47</v>
      </c>
      <c r="B113" s="236" t="s">
        <v>241</v>
      </c>
      <c r="C113" s="237" t="s">
        <v>96</v>
      </c>
      <c r="D113" s="238">
        <v>100</v>
      </c>
      <c r="E113" s="238"/>
      <c r="F113" s="238">
        <v>100</v>
      </c>
      <c r="G113" s="238">
        <v>100</v>
      </c>
      <c r="H113" s="233">
        <v>100</v>
      </c>
      <c r="I113" s="219">
        <f t="shared" si="6"/>
        <v>100</v>
      </c>
      <c r="J113" s="219"/>
      <c r="K113" s="241"/>
      <c r="L113" s="241"/>
      <c r="M113" s="241"/>
      <c r="N113" s="241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</row>
    <row r="114" spans="1:24" ht="21" customHeight="1" x14ac:dyDescent="0.25">
      <c r="A114" s="237" t="s">
        <v>47</v>
      </c>
      <c r="B114" s="236" t="s">
        <v>242</v>
      </c>
      <c r="C114" s="237" t="s">
        <v>96</v>
      </c>
      <c r="D114" s="238">
        <v>100</v>
      </c>
      <c r="E114" s="238"/>
      <c r="F114" s="238">
        <v>100</v>
      </c>
      <c r="G114" s="238">
        <v>100</v>
      </c>
      <c r="H114" s="233">
        <v>100</v>
      </c>
      <c r="I114" s="219">
        <f t="shared" si="6"/>
        <v>100</v>
      </c>
      <c r="J114" s="331"/>
      <c r="K114" s="241"/>
      <c r="L114" s="241"/>
      <c r="M114" s="241"/>
      <c r="N114" s="241"/>
      <c r="O114" s="234"/>
      <c r="P114" s="234"/>
      <c r="Q114" s="234"/>
      <c r="R114" s="234"/>
      <c r="S114" s="234"/>
      <c r="T114" s="234"/>
      <c r="U114" s="234"/>
      <c r="V114" s="234"/>
      <c r="W114" s="234"/>
      <c r="X114" s="234"/>
    </row>
    <row r="115" spans="1:24" ht="21" customHeight="1" x14ac:dyDescent="0.25">
      <c r="A115" s="237" t="s">
        <v>47</v>
      </c>
      <c r="B115" s="236" t="s">
        <v>243</v>
      </c>
      <c r="C115" s="237" t="s">
        <v>96</v>
      </c>
      <c r="D115" s="238">
        <v>90</v>
      </c>
      <c r="E115" s="238"/>
      <c r="F115" s="238">
        <v>100</v>
      </c>
      <c r="G115" s="238">
        <v>100</v>
      </c>
      <c r="H115" s="233">
        <v>100</v>
      </c>
      <c r="I115" s="219">
        <f t="shared" si="6"/>
        <v>100</v>
      </c>
      <c r="J115" s="324"/>
      <c r="K115" s="241"/>
      <c r="L115" s="241"/>
      <c r="M115" s="241"/>
      <c r="N115" s="241"/>
      <c r="O115" s="234"/>
      <c r="P115" s="234"/>
      <c r="Q115" s="234"/>
      <c r="R115" s="234"/>
      <c r="S115" s="234"/>
      <c r="T115" s="234"/>
      <c r="U115" s="234"/>
      <c r="V115" s="234"/>
      <c r="W115" s="234"/>
      <c r="X115" s="234"/>
    </row>
    <row r="116" spans="1:24" ht="21" customHeight="1" x14ac:dyDescent="0.25">
      <c r="A116" s="267"/>
      <c r="B116" s="274" t="s">
        <v>244</v>
      </c>
      <c r="C116" s="267" t="s">
        <v>96</v>
      </c>
      <c r="D116" s="238">
        <v>100</v>
      </c>
      <c r="E116" s="238"/>
      <c r="F116" s="238">
        <v>90</v>
      </c>
      <c r="G116" s="264">
        <v>0</v>
      </c>
      <c r="H116" s="233">
        <v>0</v>
      </c>
      <c r="I116" s="219">
        <f t="shared" si="6"/>
        <v>0</v>
      </c>
      <c r="J116" s="324"/>
      <c r="K116" s="241"/>
      <c r="L116" s="241"/>
      <c r="M116" s="241"/>
      <c r="N116" s="241"/>
      <c r="O116" s="234"/>
      <c r="P116" s="234"/>
      <c r="Q116" s="234"/>
      <c r="R116" s="234"/>
      <c r="S116" s="234"/>
      <c r="T116" s="234"/>
      <c r="U116" s="234"/>
      <c r="V116" s="234"/>
      <c r="W116" s="234"/>
      <c r="X116" s="234"/>
    </row>
    <row r="117" spans="1:24" ht="21" customHeight="1" x14ac:dyDescent="0.25">
      <c r="A117" s="237" t="s">
        <v>47</v>
      </c>
      <c r="B117" s="236" t="s">
        <v>245</v>
      </c>
      <c r="C117" s="237" t="s">
        <v>96</v>
      </c>
      <c r="D117" s="238">
        <v>100</v>
      </c>
      <c r="E117" s="238"/>
      <c r="F117" s="238">
        <v>100</v>
      </c>
      <c r="G117" s="238">
        <v>100</v>
      </c>
      <c r="H117" s="233">
        <v>100</v>
      </c>
      <c r="I117" s="219">
        <f t="shared" si="6"/>
        <v>100</v>
      </c>
      <c r="J117" s="324"/>
      <c r="K117" s="241"/>
      <c r="L117" s="241"/>
      <c r="M117" s="241"/>
      <c r="N117" s="241"/>
      <c r="O117" s="234"/>
      <c r="P117" s="234"/>
      <c r="Q117" s="234"/>
      <c r="R117" s="234"/>
      <c r="S117" s="234"/>
      <c r="T117" s="234"/>
      <c r="U117" s="234"/>
      <c r="V117" s="234"/>
      <c r="W117" s="234"/>
      <c r="X117" s="234"/>
    </row>
    <row r="118" spans="1:24" ht="30.75" customHeight="1" x14ac:dyDescent="0.25">
      <c r="A118" s="237" t="s">
        <v>47</v>
      </c>
      <c r="B118" s="236" t="s">
        <v>246</v>
      </c>
      <c r="C118" s="237" t="s">
        <v>96</v>
      </c>
      <c r="D118" s="238">
        <v>100</v>
      </c>
      <c r="E118" s="238"/>
      <c r="F118" s="238">
        <v>100</v>
      </c>
      <c r="G118" s="238">
        <v>100</v>
      </c>
      <c r="H118" s="233">
        <v>100</v>
      </c>
      <c r="I118" s="219">
        <f t="shared" si="6"/>
        <v>100</v>
      </c>
      <c r="J118" s="324"/>
      <c r="K118" s="241"/>
      <c r="L118" s="241"/>
      <c r="M118" s="241"/>
      <c r="N118" s="241"/>
      <c r="O118" s="234"/>
      <c r="P118" s="234"/>
      <c r="Q118" s="234"/>
      <c r="R118" s="234"/>
      <c r="S118" s="234"/>
      <c r="T118" s="234"/>
      <c r="U118" s="234"/>
      <c r="V118" s="234"/>
      <c r="W118" s="234"/>
      <c r="X118" s="234"/>
    </row>
    <row r="119" spans="1:24" ht="31.5" customHeight="1" x14ac:dyDescent="0.25">
      <c r="A119" s="237" t="s">
        <v>47</v>
      </c>
      <c r="B119" s="236" t="s">
        <v>247</v>
      </c>
      <c r="C119" s="237" t="s">
        <v>96</v>
      </c>
      <c r="D119" s="238">
        <v>95</v>
      </c>
      <c r="E119" s="238"/>
      <c r="F119" s="238">
        <v>100</v>
      </c>
      <c r="G119" s="238">
        <v>100</v>
      </c>
      <c r="H119" s="233">
        <v>100</v>
      </c>
      <c r="I119" s="219">
        <f t="shared" si="6"/>
        <v>100</v>
      </c>
      <c r="J119" s="324"/>
      <c r="K119" s="241"/>
      <c r="L119" s="241"/>
      <c r="M119" s="241"/>
      <c r="N119" s="241"/>
      <c r="O119" s="234"/>
      <c r="P119" s="234"/>
      <c r="Q119" s="234"/>
      <c r="R119" s="234"/>
      <c r="S119" s="234"/>
      <c r="T119" s="234"/>
      <c r="U119" s="234"/>
      <c r="V119" s="234"/>
      <c r="W119" s="234"/>
      <c r="X119" s="234"/>
    </row>
    <row r="120" spans="1:24" ht="39" customHeight="1" x14ac:dyDescent="0.25">
      <c r="A120" s="237" t="s">
        <v>47</v>
      </c>
      <c r="B120" s="236" t="s">
        <v>248</v>
      </c>
      <c r="C120" s="237" t="s">
        <v>96</v>
      </c>
      <c r="D120" s="238">
        <v>100</v>
      </c>
      <c r="E120" s="238"/>
      <c r="F120" s="238">
        <v>95</v>
      </c>
      <c r="G120" s="238">
        <v>100</v>
      </c>
      <c r="H120" s="233">
        <v>100</v>
      </c>
      <c r="I120" s="219">
        <f t="shared" si="6"/>
        <v>105.26315789473684</v>
      </c>
      <c r="J120" s="315"/>
      <c r="K120" s="241"/>
      <c r="L120" s="241"/>
      <c r="M120" s="241"/>
      <c r="N120" s="241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</row>
    <row r="121" spans="1:24" ht="19.5" customHeight="1" x14ac:dyDescent="0.25">
      <c r="A121" s="237"/>
      <c r="B121" s="236" t="s">
        <v>249</v>
      </c>
      <c r="C121" s="237" t="s">
        <v>96</v>
      </c>
      <c r="D121" s="238">
        <v>25</v>
      </c>
      <c r="E121" s="238"/>
      <c r="F121" s="238">
        <v>100</v>
      </c>
      <c r="G121" s="269">
        <v>20</v>
      </c>
      <c r="H121" s="233">
        <v>50</v>
      </c>
      <c r="I121" s="219">
        <f t="shared" si="6"/>
        <v>20</v>
      </c>
      <c r="J121" s="331"/>
      <c r="K121" s="241"/>
      <c r="L121" s="241"/>
      <c r="M121" s="241"/>
      <c r="N121" s="241"/>
      <c r="O121" s="234"/>
      <c r="P121" s="234"/>
      <c r="Q121" s="234"/>
      <c r="R121" s="234"/>
      <c r="S121" s="234"/>
      <c r="T121" s="234"/>
      <c r="U121" s="234"/>
      <c r="V121" s="234"/>
      <c r="W121" s="234"/>
      <c r="X121" s="234"/>
    </row>
    <row r="122" spans="1:24" ht="16.5" customHeight="1" x14ac:dyDescent="0.25">
      <c r="A122" s="237" t="s">
        <v>47</v>
      </c>
      <c r="B122" s="236" t="s">
        <v>250</v>
      </c>
      <c r="C122" s="237" t="s">
        <v>251</v>
      </c>
      <c r="D122" s="238">
        <v>1</v>
      </c>
      <c r="E122" s="238"/>
      <c r="F122" s="238">
        <v>1</v>
      </c>
      <c r="G122" s="219">
        <v>1</v>
      </c>
      <c r="H122" s="233">
        <v>1</v>
      </c>
      <c r="I122" s="219">
        <f>G122/F122*100</f>
        <v>100</v>
      </c>
      <c r="J122" s="315"/>
      <c r="K122" s="241"/>
      <c r="L122" s="241"/>
      <c r="M122" s="241"/>
      <c r="N122" s="241"/>
      <c r="O122" s="234"/>
      <c r="P122" s="234"/>
      <c r="Q122" s="234"/>
      <c r="R122" s="234"/>
      <c r="S122" s="234"/>
      <c r="T122" s="234"/>
      <c r="U122" s="234"/>
      <c r="V122" s="234"/>
      <c r="W122" s="234"/>
      <c r="X122" s="234"/>
    </row>
    <row r="123" spans="1:24" ht="16.5" hidden="1" customHeight="1" x14ac:dyDescent="0.25">
      <c r="A123" s="275">
        <v>19</v>
      </c>
      <c r="B123" s="276" t="s">
        <v>252</v>
      </c>
      <c r="C123" s="277"/>
      <c r="D123" s="278"/>
      <c r="E123" s="278"/>
      <c r="F123" s="230">
        <v>1</v>
      </c>
      <c r="G123" s="277"/>
      <c r="H123" s="279"/>
      <c r="I123" s="219">
        <f t="shared" si="6"/>
        <v>0</v>
      </c>
      <c r="J123" s="241"/>
      <c r="K123" s="241"/>
      <c r="L123" s="241"/>
      <c r="M123" s="241"/>
      <c r="N123" s="241"/>
      <c r="O123" s="234"/>
      <c r="P123" s="234"/>
      <c r="Q123" s="234"/>
      <c r="R123" s="234"/>
      <c r="S123" s="234"/>
      <c r="T123" s="234"/>
      <c r="U123" s="234"/>
      <c r="V123" s="234"/>
      <c r="W123" s="234"/>
      <c r="X123" s="234"/>
    </row>
    <row r="124" spans="1:24" ht="16.5" hidden="1" customHeight="1" x14ac:dyDescent="0.25">
      <c r="A124" s="280" t="s">
        <v>47</v>
      </c>
      <c r="B124" s="281" t="s">
        <v>253</v>
      </c>
      <c r="C124" s="282" t="s">
        <v>254</v>
      </c>
      <c r="D124" s="257">
        <v>16</v>
      </c>
      <c r="E124" s="257"/>
      <c r="F124" s="283" t="e">
        <f ca="1">SUM(G124:I124)</f>
        <v>#REF!</v>
      </c>
      <c r="G124" s="282">
        <v>5</v>
      </c>
      <c r="H124" s="279" t="e">
        <f ca="1">I124+#REF!</f>
        <v>#REF!</v>
      </c>
      <c r="I124" s="219">
        <f t="shared" ca="1" si="6"/>
        <v>0</v>
      </c>
      <c r="J124" s="241"/>
      <c r="K124" s="241"/>
      <c r="L124" s="241"/>
      <c r="M124" s="241"/>
      <c r="N124" s="241"/>
      <c r="O124" s="234"/>
      <c r="P124" s="234"/>
      <c r="Q124" s="234"/>
      <c r="R124" s="234"/>
      <c r="S124" s="234"/>
      <c r="T124" s="234"/>
      <c r="U124" s="234"/>
      <c r="V124" s="234"/>
      <c r="W124" s="234"/>
      <c r="X124" s="234"/>
    </row>
    <row r="125" spans="1:24" ht="16.5" hidden="1" customHeight="1" x14ac:dyDescent="0.25">
      <c r="A125" s="280" t="s">
        <v>47</v>
      </c>
      <c r="B125" s="281" t="s">
        <v>255</v>
      </c>
      <c r="C125" s="282" t="s">
        <v>96</v>
      </c>
      <c r="D125" s="257">
        <v>90</v>
      </c>
      <c r="E125" s="257"/>
      <c r="F125" s="284">
        <v>80</v>
      </c>
      <c r="G125" s="282">
        <v>100</v>
      </c>
      <c r="H125" s="279"/>
      <c r="I125" s="219">
        <f t="shared" si="6"/>
        <v>125</v>
      </c>
      <c r="J125" s="241"/>
      <c r="K125" s="241"/>
      <c r="L125" s="241"/>
      <c r="M125" s="241"/>
      <c r="N125" s="241"/>
      <c r="O125" s="234"/>
      <c r="P125" s="234"/>
      <c r="Q125" s="234"/>
      <c r="R125" s="234"/>
      <c r="S125" s="234"/>
      <c r="T125" s="234"/>
      <c r="U125" s="234"/>
      <c r="V125" s="234"/>
      <c r="W125" s="234"/>
      <c r="X125" s="234"/>
    </row>
    <row r="126" spans="1:24" ht="16.5" hidden="1" customHeight="1" x14ac:dyDescent="0.25">
      <c r="A126" s="280" t="s">
        <v>47</v>
      </c>
      <c r="B126" s="281" t="s">
        <v>256</v>
      </c>
      <c r="C126" s="282" t="s">
        <v>96</v>
      </c>
      <c r="D126" s="257">
        <v>87</v>
      </c>
      <c r="E126" s="257"/>
      <c r="F126" s="284">
        <v>88</v>
      </c>
      <c r="G126" s="282">
        <v>85</v>
      </c>
      <c r="H126" s="279" t="e">
        <f t="shared" ref="H126:H128" si="7">I126+#REF!</f>
        <v>#REF!</v>
      </c>
      <c r="I126" s="219">
        <f t="shared" si="6"/>
        <v>96.590909090909093</v>
      </c>
      <c r="J126" s="241"/>
      <c r="K126" s="241"/>
      <c r="L126" s="241"/>
      <c r="M126" s="241"/>
      <c r="N126" s="241"/>
      <c r="O126" s="234"/>
      <c r="P126" s="234"/>
      <c r="Q126" s="234"/>
      <c r="R126" s="234"/>
      <c r="S126" s="234"/>
      <c r="T126" s="234"/>
      <c r="U126" s="234"/>
      <c r="V126" s="234"/>
      <c r="W126" s="234"/>
      <c r="X126" s="234"/>
    </row>
    <row r="127" spans="1:24" ht="16.5" hidden="1" customHeight="1" x14ac:dyDescent="0.25">
      <c r="A127" s="280" t="s">
        <v>47</v>
      </c>
      <c r="B127" s="281" t="s">
        <v>257</v>
      </c>
      <c r="C127" s="282" t="s">
        <v>96</v>
      </c>
      <c r="D127" s="257">
        <v>94</v>
      </c>
      <c r="E127" s="257"/>
      <c r="F127" s="284">
        <v>88</v>
      </c>
      <c r="G127" s="282">
        <v>100</v>
      </c>
      <c r="H127" s="279" t="e">
        <f t="shared" si="7"/>
        <v>#REF!</v>
      </c>
      <c r="I127" s="219">
        <f t="shared" si="6"/>
        <v>113.63636363636364</v>
      </c>
      <c r="J127" s="241"/>
      <c r="K127" s="241"/>
      <c r="L127" s="241"/>
      <c r="M127" s="241"/>
      <c r="N127" s="241"/>
      <c r="O127" s="234"/>
      <c r="P127" s="234"/>
      <c r="Q127" s="234"/>
      <c r="R127" s="234"/>
      <c r="S127" s="234"/>
      <c r="T127" s="234"/>
      <c r="U127" s="234"/>
      <c r="V127" s="234"/>
      <c r="W127" s="234"/>
      <c r="X127" s="234"/>
    </row>
    <row r="128" spans="1:24" ht="16.5" hidden="1" customHeight="1" x14ac:dyDescent="0.25">
      <c r="A128" s="285" t="s">
        <v>47</v>
      </c>
      <c r="B128" s="286" t="s">
        <v>258</v>
      </c>
      <c r="C128" s="287" t="s">
        <v>96</v>
      </c>
      <c r="D128" s="288">
        <v>72</v>
      </c>
      <c r="E128" s="288"/>
      <c r="F128" s="289">
        <v>55</v>
      </c>
      <c r="G128" s="287">
        <v>88</v>
      </c>
      <c r="H128" s="279" t="e">
        <f t="shared" si="7"/>
        <v>#REF!</v>
      </c>
      <c r="I128" s="219">
        <f t="shared" si="6"/>
        <v>160</v>
      </c>
      <c r="J128" s="290"/>
      <c r="K128" s="290"/>
      <c r="L128" s="290"/>
      <c r="M128" s="290"/>
      <c r="N128" s="290"/>
      <c r="O128" s="234"/>
      <c r="P128" s="234"/>
      <c r="Q128" s="234"/>
      <c r="R128" s="234"/>
      <c r="S128" s="234"/>
      <c r="T128" s="234"/>
      <c r="U128" s="234"/>
      <c r="V128" s="234"/>
      <c r="W128" s="234"/>
      <c r="X128" s="234"/>
    </row>
    <row r="129" spans="1:24" ht="16.5" hidden="1" customHeight="1" x14ac:dyDescent="0.25">
      <c r="A129" s="291"/>
      <c r="B129" s="292"/>
      <c r="C129" s="293"/>
      <c r="D129" s="293"/>
      <c r="E129" s="293"/>
      <c r="F129" s="293"/>
      <c r="G129" s="293"/>
      <c r="H129" s="293"/>
      <c r="I129" s="219" t="e">
        <f t="shared" si="6"/>
        <v>#DIV/0!</v>
      </c>
      <c r="J129" s="290"/>
      <c r="K129" s="290"/>
      <c r="L129" s="290"/>
      <c r="M129" s="290"/>
      <c r="N129" s="290"/>
      <c r="O129" s="234"/>
      <c r="P129" s="234"/>
      <c r="Q129" s="234"/>
      <c r="R129" s="234"/>
      <c r="S129" s="234"/>
      <c r="T129" s="234"/>
      <c r="U129" s="234"/>
      <c r="V129" s="234"/>
      <c r="W129" s="234"/>
      <c r="X129" s="234"/>
    </row>
    <row r="130" spans="1:24" ht="16.5" hidden="1" customHeight="1" x14ac:dyDescent="0.25">
      <c r="A130" s="291"/>
      <c r="B130" s="292"/>
      <c r="C130" s="293"/>
      <c r="D130" s="293"/>
      <c r="E130" s="293"/>
      <c r="F130" s="293"/>
      <c r="G130" s="293"/>
      <c r="H130" s="293"/>
      <c r="I130" s="219" t="e">
        <f t="shared" si="6"/>
        <v>#DIV/0!</v>
      </c>
      <c r="J130" s="290"/>
      <c r="K130" s="290"/>
      <c r="L130" s="290"/>
      <c r="M130" s="290"/>
      <c r="N130" s="290"/>
      <c r="O130" s="234"/>
      <c r="P130" s="234"/>
      <c r="Q130" s="234"/>
      <c r="R130" s="234"/>
      <c r="S130" s="234"/>
      <c r="T130" s="234"/>
      <c r="U130" s="234"/>
      <c r="V130" s="234"/>
      <c r="W130" s="234"/>
      <c r="X130" s="234"/>
    </row>
    <row r="131" spans="1:24" ht="16.5" hidden="1" customHeight="1" x14ac:dyDescent="0.25">
      <c r="A131" s="291"/>
      <c r="B131" s="292"/>
      <c r="C131" s="293"/>
      <c r="D131" s="293"/>
      <c r="E131" s="293"/>
      <c r="F131" s="293"/>
      <c r="G131" s="293"/>
      <c r="H131" s="293"/>
      <c r="I131" s="219" t="e">
        <f t="shared" si="6"/>
        <v>#DIV/0!</v>
      </c>
      <c r="J131" s="290"/>
      <c r="K131" s="290"/>
      <c r="L131" s="290"/>
      <c r="M131" s="290"/>
      <c r="N131" s="290"/>
      <c r="O131" s="234"/>
      <c r="P131" s="234"/>
      <c r="Q131" s="234"/>
      <c r="R131" s="234"/>
      <c r="S131" s="234"/>
      <c r="T131" s="234"/>
      <c r="U131" s="234"/>
      <c r="V131" s="234"/>
      <c r="W131" s="234"/>
      <c r="X131" s="234"/>
    </row>
    <row r="132" spans="1:24" ht="16.5" hidden="1" customHeight="1" x14ac:dyDescent="0.25">
      <c r="A132" s="291"/>
      <c r="B132" s="292"/>
      <c r="C132" s="293"/>
      <c r="D132" s="293"/>
      <c r="E132" s="293"/>
      <c r="F132" s="293"/>
      <c r="G132" s="293"/>
      <c r="H132" s="293"/>
      <c r="I132" s="219" t="e">
        <f t="shared" si="6"/>
        <v>#DIV/0!</v>
      </c>
      <c r="J132" s="290"/>
      <c r="K132" s="290"/>
      <c r="L132" s="290"/>
      <c r="M132" s="290"/>
      <c r="N132" s="290"/>
      <c r="O132" s="234"/>
      <c r="P132" s="234"/>
      <c r="Q132" s="234"/>
      <c r="R132" s="234"/>
      <c r="S132" s="234"/>
      <c r="T132" s="234"/>
      <c r="U132" s="234"/>
      <c r="V132" s="234"/>
      <c r="W132" s="234"/>
      <c r="X132" s="234"/>
    </row>
    <row r="133" spans="1:24" ht="16.5" hidden="1" customHeight="1" x14ac:dyDescent="0.25">
      <c r="A133" s="291"/>
      <c r="B133" s="292"/>
      <c r="C133" s="293"/>
      <c r="D133" s="293"/>
      <c r="E133" s="293"/>
      <c r="F133" s="293"/>
      <c r="G133" s="293"/>
      <c r="H133" s="293"/>
      <c r="I133" s="219" t="e">
        <f t="shared" si="6"/>
        <v>#DIV/0!</v>
      </c>
      <c r="J133" s="290"/>
      <c r="K133" s="290"/>
      <c r="L133" s="290"/>
      <c r="M133" s="290"/>
      <c r="N133" s="290"/>
      <c r="O133" s="234"/>
      <c r="P133" s="234"/>
      <c r="Q133" s="234"/>
      <c r="R133" s="234"/>
      <c r="S133" s="234"/>
      <c r="T133" s="234"/>
      <c r="U133" s="234"/>
      <c r="V133" s="234"/>
      <c r="W133" s="234"/>
      <c r="X133" s="234"/>
    </row>
    <row r="134" spans="1:24" ht="16.5" hidden="1" customHeight="1" x14ac:dyDescent="0.25">
      <c r="A134" s="291"/>
      <c r="B134" s="292"/>
      <c r="C134" s="293"/>
      <c r="D134" s="293"/>
      <c r="E134" s="293"/>
      <c r="F134" s="293"/>
      <c r="G134" s="293"/>
      <c r="H134" s="293"/>
      <c r="I134" s="219" t="e">
        <f t="shared" si="6"/>
        <v>#DIV/0!</v>
      </c>
      <c r="J134" s="290"/>
      <c r="K134" s="290"/>
      <c r="L134" s="290"/>
      <c r="M134" s="290"/>
      <c r="N134" s="290"/>
      <c r="O134" s="234"/>
      <c r="P134" s="234"/>
      <c r="Q134" s="234"/>
      <c r="R134" s="234"/>
      <c r="S134" s="234"/>
      <c r="T134" s="234"/>
      <c r="U134" s="234"/>
      <c r="V134" s="234"/>
      <c r="W134" s="234"/>
      <c r="X134" s="234"/>
    </row>
    <row r="135" spans="1:24" ht="16.5" hidden="1" customHeight="1" x14ac:dyDescent="0.25">
      <c r="A135" s="291"/>
      <c r="B135" s="292"/>
      <c r="C135" s="293"/>
      <c r="D135" s="293"/>
      <c r="E135" s="293"/>
      <c r="F135" s="293"/>
      <c r="G135" s="293"/>
      <c r="H135" s="293"/>
      <c r="I135" s="219" t="e">
        <f t="shared" si="6"/>
        <v>#DIV/0!</v>
      </c>
      <c r="J135" s="290"/>
      <c r="K135" s="290"/>
      <c r="L135" s="290"/>
      <c r="M135" s="290"/>
      <c r="N135" s="290"/>
      <c r="O135" s="234"/>
      <c r="P135" s="234"/>
      <c r="Q135" s="234"/>
      <c r="R135" s="234"/>
      <c r="S135" s="234"/>
      <c r="T135" s="234"/>
      <c r="U135" s="234"/>
      <c r="V135" s="234"/>
      <c r="W135" s="234"/>
      <c r="X135" s="234"/>
    </row>
    <row r="136" spans="1:24" ht="16.5" hidden="1" customHeight="1" x14ac:dyDescent="0.25">
      <c r="A136" s="291"/>
      <c r="B136" s="292"/>
      <c r="C136" s="293"/>
      <c r="D136" s="293"/>
      <c r="E136" s="293"/>
      <c r="F136" s="293"/>
      <c r="G136" s="293"/>
      <c r="H136" s="293"/>
      <c r="I136" s="219" t="e">
        <f t="shared" si="6"/>
        <v>#DIV/0!</v>
      </c>
      <c r="J136" s="290"/>
      <c r="K136" s="290"/>
      <c r="L136" s="290"/>
      <c r="M136" s="290"/>
      <c r="N136" s="290"/>
      <c r="O136" s="234"/>
      <c r="P136" s="234"/>
      <c r="Q136" s="234"/>
      <c r="R136" s="234"/>
      <c r="S136" s="234"/>
      <c r="T136" s="234"/>
      <c r="U136" s="234"/>
      <c r="V136" s="234"/>
      <c r="W136" s="234"/>
      <c r="X136" s="234"/>
    </row>
    <row r="137" spans="1:24" ht="16.5" hidden="1" customHeight="1" x14ac:dyDescent="0.25">
      <c r="A137" s="291"/>
      <c r="B137" s="292"/>
      <c r="C137" s="293"/>
      <c r="D137" s="293"/>
      <c r="E137" s="293"/>
      <c r="F137" s="293"/>
      <c r="G137" s="293"/>
      <c r="H137" s="293"/>
      <c r="I137" s="219" t="e">
        <f t="shared" si="6"/>
        <v>#DIV/0!</v>
      </c>
      <c r="J137" s="290"/>
      <c r="K137" s="290"/>
      <c r="L137" s="290"/>
      <c r="M137" s="290"/>
      <c r="N137" s="290"/>
      <c r="O137" s="234"/>
      <c r="P137" s="234"/>
      <c r="Q137" s="234"/>
      <c r="R137" s="234"/>
      <c r="S137" s="234"/>
      <c r="T137" s="234"/>
      <c r="U137" s="234"/>
      <c r="V137" s="234"/>
      <c r="W137" s="234"/>
      <c r="X137" s="234"/>
    </row>
    <row r="138" spans="1:24" ht="16.5" hidden="1" customHeight="1" x14ac:dyDescent="0.25">
      <c r="A138" s="291"/>
      <c r="B138" s="292"/>
      <c r="C138" s="293"/>
      <c r="D138" s="293"/>
      <c r="E138" s="293"/>
      <c r="F138" s="293"/>
      <c r="G138" s="293"/>
      <c r="H138" s="293"/>
      <c r="I138" s="219" t="e">
        <f t="shared" si="6"/>
        <v>#DIV/0!</v>
      </c>
      <c r="J138" s="290"/>
      <c r="K138" s="290"/>
      <c r="L138" s="290"/>
      <c r="M138" s="290"/>
      <c r="N138" s="290"/>
      <c r="O138" s="234"/>
      <c r="P138" s="234"/>
      <c r="Q138" s="234"/>
      <c r="R138" s="234"/>
      <c r="S138" s="234"/>
      <c r="T138" s="234"/>
      <c r="U138" s="234"/>
      <c r="V138" s="234"/>
      <c r="W138" s="234"/>
      <c r="X138" s="234"/>
    </row>
    <row r="139" spans="1:24" ht="16.5" hidden="1" customHeight="1" x14ac:dyDescent="0.25">
      <c r="A139" s="291"/>
      <c r="B139" s="292"/>
      <c r="C139" s="293"/>
      <c r="D139" s="293"/>
      <c r="E139" s="293"/>
      <c r="F139" s="293"/>
      <c r="G139" s="293"/>
      <c r="H139" s="293"/>
      <c r="I139" s="219" t="e">
        <f t="shared" si="6"/>
        <v>#DIV/0!</v>
      </c>
      <c r="J139" s="290"/>
      <c r="K139" s="290"/>
      <c r="L139" s="290"/>
      <c r="M139" s="290"/>
      <c r="N139" s="290"/>
      <c r="O139" s="234"/>
      <c r="P139" s="234"/>
      <c r="Q139" s="234"/>
      <c r="R139" s="234"/>
      <c r="S139" s="234"/>
      <c r="T139" s="234"/>
      <c r="U139" s="234"/>
      <c r="V139" s="234"/>
      <c r="W139" s="234"/>
      <c r="X139" s="234"/>
    </row>
    <row r="140" spans="1:24" ht="16.5" hidden="1" customHeight="1" x14ac:dyDescent="0.25">
      <c r="A140" s="291"/>
      <c r="B140" s="292"/>
      <c r="C140" s="293"/>
      <c r="D140" s="293"/>
      <c r="E140" s="293"/>
      <c r="F140" s="293"/>
      <c r="G140" s="293"/>
      <c r="H140" s="293"/>
      <c r="I140" s="219" t="e">
        <f t="shared" si="6"/>
        <v>#DIV/0!</v>
      </c>
      <c r="J140" s="290"/>
      <c r="K140" s="290"/>
      <c r="L140" s="290"/>
      <c r="M140" s="290"/>
      <c r="N140" s="290"/>
      <c r="O140" s="234"/>
      <c r="P140" s="234"/>
      <c r="Q140" s="234"/>
      <c r="R140" s="234"/>
      <c r="S140" s="234"/>
      <c r="T140" s="234"/>
      <c r="U140" s="234"/>
      <c r="V140" s="234"/>
      <c r="W140" s="234"/>
      <c r="X140" s="234"/>
    </row>
    <row r="141" spans="1:24" ht="16.5" hidden="1" customHeight="1" x14ac:dyDescent="0.25">
      <c r="A141" s="291"/>
      <c r="B141" s="292"/>
      <c r="C141" s="293"/>
      <c r="D141" s="293"/>
      <c r="E141" s="293"/>
      <c r="F141" s="293"/>
      <c r="G141" s="293"/>
      <c r="H141" s="293"/>
      <c r="I141" s="219" t="e">
        <f t="shared" si="6"/>
        <v>#DIV/0!</v>
      </c>
      <c r="J141" s="290"/>
      <c r="K141" s="290"/>
      <c r="L141" s="290"/>
      <c r="M141" s="290"/>
      <c r="N141" s="290"/>
      <c r="O141" s="234"/>
      <c r="P141" s="234"/>
      <c r="Q141" s="234"/>
      <c r="R141" s="234"/>
      <c r="S141" s="234"/>
      <c r="T141" s="234"/>
      <c r="U141" s="234"/>
      <c r="V141" s="234"/>
      <c r="W141" s="234"/>
      <c r="X141" s="234"/>
    </row>
    <row r="142" spans="1:24" ht="16.5" hidden="1" customHeight="1" x14ac:dyDescent="0.25">
      <c r="A142" s="291"/>
      <c r="B142" s="292"/>
      <c r="C142" s="293"/>
      <c r="D142" s="293"/>
      <c r="E142" s="293"/>
      <c r="F142" s="293"/>
      <c r="G142" s="293"/>
      <c r="H142" s="293"/>
      <c r="I142" s="219" t="e">
        <f t="shared" si="6"/>
        <v>#DIV/0!</v>
      </c>
      <c r="J142" s="290"/>
      <c r="K142" s="290"/>
      <c r="L142" s="290"/>
      <c r="M142" s="290"/>
      <c r="N142" s="290"/>
      <c r="O142" s="234"/>
      <c r="P142" s="234"/>
      <c r="Q142" s="234"/>
      <c r="R142" s="234"/>
      <c r="S142" s="234"/>
      <c r="T142" s="234"/>
      <c r="U142" s="234"/>
      <c r="V142" s="234"/>
      <c r="W142" s="234"/>
      <c r="X142" s="234"/>
    </row>
    <row r="143" spans="1:24" ht="16.5" hidden="1" customHeight="1" x14ac:dyDescent="0.25">
      <c r="A143" s="291"/>
      <c r="B143" s="292"/>
      <c r="C143" s="293"/>
      <c r="D143" s="293"/>
      <c r="E143" s="293"/>
      <c r="F143" s="293"/>
      <c r="G143" s="293"/>
      <c r="H143" s="293"/>
      <c r="I143" s="219" t="e">
        <f t="shared" si="6"/>
        <v>#DIV/0!</v>
      </c>
      <c r="J143" s="290"/>
      <c r="K143" s="290"/>
      <c r="L143" s="290"/>
      <c r="M143" s="290"/>
      <c r="N143" s="290"/>
      <c r="O143" s="234"/>
      <c r="P143" s="234"/>
      <c r="Q143" s="234"/>
      <c r="R143" s="234"/>
      <c r="S143" s="234"/>
      <c r="T143" s="234"/>
      <c r="U143" s="234"/>
      <c r="V143" s="234"/>
      <c r="W143" s="234"/>
      <c r="X143" s="234"/>
    </row>
    <row r="144" spans="1:24" ht="16.5" hidden="1" customHeight="1" x14ac:dyDescent="0.25">
      <c r="A144" s="291"/>
      <c r="B144" s="292"/>
      <c r="C144" s="293"/>
      <c r="D144" s="293"/>
      <c r="E144" s="293"/>
      <c r="F144" s="293"/>
      <c r="G144" s="293"/>
      <c r="H144" s="293"/>
      <c r="I144" s="219" t="e">
        <f t="shared" si="6"/>
        <v>#DIV/0!</v>
      </c>
      <c r="J144" s="290"/>
      <c r="K144" s="290"/>
      <c r="L144" s="290"/>
      <c r="M144" s="290"/>
      <c r="N144" s="290"/>
      <c r="O144" s="234"/>
      <c r="P144" s="234"/>
      <c r="Q144" s="234"/>
      <c r="R144" s="234"/>
      <c r="S144" s="234"/>
      <c r="T144" s="234"/>
      <c r="U144" s="234"/>
      <c r="V144" s="234"/>
      <c r="W144" s="234"/>
      <c r="X144" s="234"/>
    </row>
    <row r="145" spans="1:24" ht="16.5" hidden="1" customHeight="1" x14ac:dyDescent="0.25">
      <c r="A145" s="291"/>
      <c r="B145" s="292"/>
      <c r="C145" s="293"/>
      <c r="D145" s="293"/>
      <c r="E145" s="293"/>
      <c r="F145" s="293"/>
      <c r="G145" s="293"/>
      <c r="H145" s="293"/>
      <c r="I145" s="219" t="e">
        <f t="shared" si="6"/>
        <v>#DIV/0!</v>
      </c>
      <c r="J145" s="290"/>
      <c r="K145" s="290"/>
      <c r="L145" s="290"/>
      <c r="M145" s="290"/>
      <c r="N145" s="290"/>
      <c r="O145" s="234"/>
      <c r="P145" s="234"/>
      <c r="Q145" s="234"/>
      <c r="R145" s="234"/>
      <c r="S145" s="234"/>
      <c r="T145" s="234"/>
      <c r="U145" s="234"/>
      <c r="V145" s="234"/>
      <c r="W145" s="234"/>
      <c r="X145" s="234"/>
    </row>
    <row r="146" spans="1:24" ht="16.5" hidden="1" customHeight="1" x14ac:dyDescent="0.25">
      <c r="A146" s="291"/>
      <c r="B146" s="292"/>
      <c r="C146" s="293"/>
      <c r="D146" s="293"/>
      <c r="E146" s="293"/>
      <c r="F146" s="293"/>
      <c r="G146" s="293"/>
      <c r="H146" s="293"/>
      <c r="I146" s="219" t="e">
        <f t="shared" si="6"/>
        <v>#DIV/0!</v>
      </c>
      <c r="J146" s="290"/>
      <c r="K146" s="290"/>
      <c r="L146" s="290"/>
      <c r="M146" s="290"/>
      <c r="N146" s="290"/>
      <c r="O146" s="234"/>
      <c r="P146" s="234"/>
      <c r="Q146" s="234"/>
      <c r="R146" s="234"/>
      <c r="S146" s="234"/>
      <c r="T146" s="234"/>
      <c r="U146" s="234"/>
      <c r="V146" s="234"/>
      <c r="W146" s="234"/>
      <c r="X146" s="234"/>
    </row>
    <row r="147" spans="1:24" ht="16.5" hidden="1" customHeight="1" x14ac:dyDescent="0.25">
      <c r="A147" s="291"/>
      <c r="B147" s="292"/>
      <c r="C147" s="293"/>
      <c r="D147" s="293"/>
      <c r="E147" s="293"/>
      <c r="F147" s="293"/>
      <c r="G147" s="293"/>
      <c r="H147" s="293"/>
      <c r="I147" s="219" t="e">
        <f t="shared" si="6"/>
        <v>#DIV/0!</v>
      </c>
      <c r="J147" s="290"/>
      <c r="K147" s="290"/>
      <c r="L147" s="290"/>
      <c r="M147" s="290"/>
      <c r="N147" s="290"/>
      <c r="O147" s="234"/>
      <c r="P147" s="234"/>
      <c r="Q147" s="234"/>
      <c r="R147" s="234"/>
      <c r="S147" s="234"/>
      <c r="T147" s="234"/>
      <c r="U147" s="234"/>
      <c r="V147" s="234"/>
      <c r="W147" s="234"/>
      <c r="X147" s="234"/>
    </row>
    <row r="148" spans="1:24" ht="16.5" hidden="1" customHeight="1" x14ac:dyDescent="0.25">
      <c r="A148" s="291"/>
      <c r="B148" s="292"/>
      <c r="C148" s="293"/>
      <c r="D148" s="293"/>
      <c r="E148" s="293"/>
      <c r="F148" s="293"/>
      <c r="G148" s="293"/>
      <c r="H148" s="293"/>
      <c r="I148" s="219" t="e">
        <f t="shared" si="6"/>
        <v>#DIV/0!</v>
      </c>
      <c r="J148" s="290"/>
      <c r="K148" s="290"/>
      <c r="L148" s="290"/>
      <c r="M148" s="290"/>
      <c r="N148" s="290"/>
      <c r="O148" s="234"/>
      <c r="P148" s="234"/>
      <c r="Q148" s="234"/>
      <c r="R148" s="234"/>
      <c r="S148" s="234"/>
      <c r="T148" s="234"/>
      <c r="U148" s="234"/>
      <c r="V148" s="234"/>
      <c r="W148" s="234"/>
      <c r="X148" s="234"/>
    </row>
    <row r="149" spans="1:24" ht="16.5" hidden="1" customHeight="1" x14ac:dyDescent="0.25">
      <c r="A149" s="291"/>
      <c r="B149" s="292"/>
      <c r="C149" s="293"/>
      <c r="D149" s="293"/>
      <c r="E149" s="293"/>
      <c r="F149" s="293"/>
      <c r="G149" s="293"/>
      <c r="H149" s="293"/>
      <c r="I149" s="219" t="e">
        <f t="shared" si="6"/>
        <v>#DIV/0!</v>
      </c>
      <c r="J149" s="290"/>
      <c r="K149" s="290"/>
      <c r="L149" s="290"/>
      <c r="M149" s="290"/>
      <c r="N149" s="290"/>
      <c r="O149" s="234"/>
      <c r="P149" s="234"/>
      <c r="Q149" s="234"/>
      <c r="R149" s="234"/>
      <c r="S149" s="234"/>
      <c r="T149" s="234"/>
      <c r="U149" s="234"/>
      <c r="V149" s="234"/>
      <c r="W149" s="234"/>
      <c r="X149" s="234"/>
    </row>
    <row r="150" spans="1:24" ht="16.5" hidden="1" customHeight="1" x14ac:dyDescent="0.25">
      <c r="A150" s="291"/>
      <c r="B150" s="292"/>
      <c r="C150" s="293"/>
      <c r="D150" s="293"/>
      <c r="E150" s="293"/>
      <c r="F150" s="293"/>
      <c r="G150" s="293"/>
      <c r="H150" s="293"/>
      <c r="I150" s="219" t="e">
        <f t="shared" si="6"/>
        <v>#DIV/0!</v>
      </c>
      <c r="J150" s="290"/>
      <c r="K150" s="290"/>
      <c r="L150" s="290"/>
      <c r="M150" s="290"/>
      <c r="N150" s="290"/>
      <c r="O150" s="234"/>
      <c r="P150" s="234"/>
      <c r="Q150" s="234"/>
      <c r="R150" s="234"/>
      <c r="S150" s="234"/>
      <c r="T150" s="234"/>
      <c r="U150" s="234"/>
      <c r="V150" s="234"/>
      <c r="W150" s="234"/>
      <c r="X150" s="234"/>
    </row>
    <row r="151" spans="1:24" ht="16.5" hidden="1" customHeight="1" x14ac:dyDescent="0.25">
      <c r="A151" s="291"/>
      <c r="B151" s="292"/>
      <c r="C151" s="293"/>
      <c r="D151" s="293"/>
      <c r="E151" s="293"/>
      <c r="F151" s="293"/>
      <c r="G151" s="293"/>
      <c r="H151" s="293"/>
      <c r="I151" s="219" t="e">
        <f t="shared" si="6"/>
        <v>#DIV/0!</v>
      </c>
      <c r="J151" s="290"/>
      <c r="K151" s="290"/>
      <c r="L151" s="290"/>
      <c r="M151" s="290"/>
      <c r="N151" s="290"/>
      <c r="O151" s="234"/>
      <c r="P151" s="234"/>
      <c r="Q151" s="234"/>
      <c r="R151" s="234"/>
      <c r="S151" s="234"/>
      <c r="T151" s="234"/>
      <c r="U151" s="234"/>
      <c r="V151" s="234"/>
      <c r="W151" s="234"/>
      <c r="X151" s="234"/>
    </row>
    <row r="152" spans="1:24" ht="16.5" hidden="1" customHeight="1" x14ac:dyDescent="0.25">
      <c r="A152" s="291"/>
      <c r="B152" s="292"/>
      <c r="C152" s="293"/>
      <c r="D152" s="293"/>
      <c r="E152" s="293"/>
      <c r="F152" s="293"/>
      <c r="G152" s="293"/>
      <c r="H152" s="293"/>
      <c r="I152" s="219" t="e">
        <f t="shared" si="6"/>
        <v>#DIV/0!</v>
      </c>
      <c r="J152" s="290"/>
      <c r="K152" s="290"/>
      <c r="L152" s="290"/>
      <c r="M152" s="290"/>
      <c r="N152" s="290"/>
      <c r="O152" s="234"/>
      <c r="P152" s="234"/>
      <c r="Q152" s="234"/>
      <c r="R152" s="234"/>
      <c r="S152" s="234"/>
      <c r="T152" s="234"/>
      <c r="U152" s="234"/>
      <c r="V152" s="234"/>
      <c r="W152" s="234"/>
      <c r="X152" s="234"/>
    </row>
    <row r="153" spans="1:24" ht="16.5" hidden="1" customHeight="1" x14ac:dyDescent="0.25">
      <c r="A153" s="291"/>
      <c r="B153" s="292"/>
      <c r="C153" s="293"/>
      <c r="D153" s="293"/>
      <c r="E153" s="293"/>
      <c r="F153" s="293"/>
      <c r="G153" s="293"/>
      <c r="H153" s="293"/>
      <c r="I153" s="219" t="e">
        <f t="shared" ref="I153:I216" si="8">G153/F153*100</f>
        <v>#DIV/0!</v>
      </c>
      <c r="J153" s="290"/>
      <c r="K153" s="290"/>
      <c r="L153" s="290"/>
      <c r="M153" s="290"/>
      <c r="N153" s="290"/>
      <c r="O153" s="234"/>
      <c r="P153" s="234"/>
      <c r="Q153" s="234"/>
      <c r="R153" s="234"/>
      <c r="S153" s="234"/>
      <c r="T153" s="234"/>
      <c r="U153" s="234"/>
      <c r="V153" s="234"/>
      <c r="W153" s="234"/>
      <c r="X153" s="234"/>
    </row>
    <row r="154" spans="1:24" ht="16.5" hidden="1" customHeight="1" x14ac:dyDescent="0.25">
      <c r="A154" s="291"/>
      <c r="B154" s="292"/>
      <c r="C154" s="293"/>
      <c r="D154" s="293"/>
      <c r="E154" s="293"/>
      <c r="F154" s="293"/>
      <c r="G154" s="293"/>
      <c r="H154" s="293"/>
      <c r="I154" s="219" t="e">
        <f t="shared" si="8"/>
        <v>#DIV/0!</v>
      </c>
      <c r="J154" s="290"/>
      <c r="K154" s="290"/>
      <c r="L154" s="290"/>
      <c r="M154" s="290"/>
      <c r="N154" s="290"/>
      <c r="O154" s="234"/>
      <c r="P154" s="234"/>
      <c r="Q154" s="234"/>
      <c r="R154" s="234"/>
      <c r="S154" s="234"/>
      <c r="T154" s="234"/>
      <c r="U154" s="234"/>
      <c r="V154" s="234"/>
      <c r="W154" s="234"/>
      <c r="X154" s="234"/>
    </row>
    <row r="155" spans="1:24" ht="16.5" hidden="1" customHeight="1" x14ac:dyDescent="0.25">
      <c r="A155" s="291"/>
      <c r="B155" s="292"/>
      <c r="C155" s="293"/>
      <c r="D155" s="293"/>
      <c r="E155" s="293"/>
      <c r="F155" s="293"/>
      <c r="G155" s="293"/>
      <c r="H155" s="293"/>
      <c r="I155" s="219" t="e">
        <f t="shared" si="8"/>
        <v>#DIV/0!</v>
      </c>
      <c r="J155" s="290"/>
      <c r="K155" s="290"/>
      <c r="L155" s="290"/>
      <c r="M155" s="290"/>
      <c r="N155" s="290"/>
      <c r="O155" s="234"/>
      <c r="P155" s="234"/>
      <c r="Q155" s="234"/>
      <c r="R155" s="234"/>
      <c r="S155" s="234"/>
      <c r="T155" s="234"/>
      <c r="U155" s="234"/>
      <c r="V155" s="234"/>
      <c r="W155" s="234"/>
      <c r="X155" s="234"/>
    </row>
    <row r="156" spans="1:24" ht="16.5" hidden="1" customHeight="1" x14ac:dyDescent="0.25">
      <c r="A156" s="291"/>
      <c r="B156" s="292"/>
      <c r="C156" s="293"/>
      <c r="D156" s="293"/>
      <c r="E156" s="293"/>
      <c r="F156" s="293"/>
      <c r="G156" s="293"/>
      <c r="H156" s="293"/>
      <c r="I156" s="219" t="e">
        <f t="shared" si="8"/>
        <v>#DIV/0!</v>
      </c>
      <c r="J156" s="290"/>
      <c r="K156" s="290"/>
      <c r="L156" s="290"/>
      <c r="M156" s="290"/>
      <c r="N156" s="290"/>
      <c r="O156" s="234"/>
      <c r="P156" s="234"/>
      <c r="Q156" s="234"/>
      <c r="R156" s="234"/>
      <c r="S156" s="234"/>
      <c r="T156" s="234"/>
      <c r="U156" s="234"/>
      <c r="V156" s="234"/>
      <c r="W156" s="234"/>
      <c r="X156" s="234"/>
    </row>
    <row r="157" spans="1:24" ht="16.5" hidden="1" customHeight="1" x14ac:dyDescent="0.25">
      <c r="A157" s="291"/>
      <c r="B157" s="292"/>
      <c r="C157" s="293"/>
      <c r="D157" s="293"/>
      <c r="E157" s="293"/>
      <c r="F157" s="293"/>
      <c r="G157" s="293"/>
      <c r="H157" s="293"/>
      <c r="I157" s="219" t="e">
        <f t="shared" si="8"/>
        <v>#DIV/0!</v>
      </c>
      <c r="J157" s="290"/>
      <c r="K157" s="290"/>
      <c r="L157" s="290"/>
      <c r="M157" s="290"/>
      <c r="N157" s="290"/>
      <c r="O157" s="234"/>
      <c r="P157" s="234"/>
      <c r="Q157" s="234"/>
      <c r="R157" s="234"/>
      <c r="S157" s="234"/>
      <c r="T157" s="234"/>
      <c r="U157" s="234"/>
      <c r="V157" s="234"/>
      <c r="W157" s="234"/>
      <c r="X157" s="234"/>
    </row>
    <row r="158" spans="1:24" ht="16.5" hidden="1" customHeight="1" x14ac:dyDescent="0.25">
      <c r="A158" s="291"/>
      <c r="B158" s="292"/>
      <c r="C158" s="293"/>
      <c r="D158" s="293"/>
      <c r="E158" s="293"/>
      <c r="F158" s="293"/>
      <c r="G158" s="293"/>
      <c r="H158" s="293"/>
      <c r="I158" s="219" t="e">
        <f t="shared" si="8"/>
        <v>#DIV/0!</v>
      </c>
      <c r="J158" s="290"/>
      <c r="K158" s="290"/>
      <c r="L158" s="290"/>
      <c r="M158" s="290"/>
      <c r="N158" s="290"/>
      <c r="O158" s="234"/>
      <c r="P158" s="234"/>
      <c r="Q158" s="234"/>
      <c r="R158" s="234"/>
      <c r="S158" s="234"/>
      <c r="T158" s="234"/>
      <c r="U158" s="234"/>
      <c r="V158" s="234"/>
      <c r="W158" s="234"/>
      <c r="X158" s="234"/>
    </row>
    <row r="159" spans="1:24" ht="16.5" hidden="1" customHeight="1" x14ac:dyDescent="0.25">
      <c r="A159" s="291"/>
      <c r="B159" s="292"/>
      <c r="C159" s="293"/>
      <c r="D159" s="293"/>
      <c r="E159" s="293"/>
      <c r="F159" s="293"/>
      <c r="G159" s="293"/>
      <c r="H159" s="293"/>
      <c r="I159" s="219" t="e">
        <f t="shared" si="8"/>
        <v>#DIV/0!</v>
      </c>
      <c r="J159" s="290"/>
      <c r="K159" s="290"/>
      <c r="L159" s="290"/>
      <c r="M159" s="290"/>
      <c r="N159" s="290"/>
      <c r="O159" s="234"/>
      <c r="P159" s="234"/>
      <c r="Q159" s="234"/>
      <c r="R159" s="234"/>
      <c r="S159" s="234"/>
      <c r="T159" s="234"/>
      <c r="U159" s="234"/>
      <c r="V159" s="234"/>
      <c r="W159" s="234"/>
      <c r="X159" s="234"/>
    </row>
    <row r="160" spans="1:24" ht="16.5" hidden="1" customHeight="1" x14ac:dyDescent="0.25">
      <c r="A160" s="291"/>
      <c r="B160" s="292"/>
      <c r="C160" s="293"/>
      <c r="D160" s="293"/>
      <c r="E160" s="293"/>
      <c r="F160" s="293"/>
      <c r="G160" s="293"/>
      <c r="H160" s="293"/>
      <c r="I160" s="219" t="e">
        <f t="shared" si="8"/>
        <v>#DIV/0!</v>
      </c>
      <c r="J160" s="290"/>
      <c r="K160" s="290"/>
      <c r="L160" s="290"/>
      <c r="M160" s="290"/>
      <c r="N160" s="290"/>
      <c r="O160" s="234"/>
      <c r="P160" s="234"/>
      <c r="Q160" s="234"/>
      <c r="R160" s="234"/>
      <c r="S160" s="234"/>
      <c r="T160" s="234"/>
      <c r="U160" s="234"/>
      <c r="V160" s="234"/>
      <c r="W160" s="234"/>
      <c r="X160" s="234"/>
    </row>
    <row r="161" spans="1:24" ht="16.5" hidden="1" customHeight="1" x14ac:dyDescent="0.25">
      <c r="A161" s="291"/>
      <c r="B161" s="292"/>
      <c r="C161" s="293"/>
      <c r="D161" s="293"/>
      <c r="E161" s="293"/>
      <c r="F161" s="293"/>
      <c r="G161" s="293"/>
      <c r="H161" s="293"/>
      <c r="I161" s="219" t="e">
        <f t="shared" si="8"/>
        <v>#DIV/0!</v>
      </c>
      <c r="J161" s="290"/>
      <c r="K161" s="290"/>
      <c r="L161" s="290"/>
      <c r="M161" s="290"/>
      <c r="N161" s="290"/>
      <c r="O161" s="234"/>
      <c r="P161" s="234"/>
      <c r="Q161" s="234"/>
      <c r="R161" s="234"/>
      <c r="S161" s="234"/>
      <c r="T161" s="234"/>
      <c r="U161" s="234"/>
      <c r="V161" s="234"/>
      <c r="W161" s="234"/>
      <c r="X161" s="234"/>
    </row>
    <row r="162" spans="1:24" ht="16.5" hidden="1" customHeight="1" x14ac:dyDescent="0.25">
      <c r="A162" s="291"/>
      <c r="B162" s="292"/>
      <c r="C162" s="293"/>
      <c r="D162" s="293"/>
      <c r="E162" s="293"/>
      <c r="F162" s="293"/>
      <c r="G162" s="293"/>
      <c r="H162" s="293"/>
      <c r="I162" s="219" t="e">
        <f t="shared" si="8"/>
        <v>#DIV/0!</v>
      </c>
      <c r="J162" s="290"/>
      <c r="K162" s="290"/>
      <c r="L162" s="290"/>
      <c r="M162" s="290"/>
      <c r="N162" s="290"/>
      <c r="O162" s="234"/>
      <c r="P162" s="234"/>
      <c r="Q162" s="234"/>
      <c r="R162" s="234"/>
      <c r="S162" s="234"/>
      <c r="T162" s="234"/>
      <c r="U162" s="234"/>
      <c r="V162" s="234"/>
      <c r="W162" s="234"/>
      <c r="X162" s="234"/>
    </row>
    <row r="163" spans="1:24" ht="16.5" hidden="1" customHeight="1" x14ac:dyDescent="0.25">
      <c r="A163" s="291"/>
      <c r="B163" s="292"/>
      <c r="C163" s="293"/>
      <c r="D163" s="293"/>
      <c r="E163" s="293"/>
      <c r="F163" s="293"/>
      <c r="G163" s="293"/>
      <c r="H163" s="293"/>
      <c r="I163" s="219" t="e">
        <f t="shared" si="8"/>
        <v>#DIV/0!</v>
      </c>
      <c r="J163" s="290"/>
      <c r="K163" s="290"/>
      <c r="L163" s="290"/>
      <c r="M163" s="290"/>
      <c r="N163" s="290"/>
      <c r="O163" s="234"/>
      <c r="P163" s="234"/>
      <c r="Q163" s="234"/>
      <c r="R163" s="234"/>
      <c r="S163" s="234"/>
      <c r="T163" s="234"/>
      <c r="U163" s="234"/>
      <c r="V163" s="234"/>
      <c r="W163" s="234"/>
      <c r="X163" s="234"/>
    </row>
    <row r="164" spans="1:24" ht="16.5" hidden="1" customHeight="1" x14ac:dyDescent="0.25">
      <c r="A164" s="291"/>
      <c r="B164" s="292"/>
      <c r="C164" s="293"/>
      <c r="D164" s="293"/>
      <c r="E164" s="293"/>
      <c r="F164" s="293"/>
      <c r="G164" s="293"/>
      <c r="H164" s="293"/>
      <c r="I164" s="219" t="e">
        <f t="shared" si="8"/>
        <v>#DIV/0!</v>
      </c>
      <c r="J164" s="290"/>
      <c r="K164" s="290"/>
      <c r="L164" s="290"/>
      <c r="M164" s="290"/>
      <c r="N164" s="290"/>
      <c r="O164" s="234"/>
      <c r="P164" s="234"/>
      <c r="Q164" s="234"/>
      <c r="R164" s="234"/>
      <c r="S164" s="234"/>
      <c r="T164" s="234"/>
      <c r="U164" s="234"/>
      <c r="V164" s="234"/>
      <c r="W164" s="234"/>
      <c r="X164" s="234"/>
    </row>
    <row r="165" spans="1:24" ht="16.5" hidden="1" customHeight="1" x14ac:dyDescent="0.25">
      <c r="A165" s="291"/>
      <c r="B165" s="292"/>
      <c r="C165" s="293"/>
      <c r="D165" s="293"/>
      <c r="E165" s="293"/>
      <c r="F165" s="293"/>
      <c r="G165" s="293"/>
      <c r="H165" s="293"/>
      <c r="I165" s="219" t="e">
        <f t="shared" si="8"/>
        <v>#DIV/0!</v>
      </c>
      <c r="J165" s="290"/>
      <c r="K165" s="290"/>
      <c r="L165" s="290"/>
      <c r="M165" s="290"/>
      <c r="N165" s="290"/>
      <c r="O165" s="234"/>
      <c r="P165" s="234"/>
      <c r="Q165" s="234"/>
      <c r="R165" s="234"/>
      <c r="S165" s="234"/>
      <c r="T165" s="234"/>
      <c r="U165" s="234"/>
      <c r="V165" s="234"/>
      <c r="W165" s="234"/>
      <c r="X165" s="234"/>
    </row>
    <row r="166" spans="1:24" ht="16.5" hidden="1" customHeight="1" x14ac:dyDescent="0.25">
      <c r="A166" s="291"/>
      <c r="B166" s="292"/>
      <c r="C166" s="293"/>
      <c r="D166" s="293"/>
      <c r="E166" s="293"/>
      <c r="F166" s="293"/>
      <c r="G166" s="293"/>
      <c r="H166" s="293"/>
      <c r="I166" s="219" t="e">
        <f t="shared" si="8"/>
        <v>#DIV/0!</v>
      </c>
      <c r="J166" s="290"/>
      <c r="K166" s="290"/>
      <c r="L166" s="290"/>
      <c r="M166" s="290"/>
      <c r="N166" s="290"/>
      <c r="O166" s="234"/>
      <c r="P166" s="234"/>
      <c r="Q166" s="234"/>
      <c r="R166" s="234"/>
      <c r="S166" s="234"/>
      <c r="T166" s="234"/>
      <c r="U166" s="234"/>
      <c r="V166" s="234"/>
      <c r="W166" s="234"/>
      <c r="X166" s="234"/>
    </row>
    <row r="167" spans="1:24" ht="16.5" hidden="1" customHeight="1" x14ac:dyDescent="0.25">
      <c r="A167" s="291"/>
      <c r="B167" s="292"/>
      <c r="C167" s="293"/>
      <c r="D167" s="293"/>
      <c r="E167" s="293"/>
      <c r="F167" s="293"/>
      <c r="G167" s="293"/>
      <c r="H167" s="293"/>
      <c r="I167" s="219" t="e">
        <f t="shared" si="8"/>
        <v>#DIV/0!</v>
      </c>
      <c r="J167" s="290"/>
      <c r="K167" s="290"/>
      <c r="L167" s="290"/>
      <c r="M167" s="290"/>
      <c r="N167" s="290"/>
      <c r="O167" s="234"/>
      <c r="P167" s="234"/>
      <c r="Q167" s="234"/>
      <c r="R167" s="234"/>
      <c r="S167" s="234"/>
      <c r="T167" s="234"/>
      <c r="U167" s="234"/>
      <c r="V167" s="234"/>
      <c r="W167" s="234"/>
      <c r="X167" s="234"/>
    </row>
    <row r="168" spans="1:24" ht="16.5" hidden="1" customHeight="1" x14ac:dyDescent="0.25">
      <c r="A168" s="291"/>
      <c r="B168" s="292"/>
      <c r="C168" s="293"/>
      <c r="D168" s="293"/>
      <c r="E168" s="293"/>
      <c r="F168" s="293"/>
      <c r="G168" s="293"/>
      <c r="H168" s="293"/>
      <c r="I168" s="219" t="e">
        <f t="shared" si="8"/>
        <v>#DIV/0!</v>
      </c>
      <c r="J168" s="290"/>
      <c r="K168" s="290"/>
      <c r="L168" s="290"/>
      <c r="M168" s="290"/>
      <c r="N168" s="290"/>
      <c r="O168" s="234"/>
      <c r="P168" s="234"/>
      <c r="Q168" s="234"/>
      <c r="R168" s="234"/>
      <c r="S168" s="234"/>
      <c r="T168" s="234"/>
      <c r="U168" s="234"/>
      <c r="V168" s="234"/>
      <c r="W168" s="234"/>
      <c r="X168" s="234"/>
    </row>
    <row r="169" spans="1:24" ht="16.5" hidden="1" customHeight="1" x14ac:dyDescent="0.25">
      <c r="A169" s="291"/>
      <c r="B169" s="292"/>
      <c r="C169" s="293"/>
      <c r="D169" s="293"/>
      <c r="E169" s="293"/>
      <c r="F169" s="293"/>
      <c r="G169" s="293"/>
      <c r="H169" s="293"/>
      <c r="I169" s="219" t="e">
        <f t="shared" si="8"/>
        <v>#DIV/0!</v>
      </c>
      <c r="J169" s="290"/>
      <c r="K169" s="290"/>
      <c r="L169" s="290"/>
      <c r="M169" s="290"/>
      <c r="N169" s="290"/>
      <c r="O169" s="234"/>
      <c r="P169" s="234"/>
      <c r="Q169" s="234"/>
      <c r="R169" s="234"/>
      <c r="S169" s="234"/>
      <c r="T169" s="234"/>
      <c r="U169" s="234"/>
      <c r="V169" s="234"/>
      <c r="W169" s="234"/>
      <c r="X169" s="234"/>
    </row>
    <row r="170" spans="1:24" ht="16.5" hidden="1" customHeight="1" x14ac:dyDescent="0.25">
      <c r="A170" s="291"/>
      <c r="B170" s="292"/>
      <c r="C170" s="293"/>
      <c r="D170" s="293"/>
      <c r="E170" s="293"/>
      <c r="F170" s="293"/>
      <c r="G170" s="293"/>
      <c r="H170" s="293"/>
      <c r="I170" s="219" t="e">
        <f t="shared" si="8"/>
        <v>#DIV/0!</v>
      </c>
      <c r="J170" s="290"/>
      <c r="K170" s="290"/>
      <c r="L170" s="290"/>
      <c r="M170" s="290"/>
      <c r="N170" s="290"/>
      <c r="O170" s="234"/>
      <c r="P170" s="234"/>
      <c r="Q170" s="234"/>
      <c r="R170" s="234"/>
      <c r="S170" s="234"/>
      <c r="T170" s="234"/>
      <c r="U170" s="234"/>
      <c r="V170" s="234"/>
      <c r="W170" s="234"/>
      <c r="X170" s="234"/>
    </row>
    <row r="171" spans="1:24" ht="16.5" hidden="1" customHeight="1" x14ac:dyDescent="0.25">
      <c r="A171" s="291"/>
      <c r="B171" s="292"/>
      <c r="C171" s="293"/>
      <c r="D171" s="293"/>
      <c r="E171" s="293"/>
      <c r="F171" s="293"/>
      <c r="G171" s="293"/>
      <c r="H171" s="293"/>
      <c r="I171" s="219" t="e">
        <f t="shared" si="8"/>
        <v>#DIV/0!</v>
      </c>
      <c r="J171" s="290"/>
      <c r="K171" s="290"/>
      <c r="L171" s="290"/>
      <c r="M171" s="290"/>
      <c r="N171" s="290"/>
      <c r="O171" s="234"/>
      <c r="P171" s="234"/>
      <c r="Q171" s="234"/>
      <c r="R171" s="234"/>
      <c r="S171" s="234"/>
      <c r="T171" s="234"/>
      <c r="U171" s="234"/>
      <c r="V171" s="234"/>
      <c r="W171" s="234"/>
      <c r="X171" s="234"/>
    </row>
    <row r="172" spans="1:24" ht="16.5" hidden="1" customHeight="1" x14ac:dyDescent="0.25">
      <c r="A172" s="291"/>
      <c r="B172" s="292"/>
      <c r="C172" s="293"/>
      <c r="D172" s="293"/>
      <c r="E172" s="293"/>
      <c r="F172" s="293"/>
      <c r="G172" s="293"/>
      <c r="H172" s="293"/>
      <c r="I172" s="219" t="e">
        <f t="shared" si="8"/>
        <v>#DIV/0!</v>
      </c>
      <c r="J172" s="290"/>
      <c r="K172" s="290"/>
      <c r="L172" s="290"/>
      <c r="M172" s="290"/>
      <c r="N172" s="290"/>
      <c r="O172" s="234"/>
      <c r="P172" s="234"/>
      <c r="Q172" s="234"/>
      <c r="R172" s="234"/>
      <c r="S172" s="234"/>
      <c r="T172" s="234"/>
      <c r="U172" s="234"/>
      <c r="V172" s="234"/>
      <c r="W172" s="234"/>
      <c r="X172" s="234"/>
    </row>
    <row r="173" spans="1:24" ht="16.5" hidden="1" customHeight="1" x14ac:dyDescent="0.25">
      <c r="A173" s="291"/>
      <c r="B173" s="292"/>
      <c r="C173" s="293"/>
      <c r="D173" s="293"/>
      <c r="E173" s="293"/>
      <c r="F173" s="293"/>
      <c r="G173" s="293"/>
      <c r="H173" s="293"/>
      <c r="I173" s="219" t="e">
        <f t="shared" si="8"/>
        <v>#DIV/0!</v>
      </c>
      <c r="J173" s="290"/>
      <c r="K173" s="290"/>
      <c r="L173" s="290"/>
      <c r="M173" s="290"/>
      <c r="N173" s="290"/>
      <c r="O173" s="234"/>
      <c r="P173" s="234"/>
      <c r="Q173" s="234"/>
      <c r="R173" s="234"/>
      <c r="S173" s="234"/>
      <c r="T173" s="234"/>
      <c r="U173" s="234"/>
      <c r="V173" s="234"/>
      <c r="W173" s="234"/>
      <c r="X173" s="234"/>
    </row>
    <row r="174" spans="1:24" ht="16.5" hidden="1" customHeight="1" x14ac:dyDescent="0.25">
      <c r="A174" s="291"/>
      <c r="B174" s="292"/>
      <c r="C174" s="293"/>
      <c r="D174" s="293"/>
      <c r="E174" s="293"/>
      <c r="F174" s="293"/>
      <c r="G174" s="293"/>
      <c r="H174" s="293"/>
      <c r="I174" s="219" t="e">
        <f t="shared" si="8"/>
        <v>#DIV/0!</v>
      </c>
      <c r="J174" s="290"/>
      <c r="K174" s="290"/>
      <c r="L174" s="290"/>
      <c r="M174" s="290"/>
      <c r="N174" s="290"/>
      <c r="O174" s="234"/>
      <c r="P174" s="234"/>
      <c r="Q174" s="234"/>
      <c r="R174" s="234"/>
      <c r="S174" s="234"/>
      <c r="T174" s="234"/>
      <c r="U174" s="234"/>
      <c r="V174" s="234"/>
      <c r="W174" s="234"/>
      <c r="X174" s="234"/>
    </row>
    <row r="175" spans="1:24" ht="16.5" hidden="1" customHeight="1" x14ac:dyDescent="0.25">
      <c r="A175" s="291"/>
      <c r="B175" s="292"/>
      <c r="C175" s="293"/>
      <c r="D175" s="293"/>
      <c r="E175" s="293"/>
      <c r="F175" s="293"/>
      <c r="G175" s="293"/>
      <c r="H175" s="293"/>
      <c r="I175" s="219" t="e">
        <f t="shared" si="8"/>
        <v>#DIV/0!</v>
      </c>
      <c r="J175" s="290"/>
      <c r="K175" s="290"/>
      <c r="L175" s="290"/>
      <c r="M175" s="290"/>
      <c r="N175" s="290"/>
      <c r="O175" s="234"/>
      <c r="P175" s="234"/>
      <c r="Q175" s="234"/>
      <c r="R175" s="234"/>
      <c r="S175" s="234"/>
      <c r="T175" s="234"/>
      <c r="U175" s="234"/>
      <c r="V175" s="234"/>
      <c r="W175" s="234"/>
      <c r="X175" s="234"/>
    </row>
    <row r="176" spans="1:24" ht="16.5" hidden="1" customHeight="1" x14ac:dyDescent="0.25">
      <c r="A176" s="291"/>
      <c r="B176" s="292"/>
      <c r="C176" s="293"/>
      <c r="D176" s="293"/>
      <c r="E176" s="293"/>
      <c r="F176" s="293"/>
      <c r="G176" s="293"/>
      <c r="H176" s="293"/>
      <c r="I176" s="219" t="e">
        <f t="shared" si="8"/>
        <v>#DIV/0!</v>
      </c>
      <c r="J176" s="290"/>
      <c r="K176" s="290"/>
      <c r="L176" s="290"/>
      <c r="M176" s="290"/>
      <c r="N176" s="290"/>
      <c r="O176" s="234"/>
      <c r="P176" s="234"/>
      <c r="Q176" s="234"/>
      <c r="R176" s="234"/>
      <c r="S176" s="234"/>
      <c r="T176" s="234"/>
      <c r="U176" s="234"/>
      <c r="V176" s="234"/>
      <c r="W176" s="234"/>
      <c r="X176" s="234"/>
    </row>
    <row r="177" spans="1:24" ht="16.5" hidden="1" customHeight="1" x14ac:dyDescent="0.25">
      <c r="A177" s="291"/>
      <c r="B177" s="292"/>
      <c r="C177" s="293"/>
      <c r="D177" s="293"/>
      <c r="E177" s="293"/>
      <c r="F177" s="293"/>
      <c r="G177" s="293"/>
      <c r="H177" s="293"/>
      <c r="I177" s="219" t="e">
        <f t="shared" si="8"/>
        <v>#DIV/0!</v>
      </c>
      <c r="J177" s="290"/>
      <c r="K177" s="290"/>
      <c r="L177" s="290"/>
      <c r="M177" s="290"/>
      <c r="N177" s="290"/>
      <c r="O177" s="234"/>
      <c r="P177" s="234"/>
      <c r="Q177" s="234"/>
      <c r="R177" s="234"/>
      <c r="S177" s="234"/>
      <c r="T177" s="234"/>
      <c r="U177" s="234"/>
      <c r="V177" s="234"/>
      <c r="W177" s="234"/>
      <c r="X177" s="234"/>
    </row>
    <row r="178" spans="1:24" ht="16.5" hidden="1" customHeight="1" x14ac:dyDescent="0.25">
      <c r="A178" s="291"/>
      <c r="B178" s="292"/>
      <c r="C178" s="293"/>
      <c r="D178" s="293"/>
      <c r="E178" s="293"/>
      <c r="F178" s="293"/>
      <c r="G178" s="293"/>
      <c r="H178" s="293"/>
      <c r="I178" s="219" t="e">
        <f t="shared" si="8"/>
        <v>#DIV/0!</v>
      </c>
      <c r="J178" s="290"/>
      <c r="K178" s="290"/>
      <c r="L178" s="290"/>
      <c r="M178" s="290"/>
      <c r="N178" s="290"/>
      <c r="O178" s="234"/>
      <c r="P178" s="234"/>
      <c r="Q178" s="234"/>
      <c r="R178" s="234"/>
      <c r="S178" s="234"/>
      <c r="T178" s="234"/>
      <c r="U178" s="234"/>
      <c r="V178" s="234"/>
      <c r="W178" s="234"/>
      <c r="X178" s="234"/>
    </row>
    <row r="179" spans="1:24" ht="16.5" hidden="1" customHeight="1" x14ac:dyDescent="0.25">
      <c r="A179" s="291"/>
      <c r="B179" s="292"/>
      <c r="C179" s="293"/>
      <c r="D179" s="293"/>
      <c r="E179" s="293"/>
      <c r="F179" s="293"/>
      <c r="G179" s="293"/>
      <c r="H179" s="293"/>
      <c r="I179" s="219" t="e">
        <f t="shared" si="8"/>
        <v>#DIV/0!</v>
      </c>
      <c r="J179" s="290"/>
      <c r="K179" s="290"/>
      <c r="L179" s="290"/>
      <c r="M179" s="290"/>
      <c r="N179" s="290"/>
      <c r="O179" s="234"/>
      <c r="P179" s="234"/>
      <c r="Q179" s="234"/>
      <c r="R179" s="234"/>
      <c r="S179" s="234"/>
      <c r="T179" s="234"/>
      <c r="U179" s="234"/>
      <c r="V179" s="234"/>
      <c r="W179" s="234"/>
      <c r="X179" s="234"/>
    </row>
    <row r="180" spans="1:24" ht="16.5" hidden="1" customHeight="1" x14ac:dyDescent="0.25">
      <c r="A180" s="291"/>
      <c r="B180" s="292"/>
      <c r="C180" s="293"/>
      <c r="D180" s="293"/>
      <c r="E180" s="293"/>
      <c r="F180" s="293"/>
      <c r="G180" s="293"/>
      <c r="H180" s="293"/>
      <c r="I180" s="219" t="e">
        <f t="shared" si="8"/>
        <v>#DIV/0!</v>
      </c>
      <c r="J180" s="290"/>
      <c r="K180" s="290"/>
      <c r="L180" s="290"/>
      <c r="M180" s="290"/>
      <c r="N180" s="290"/>
      <c r="O180" s="234"/>
      <c r="P180" s="234"/>
      <c r="Q180" s="234"/>
      <c r="R180" s="234"/>
      <c r="S180" s="234"/>
      <c r="T180" s="234"/>
      <c r="U180" s="234"/>
      <c r="V180" s="234"/>
      <c r="W180" s="234"/>
      <c r="X180" s="234"/>
    </row>
    <row r="181" spans="1:24" ht="16.5" hidden="1" customHeight="1" x14ac:dyDescent="0.25">
      <c r="A181" s="291"/>
      <c r="B181" s="292"/>
      <c r="C181" s="293"/>
      <c r="D181" s="293"/>
      <c r="E181" s="293"/>
      <c r="F181" s="293"/>
      <c r="G181" s="293"/>
      <c r="H181" s="293"/>
      <c r="I181" s="219" t="e">
        <f t="shared" si="8"/>
        <v>#DIV/0!</v>
      </c>
      <c r="J181" s="290"/>
      <c r="K181" s="290"/>
      <c r="L181" s="290"/>
      <c r="M181" s="290"/>
      <c r="N181" s="290"/>
      <c r="O181" s="234"/>
      <c r="P181" s="234"/>
      <c r="Q181" s="234"/>
      <c r="R181" s="234"/>
      <c r="S181" s="234"/>
      <c r="T181" s="234"/>
      <c r="U181" s="234"/>
      <c r="V181" s="234"/>
      <c r="W181" s="234"/>
      <c r="X181" s="234"/>
    </row>
    <row r="182" spans="1:24" ht="16.5" hidden="1" customHeight="1" x14ac:dyDescent="0.25">
      <c r="A182" s="291"/>
      <c r="B182" s="292"/>
      <c r="C182" s="293"/>
      <c r="D182" s="293"/>
      <c r="E182" s="293"/>
      <c r="F182" s="293"/>
      <c r="G182" s="293"/>
      <c r="H182" s="293"/>
      <c r="I182" s="219" t="e">
        <f t="shared" si="8"/>
        <v>#DIV/0!</v>
      </c>
      <c r="J182" s="290"/>
      <c r="K182" s="290"/>
      <c r="L182" s="290"/>
      <c r="M182" s="290"/>
      <c r="N182" s="290"/>
      <c r="O182" s="234"/>
      <c r="P182" s="234"/>
      <c r="Q182" s="234"/>
      <c r="R182" s="234"/>
      <c r="S182" s="234"/>
      <c r="T182" s="234"/>
      <c r="U182" s="234"/>
      <c r="V182" s="234"/>
      <c r="W182" s="234"/>
      <c r="X182" s="234"/>
    </row>
    <row r="183" spans="1:24" ht="16.5" hidden="1" customHeight="1" x14ac:dyDescent="0.25">
      <c r="A183" s="291"/>
      <c r="B183" s="292"/>
      <c r="C183" s="293"/>
      <c r="D183" s="293"/>
      <c r="E183" s="293"/>
      <c r="F183" s="293"/>
      <c r="G183" s="293"/>
      <c r="H183" s="293"/>
      <c r="I183" s="219" t="e">
        <f t="shared" si="8"/>
        <v>#DIV/0!</v>
      </c>
      <c r="J183" s="290"/>
      <c r="K183" s="290"/>
      <c r="L183" s="290"/>
      <c r="M183" s="290"/>
      <c r="N183" s="290"/>
      <c r="O183" s="234"/>
      <c r="P183" s="234"/>
      <c r="Q183" s="234"/>
      <c r="R183" s="234"/>
      <c r="S183" s="234"/>
      <c r="T183" s="234"/>
      <c r="U183" s="234"/>
      <c r="V183" s="234"/>
      <c r="W183" s="234"/>
      <c r="X183" s="234"/>
    </row>
    <row r="184" spans="1:24" ht="16.5" hidden="1" customHeight="1" x14ac:dyDescent="0.25">
      <c r="A184" s="291"/>
      <c r="B184" s="292"/>
      <c r="C184" s="293"/>
      <c r="D184" s="293"/>
      <c r="E184" s="293"/>
      <c r="F184" s="293"/>
      <c r="G184" s="293"/>
      <c r="H184" s="293"/>
      <c r="I184" s="219" t="e">
        <f t="shared" si="8"/>
        <v>#DIV/0!</v>
      </c>
      <c r="J184" s="290"/>
      <c r="K184" s="290"/>
      <c r="L184" s="290"/>
      <c r="M184" s="290"/>
      <c r="N184" s="290"/>
      <c r="O184" s="234"/>
      <c r="P184" s="234"/>
      <c r="Q184" s="234"/>
      <c r="R184" s="234"/>
      <c r="S184" s="234"/>
      <c r="T184" s="234"/>
      <c r="U184" s="234"/>
      <c r="V184" s="234"/>
      <c r="W184" s="234"/>
      <c r="X184" s="234"/>
    </row>
    <row r="185" spans="1:24" ht="16.5" hidden="1" customHeight="1" x14ac:dyDescent="0.25">
      <c r="A185" s="291"/>
      <c r="B185" s="292"/>
      <c r="C185" s="293"/>
      <c r="D185" s="293"/>
      <c r="E185" s="293"/>
      <c r="F185" s="293"/>
      <c r="G185" s="293"/>
      <c r="H185" s="293"/>
      <c r="I185" s="219" t="e">
        <f t="shared" si="8"/>
        <v>#DIV/0!</v>
      </c>
      <c r="J185" s="290"/>
      <c r="K185" s="290"/>
      <c r="L185" s="290"/>
      <c r="M185" s="290"/>
      <c r="N185" s="290"/>
      <c r="O185" s="234"/>
      <c r="P185" s="234"/>
      <c r="Q185" s="234"/>
      <c r="R185" s="234"/>
      <c r="S185" s="234"/>
      <c r="T185" s="234"/>
      <c r="U185" s="234"/>
      <c r="V185" s="234"/>
      <c r="W185" s="234"/>
      <c r="X185" s="234"/>
    </row>
    <row r="186" spans="1:24" ht="16.5" hidden="1" customHeight="1" x14ac:dyDescent="0.25">
      <c r="A186" s="291"/>
      <c r="B186" s="292"/>
      <c r="C186" s="293"/>
      <c r="D186" s="293"/>
      <c r="E186" s="293"/>
      <c r="F186" s="293"/>
      <c r="G186" s="293"/>
      <c r="H186" s="293"/>
      <c r="I186" s="219" t="e">
        <f t="shared" si="8"/>
        <v>#DIV/0!</v>
      </c>
      <c r="J186" s="290"/>
      <c r="K186" s="290"/>
      <c r="L186" s="290"/>
      <c r="M186" s="290"/>
      <c r="N186" s="290"/>
      <c r="O186" s="234"/>
      <c r="P186" s="234"/>
      <c r="Q186" s="234"/>
      <c r="R186" s="234"/>
      <c r="S186" s="234"/>
      <c r="T186" s="234"/>
      <c r="U186" s="234"/>
      <c r="V186" s="234"/>
      <c r="W186" s="234"/>
      <c r="X186" s="234"/>
    </row>
    <row r="187" spans="1:24" ht="16.5" hidden="1" customHeight="1" x14ac:dyDescent="0.25">
      <c r="A187" s="291"/>
      <c r="B187" s="292"/>
      <c r="C187" s="293"/>
      <c r="D187" s="293"/>
      <c r="E187" s="293"/>
      <c r="F187" s="293"/>
      <c r="G187" s="293"/>
      <c r="H187" s="293"/>
      <c r="I187" s="219" t="e">
        <f t="shared" si="8"/>
        <v>#DIV/0!</v>
      </c>
      <c r="J187" s="290"/>
      <c r="K187" s="290"/>
      <c r="L187" s="290"/>
      <c r="M187" s="290"/>
      <c r="N187" s="290"/>
      <c r="O187" s="234"/>
      <c r="P187" s="234"/>
      <c r="Q187" s="234"/>
      <c r="R187" s="234"/>
      <c r="S187" s="234"/>
      <c r="T187" s="234"/>
      <c r="U187" s="234"/>
      <c r="V187" s="234"/>
      <c r="W187" s="234"/>
      <c r="X187" s="234"/>
    </row>
    <row r="188" spans="1:24" ht="16.5" hidden="1" customHeight="1" x14ac:dyDescent="0.25">
      <c r="A188" s="291"/>
      <c r="B188" s="292"/>
      <c r="C188" s="293"/>
      <c r="D188" s="293"/>
      <c r="E188" s="293"/>
      <c r="F188" s="293"/>
      <c r="G188" s="293"/>
      <c r="H188" s="293"/>
      <c r="I188" s="219" t="e">
        <f t="shared" si="8"/>
        <v>#DIV/0!</v>
      </c>
      <c r="J188" s="290"/>
      <c r="K188" s="290"/>
      <c r="L188" s="290"/>
      <c r="M188" s="290"/>
      <c r="N188" s="290"/>
      <c r="O188" s="234"/>
      <c r="P188" s="234"/>
      <c r="Q188" s="234"/>
      <c r="R188" s="234"/>
      <c r="S188" s="234"/>
      <c r="T188" s="234"/>
      <c r="U188" s="234"/>
      <c r="V188" s="234"/>
      <c r="W188" s="234"/>
      <c r="X188" s="234"/>
    </row>
    <row r="189" spans="1:24" ht="16.5" hidden="1" customHeight="1" x14ac:dyDescent="0.25">
      <c r="A189" s="291"/>
      <c r="B189" s="292"/>
      <c r="C189" s="293"/>
      <c r="D189" s="293"/>
      <c r="E189" s="293"/>
      <c r="F189" s="293"/>
      <c r="G189" s="293"/>
      <c r="H189" s="293"/>
      <c r="I189" s="219" t="e">
        <f t="shared" si="8"/>
        <v>#DIV/0!</v>
      </c>
      <c r="J189" s="290"/>
      <c r="K189" s="290"/>
      <c r="L189" s="290"/>
      <c r="M189" s="290"/>
      <c r="N189" s="290"/>
      <c r="O189" s="234"/>
      <c r="P189" s="234"/>
      <c r="Q189" s="234"/>
      <c r="R189" s="234"/>
      <c r="S189" s="234"/>
      <c r="T189" s="234"/>
      <c r="U189" s="234"/>
      <c r="V189" s="234"/>
      <c r="W189" s="234"/>
      <c r="X189" s="234"/>
    </row>
    <row r="190" spans="1:24" ht="16.5" hidden="1" customHeight="1" x14ac:dyDescent="0.25">
      <c r="A190" s="291"/>
      <c r="B190" s="292"/>
      <c r="C190" s="293"/>
      <c r="D190" s="293"/>
      <c r="E190" s="293"/>
      <c r="F190" s="293"/>
      <c r="G190" s="293"/>
      <c r="H190" s="293"/>
      <c r="I190" s="219" t="e">
        <f t="shared" si="8"/>
        <v>#DIV/0!</v>
      </c>
      <c r="J190" s="290"/>
      <c r="K190" s="290"/>
      <c r="L190" s="290"/>
      <c r="M190" s="290"/>
      <c r="N190" s="290"/>
      <c r="O190" s="234"/>
      <c r="P190" s="234"/>
      <c r="Q190" s="234"/>
      <c r="R190" s="234"/>
      <c r="S190" s="234"/>
      <c r="T190" s="234"/>
      <c r="U190" s="234"/>
      <c r="V190" s="234"/>
      <c r="W190" s="234"/>
      <c r="X190" s="234"/>
    </row>
    <row r="191" spans="1:24" ht="16.5" hidden="1" customHeight="1" x14ac:dyDescent="0.25">
      <c r="A191" s="291"/>
      <c r="B191" s="292"/>
      <c r="C191" s="293"/>
      <c r="D191" s="293"/>
      <c r="E191" s="293"/>
      <c r="F191" s="293"/>
      <c r="G191" s="293"/>
      <c r="H191" s="293"/>
      <c r="I191" s="219" t="e">
        <f t="shared" si="8"/>
        <v>#DIV/0!</v>
      </c>
      <c r="J191" s="290"/>
      <c r="K191" s="290"/>
      <c r="L191" s="290"/>
      <c r="M191" s="290"/>
      <c r="N191" s="290"/>
      <c r="O191" s="234"/>
      <c r="P191" s="234"/>
      <c r="Q191" s="234"/>
      <c r="R191" s="234"/>
      <c r="S191" s="234"/>
      <c r="T191" s="234"/>
      <c r="U191" s="234"/>
      <c r="V191" s="234"/>
      <c r="W191" s="234"/>
      <c r="X191" s="234"/>
    </row>
    <row r="192" spans="1:24" ht="16.5" hidden="1" customHeight="1" x14ac:dyDescent="0.25">
      <c r="A192" s="291"/>
      <c r="B192" s="292"/>
      <c r="C192" s="293"/>
      <c r="D192" s="293"/>
      <c r="E192" s="293"/>
      <c r="F192" s="293"/>
      <c r="G192" s="293"/>
      <c r="H192" s="293"/>
      <c r="I192" s="219" t="e">
        <f t="shared" si="8"/>
        <v>#DIV/0!</v>
      </c>
      <c r="J192" s="290"/>
      <c r="K192" s="290"/>
      <c r="L192" s="290"/>
      <c r="M192" s="290"/>
      <c r="N192" s="290"/>
      <c r="O192" s="234"/>
      <c r="P192" s="234"/>
      <c r="Q192" s="234"/>
      <c r="R192" s="234"/>
      <c r="S192" s="234"/>
      <c r="T192" s="234"/>
      <c r="U192" s="234"/>
      <c r="V192" s="234"/>
      <c r="W192" s="234"/>
      <c r="X192" s="234"/>
    </row>
    <row r="193" spans="1:24" ht="16.5" hidden="1" customHeight="1" x14ac:dyDescent="0.25">
      <c r="A193" s="291"/>
      <c r="B193" s="292"/>
      <c r="C193" s="293"/>
      <c r="D193" s="293"/>
      <c r="E193" s="293"/>
      <c r="F193" s="293"/>
      <c r="G193" s="293"/>
      <c r="H193" s="293"/>
      <c r="I193" s="219" t="e">
        <f t="shared" si="8"/>
        <v>#DIV/0!</v>
      </c>
      <c r="J193" s="290"/>
      <c r="K193" s="290"/>
      <c r="L193" s="290"/>
      <c r="M193" s="290"/>
      <c r="N193" s="290"/>
      <c r="O193" s="234"/>
      <c r="P193" s="234"/>
      <c r="Q193" s="234"/>
      <c r="R193" s="234"/>
      <c r="S193" s="234"/>
      <c r="T193" s="234"/>
      <c r="U193" s="234"/>
      <c r="V193" s="234"/>
      <c r="W193" s="234"/>
      <c r="X193" s="234"/>
    </row>
    <row r="194" spans="1:24" ht="16.5" hidden="1" customHeight="1" x14ac:dyDescent="0.25">
      <c r="A194" s="291"/>
      <c r="B194" s="292"/>
      <c r="C194" s="293"/>
      <c r="D194" s="293"/>
      <c r="E194" s="293"/>
      <c r="F194" s="293"/>
      <c r="G194" s="293"/>
      <c r="H194" s="293"/>
      <c r="I194" s="219" t="e">
        <f t="shared" si="8"/>
        <v>#DIV/0!</v>
      </c>
      <c r="J194" s="290"/>
      <c r="K194" s="290"/>
      <c r="L194" s="290"/>
      <c r="M194" s="290"/>
      <c r="N194" s="290"/>
      <c r="O194" s="234"/>
      <c r="P194" s="234"/>
      <c r="Q194" s="234"/>
      <c r="R194" s="234"/>
      <c r="S194" s="234"/>
      <c r="T194" s="234"/>
      <c r="U194" s="234"/>
      <c r="V194" s="234"/>
      <c r="W194" s="234"/>
      <c r="X194" s="234"/>
    </row>
    <row r="195" spans="1:24" ht="16.5" hidden="1" customHeight="1" x14ac:dyDescent="0.25">
      <c r="A195" s="291"/>
      <c r="B195" s="292"/>
      <c r="C195" s="293"/>
      <c r="D195" s="293"/>
      <c r="E195" s="293"/>
      <c r="F195" s="293"/>
      <c r="G195" s="293"/>
      <c r="H195" s="293"/>
      <c r="I195" s="219" t="e">
        <f t="shared" si="8"/>
        <v>#DIV/0!</v>
      </c>
      <c r="J195" s="290"/>
      <c r="K195" s="290"/>
      <c r="L195" s="290"/>
      <c r="M195" s="290"/>
      <c r="N195" s="290"/>
      <c r="O195" s="234"/>
      <c r="P195" s="234"/>
      <c r="Q195" s="234"/>
      <c r="R195" s="234"/>
      <c r="S195" s="234"/>
      <c r="T195" s="234"/>
      <c r="U195" s="234"/>
      <c r="V195" s="234"/>
      <c r="W195" s="234"/>
      <c r="X195" s="234"/>
    </row>
    <row r="196" spans="1:24" ht="16.5" hidden="1" customHeight="1" x14ac:dyDescent="0.25">
      <c r="A196" s="291"/>
      <c r="B196" s="292"/>
      <c r="C196" s="293"/>
      <c r="D196" s="293"/>
      <c r="E196" s="293"/>
      <c r="F196" s="293"/>
      <c r="G196" s="293"/>
      <c r="H196" s="293"/>
      <c r="I196" s="219" t="e">
        <f t="shared" si="8"/>
        <v>#DIV/0!</v>
      </c>
      <c r="J196" s="290"/>
      <c r="K196" s="290"/>
      <c r="L196" s="290"/>
      <c r="M196" s="290"/>
      <c r="N196" s="290"/>
      <c r="O196" s="234"/>
      <c r="P196" s="234"/>
      <c r="Q196" s="234"/>
      <c r="R196" s="234"/>
      <c r="S196" s="234"/>
      <c r="T196" s="234"/>
      <c r="U196" s="234"/>
      <c r="V196" s="234"/>
      <c r="W196" s="234"/>
      <c r="X196" s="234"/>
    </row>
    <row r="197" spans="1:24" ht="16.5" hidden="1" customHeight="1" x14ac:dyDescent="0.25">
      <c r="A197" s="291"/>
      <c r="B197" s="292"/>
      <c r="C197" s="293"/>
      <c r="D197" s="293"/>
      <c r="E197" s="293"/>
      <c r="F197" s="293"/>
      <c r="G197" s="293"/>
      <c r="H197" s="293"/>
      <c r="I197" s="219" t="e">
        <f t="shared" si="8"/>
        <v>#DIV/0!</v>
      </c>
      <c r="J197" s="290"/>
      <c r="K197" s="290"/>
      <c r="L197" s="290"/>
      <c r="M197" s="290"/>
      <c r="N197" s="290"/>
      <c r="O197" s="234"/>
      <c r="P197" s="234"/>
      <c r="Q197" s="234"/>
      <c r="R197" s="234"/>
      <c r="S197" s="234"/>
      <c r="T197" s="234"/>
      <c r="U197" s="234"/>
      <c r="V197" s="234"/>
      <c r="W197" s="234"/>
      <c r="X197" s="234"/>
    </row>
    <row r="198" spans="1:24" ht="16.5" hidden="1" customHeight="1" x14ac:dyDescent="0.25">
      <c r="A198" s="291"/>
      <c r="B198" s="292"/>
      <c r="C198" s="293"/>
      <c r="D198" s="293"/>
      <c r="E198" s="293"/>
      <c r="F198" s="293"/>
      <c r="G198" s="293"/>
      <c r="H198" s="293"/>
      <c r="I198" s="219" t="e">
        <f t="shared" si="8"/>
        <v>#DIV/0!</v>
      </c>
      <c r="J198" s="290"/>
      <c r="K198" s="290"/>
      <c r="L198" s="290"/>
      <c r="M198" s="290"/>
      <c r="N198" s="290"/>
      <c r="O198" s="234"/>
      <c r="P198" s="234"/>
      <c r="Q198" s="234"/>
      <c r="R198" s="234"/>
      <c r="S198" s="234"/>
      <c r="T198" s="234"/>
      <c r="U198" s="234"/>
      <c r="V198" s="234"/>
      <c r="W198" s="234"/>
      <c r="X198" s="234"/>
    </row>
    <row r="199" spans="1:24" ht="16.5" hidden="1" customHeight="1" x14ac:dyDescent="0.25">
      <c r="A199" s="291"/>
      <c r="B199" s="292"/>
      <c r="C199" s="293"/>
      <c r="D199" s="293"/>
      <c r="E199" s="293"/>
      <c r="F199" s="293"/>
      <c r="G199" s="293"/>
      <c r="H199" s="293"/>
      <c r="I199" s="219" t="e">
        <f t="shared" si="8"/>
        <v>#DIV/0!</v>
      </c>
      <c r="J199" s="290"/>
      <c r="K199" s="290"/>
      <c r="L199" s="290"/>
      <c r="M199" s="290"/>
      <c r="N199" s="290"/>
      <c r="O199" s="234"/>
      <c r="P199" s="234"/>
      <c r="Q199" s="234"/>
      <c r="R199" s="234"/>
      <c r="S199" s="234"/>
      <c r="T199" s="234"/>
      <c r="U199" s="234"/>
      <c r="V199" s="234"/>
      <c r="W199" s="234"/>
      <c r="X199" s="234"/>
    </row>
    <row r="200" spans="1:24" ht="16.5" hidden="1" customHeight="1" x14ac:dyDescent="0.25">
      <c r="A200" s="291"/>
      <c r="B200" s="292"/>
      <c r="C200" s="293"/>
      <c r="D200" s="293"/>
      <c r="E200" s="293"/>
      <c r="F200" s="293"/>
      <c r="G200" s="293"/>
      <c r="H200" s="293"/>
      <c r="I200" s="219" t="e">
        <f t="shared" si="8"/>
        <v>#DIV/0!</v>
      </c>
      <c r="J200" s="290"/>
      <c r="K200" s="290"/>
      <c r="L200" s="290"/>
      <c r="M200" s="290"/>
      <c r="N200" s="290"/>
      <c r="O200" s="234"/>
      <c r="P200" s="234"/>
      <c r="Q200" s="234"/>
      <c r="R200" s="234"/>
      <c r="S200" s="234"/>
      <c r="T200" s="234"/>
      <c r="U200" s="234"/>
      <c r="V200" s="234"/>
      <c r="W200" s="234"/>
      <c r="X200" s="234"/>
    </row>
    <row r="201" spans="1:24" ht="16.5" hidden="1" customHeight="1" x14ac:dyDescent="0.25">
      <c r="A201" s="291"/>
      <c r="B201" s="292"/>
      <c r="C201" s="293"/>
      <c r="D201" s="293"/>
      <c r="E201" s="293"/>
      <c r="F201" s="293"/>
      <c r="G201" s="293"/>
      <c r="H201" s="293"/>
      <c r="I201" s="219" t="e">
        <f t="shared" si="8"/>
        <v>#DIV/0!</v>
      </c>
      <c r="J201" s="290"/>
      <c r="K201" s="290"/>
      <c r="L201" s="290"/>
      <c r="M201" s="290"/>
      <c r="N201" s="290"/>
      <c r="O201" s="234"/>
      <c r="P201" s="234"/>
      <c r="Q201" s="234"/>
      <c r="R201" s="234"/>
      <c r="S201" s="234"/>
      <c r="T201" s="234"/>
      <c r="U201" s="234"/>
      <c r="V201" s="234"/>
      <c r="W201" s="234"/>
      <c r="X201" s="234"/>
    </row>
    <row r="202" spans="1:24" ht="16.5" hidden="1" customHeight="1" x14ac:dyDescent="0.25">
      <c r="A202" s="291"/>
      <c r="B202" s="292"/>
      <c r="C202" s="293"/>
      <c r="D202" s="293"/>
      <c r="E202" s="293"/>
      <c r="F202" s="293"/>
      <c r="G202" s="293"/>
      <c r="H202" s="293"/>
      <c r="I202" s="219" t="e">
        <f t="shared" si="8"/>
        <v>#DIV/0!</v>
      </c>
      <c r="J202" s="290"/>
      <c r="K202" s="290"/>
      <c r="L202" s="290"/>
      <c r="M202" s="290"/>
      <c r="N202" s="290"/>
      <c r="O202" s="234"/>
      <c r="P202" s="234"/>
      <c r="Q202" s="234"/>
      <c r="R202" s="234"/>
      <c r="S202" s="234"/>
      <c r="T202" s="234"/>
      <c r="U202" s="234"/>
      <c r="V202" s="234"/>
      <c r="W202" s="234"/>
      <c r="X202" s="234"/>
    </row>
    <row r="203" spans="1:24" ht="16.5" hidden="1" customHeight="1" x14ac:dyDescent="0.25">
      <c r="A203" s="291"/>
      <c r="B203" s="292"/>
      <c r="C203" s="293"/>
      <c r="D203" s="293"/>
      <c r="E203" s="293"/>
      <c r="F203" s="293"/>
      <c r="G203" s="293"/>
      <c r="H203" s="293"/>
      <c r="I203" s="219" t="e">
        <f t="shared" si="8"/>
        <v>#DIV/0!</v>
      </c>
      <c r="J203" s="290"/>
      <c r="K203" s="290"/>
      <c r="L203" s="290"/>
      <c r="M203" s="290"/>
      <c r="N203" s="290"/>
      <c r="O203" s="234"/>
      <c r="P203" s="234"/>
      <c r="Q203" s="234"/>
      <c r="R203" s="234"/>
      <c r="S203" s="234"/>
      <c r="T203" s="234"/>
      <c r="U203" s="234"/>
      <c r="V203" s="234"/>
      <c r="W203" s="234"/>
      <c r="X203" s="234"/>
    </row>
    <row r="204" spans="1:24" ht="16.5" hidden="1" customHeight="1" x14ac:dyDescent="0.25">
      <c r="A204" s="291"/>
      <c r="B204" s="292"/>
      <c r="C204" s="293"/>
      <c r="D204" s="293"/>
      <c r="E204" s="293"/>
      <c r="F204" s="293"/>
      <c r="G204" s="293"/>
      <c r="H204" s="293"/>
      <c r="I204" s="219" t="e">
        <f t="shared" si="8"/>
        <v>#DIV/0!</v>
      </c>
      <c r="J204" s="290"/>
      <c r="K204" s="290"/>
      <c r="L204" s="290"/>
      <c r="M204" s="290"/>
      <c r="N204" s="290"/>
      <c r="O204" s="234"/>
      <c r="P204" s="234"/>
      <c r="Q204" s="234"/>
      <c r="R204" s="234"/>
      <c r="S204" s="234"/>
      <c r="T204" s="234"/>
      <c r="U204" s="234"/>
      <c r="V204" s="234"/>
      <c r="W204" s="234"/>
      <c r="X204" s="234"/>
    </row>
    <row r="205" spans="1:24" ht="16.5" hidden="1" customHeight="1" x14ac:dyDescent="0.25">
      <c r="A205" s="291"/>
      <c r="B205" s="292"/>
      <c r="C205" s="293"/>
      <c r="D205" s="293"/>
      <c r="E205" s="293"/>
      <c r="F205" s="293"/>
      <c r="G205" s="293"/>
      <c r="H205" s="293"/>
      <c r="I205" s="219" t="e">
        <f t="shared" si="8"/>
        <v>#DIV/0!</v>
      </c>
      <c r="J205" s="290"/>
      <c r="K205" s="290"/>
      <c r="L205" s="290"/>
      <c r="M205" s="290"/>
      <c r="N205" s="290"/>
      <c r="O205" s="234"/>
      <c r="P205" s="234"/>
      <c r="Q205" s="234"/>
      <c r="R205" s="234"/>
      <c r="S205" s="234"/>
      <c r="T205" s="234"/>
      <c r="U205" s="234"/>
      <c r="V205" s="234"/>
      <c r="W205" s="234"/>
      <c r="X205" s="234"/>
    </row>
    <row r="206" spans="1:24" ht="16.5" hidden="1" customHeight="1" x14ac:dyDescent="0.25">
      <c r="A206" s="291"/>
      <c r="B206" s="292"/>
      <c r="C206" s="293"/>
      <c r="D206" s="293"/>
      <c r="E206" s="293"/>
      <c r="F206" s="293"/>
      <c r="G206" s="293"/>
      <c r="H206" s="293"/>
      <c r="I206" s="219" t="e">
        <f t="shared" si="8"/>
        <v>#DIV/0!</v>
      </c>
      <c r="J206" s="290"/>
      <c r="K206" s="290"/>
      <c r="L206" s="290"/>
      <c r="M206" s="290"/>
      <c r="N206" s="290"/>
      <c r="O206" s="234"/>
      <c r="P206" s="234"/>
      <c r="Q206" s="234"/>
      <c r="R206" s="234"/>
      <c r="S206" s="234"/>
      <c r="T206" s="234"/>
      <c r="U206" s="234"/>
      <c r="V206" s="234"/>
      <c r="W206" s="234"/>
      <c r="X206" s="234"/>
    </row>
    <row r="207" spans="1:24" ht="16.5" hidden="1" customHeight="1" x14ac:dyDescent="0.25">
      <c r="A207" s="291"/>
      <c r="B207" s="292"/>
      <c r="C207" s="293"/>
      <c r="D207" s="293"/>
      <c r="E207" s="293"/>
      <c r="F207" s="293"/>
      <c r="G207" s="293"/>
      <c r="H207" s="293"/>
      <c r="I207" s="219" t="e">
        <f t="shared" si="8"/>
        <v>#DIV/0!</v>
      </c>
      <c r="J207" s="290"/>
      <c r="K207" s="290"/>
      <c r="L207" s="290"/>
      <c r="M207" s="290"/>
      <c r="N207" s="290"/>
      <c r="O207" s="234"/>
      <c r="P207" s="234"/>
      <c r="Q207" s="234"/>
      <c r="R207" s="234"/>
      <c r="S207" s="234"/>
      <c r="T207" s="234"/>
      <c r="U207" s="234"/>
      <c r="V207" s="234"/>
      <c r="W207" s="234"/>
      <c r="X207" s="234"/>
    </row>
    <row r="208" spans="1:24" ht="16.5" hidden="1" customHeight="1" x14ac:dyDescent="0.25">
      <c r="A208" s="291"/>
      <c r="B208" s="292"/>
      <c r="C208" s="293"/>
      <c r="D208" s="293"/>
      <c r="E208" s="293"/>
      <c r="F208" s="293"/>
      <c r="G208" s="293"/>
      <c r="H208" s="293"/>
      <c r="I208" s="219" t="e">
        <f t="shared" si="8"/>
        <v>#DIV/0!</v>
      </c>
      <c r="J208" s="290"/>
      <c r="K208" s="290"/>
      <c r="L208" s="290"/>
      <c r="M208" s="290"/>
      <c r="N208" s="290"/>
      <c r="O208" s="234"/>
      <c r="P208" s="234"/>
      <c r="Q208" s="234"/>
      <c r="R208" s="234"/>
      <c r="S208" s="234"/>
      <c r="T208" s="234"/>
      <c r="U208" s="234"/>
      <c r="V208" s="234"/>
      <c r="W208" s="234"/>
      <c r="X208" s="234"/>
    </row>
    <row r="209" spans="1:24" ht="16.5" hidden="1" customHeight="1" x14ac:dyDescent="0.25">
      <c r="A209" s="291"/>
      <c r="B209" s="292"/>
      <c r="C209" s="293"/>
      <c r="D209" s="293"/>
      <c r="E209" s="293"/>
      <c r="F209" s="293"/>
      <c r="G209" s="293"/>
      <c r="H209" s="293"/>
      <c r="I209" s="219" t="e">
        <f t="shared" si="8"/>
        <v>#DIV/0!</v>
      </c>
      <c r="J209" s="290"/>
      <c r="K209" s="290"/>
      <c r="L209" s="290"/>
      <c r="M209" s="290"/>
      <c r="N209" s="290"/>
      <c r="O209" s="234"/>
      <c r="P209" s="234"/>
      <c r="Q209" s="234"/>
      <c r="R209" s="234"/>
      <c r="S209" s="234"/>
      <c r="T209" s="234"/>
      <c r="U209" s="234"/>
      <c r="V209" s="234"/>
      <c r="W209" s="234"/>
      <c r="X209" s="234"/>
    </row>
    <row r="210" spans="1:24" ht="16.5" hidden="1" customHeight="1" x14ac:dyDescent="0.25">
      <c r="A210" s="291"/>
      <c r="B210" s="292"/>
      <c r="C210" s="293"/>
      <c r="D210" s="293"/>
      <c r="E210" s="293"/>
      <c r="F210" s="293"/>
      <c r="G210" s="293"/>
      <c r="H210" s="293"/>
      <c r="I210" s="219" t="e">
        <f t="shared" si="8"/>
        <v>#DIV/0!</v>
      </c>
      <c r="J210" s="290"/>
      <c r="K210" s="290"/>
      <c r="L210" s="290"/>
      <c r="M210" s="290"/>
      <c r="N210" s="290"/>
      <c r="O210" s="234"/>
      <c r="P210" s="234"/>
      <c r="Q210" s="234"/>
      <c r="R210" s="234"/>
      <c r="S210" s="234"/>
      <c r="T210" s="234"/>
      <c r="U210" s="234"/>
      <c r="V210" s="234"/>
      <c r="W210" s="234"/>
      <c r="X210" s="234"/>
    </row>
    <row r="211" spans="1:24" ht="16.5" hidden="1" customHeight="1" x14ac:dyDescent="0.25">
      <c r="A211" s="291"/>
      <c r="B211" s="292"/>
      <c r="C211" s="293"/>
      <c r="D211" s="293"/>
      <c r="E211" s="293"/>
      <c r="F211" s="293"/>
      <c r="G211" s="293"/>
      <c r="H211" s="293"/>
      <c r="I211" s="219" t="e">
        <f t="shared" si="8"/>
        <v>#DIV/0!</v>
      </c>
      <c r="J211" s="290"/>
      <c r="K211" s="290"/>
      <c r="L211" s="290"/>
      <c r="M211" s="290"/>
      <c r="N211" s="290"/>
      <c r="O211" s="234"/>
      <c r="P211" s="234"/>
      <c r="Q211" s="234"/>
      <c r="R211" s="234"/>
      <c r="S211" s="234"/>
      <c r="T211" s="234"/>
      <c r="U211" s="234"/>
      <c r="V211" s="234"/>
      <c r="W211" s="234"/>
      <c r="X211" s="234"/>
    </row>
    <row r="212" spans="1:24" ht="16.5" hidden="1" customHeight="1" x14ac:dyDescent="0.25">
      <c r="A212" s="291"/>
      <c r="B212" s="292"/>
      <c r="C212" s="293"/>
      <c r="D212" s="293"/>
      <c r="E212" s="293"/>
      <c r="F212" s="293"/>
      <c r="G212" s="293"/>
      <c r="H212" s="293"/>
      <c r="I212" s="219" t="e">
        <f t="shared" si="8"/>
        <v>#DIV/0!</v>
      </c>
      <c r="J212" s="290"/>
      <c r="K212" s="290"/>
      <c r="L212" s="290"/>
      <c r="M212" s="290"/>
      <c r="N212" s="290"/>
      <c r="O212" s="234"/>
      <c r="P212" s="234"/>
      <c r="Q212" s="234"/>
      <c r="R212" s="234"/>
      <c r="S212" s="234"/>
      <c r="T212" s="234"/>
      <c r="U212" s="234"/>
      <c r="V212" s="234"/>
      <c r="W212" s="234"/>
      <c r="X212" s="234"/>
    </row>
    <row r="213" spans="1:24" ht="16.5" hidden="1" customHeight="1" x14ac:dyDescent="0.25">
      <c r="A213" s="291"/>
      <c r="B213" s="292"/>
      <c r="C213" s="293"/>
      <c r="D213" s="293"/>
      <c r="E213" s="293"/>
      <c r="F213" s="293"/>
      <c r="G213" s="293"/>
      <c r="H213" s="293"/>
      <c r="I213" s="219" t="e">
        <f t="shared" si="8"/>
        <v>#DIV/0!</v>
      </c>
      <c r="J213" s="290"/>
      <c r="K213" s="290"/>
      <c r="L213" s="290"/>
      <c r="M213" s="290"/>
      <c r="N213" s="290"/>
      <c r="O213" s="234"/>
      <c r="P213" s="234"/>
      <c r="Q213" s="234"/>
      <c r="R213" s="234"/>
      <c r="S213" s="234"/>
      <c r="T213" s="234"/>
      <c r="U213" s="234"/>
      <c r="V213" s="234"/>
      <c r="W213" s="234"/>
      <c r="X213" s="234"/>
    </row>
    <row r="214" spans="1:24" ht="16.5" hidden="1" customHeight="1" x14ac:dyDescent="0.25">
      <c r="A214" s="291"/>
      <c r="B214" s="292"/>
      <c r="C214" s="293"/>
      <c r="D214" s="293"/>
      <c r="E214" s="293"/>
      <c r="F214" s="293"/>
      <c r="G214" s="293"/>
      <c r="H214" s="293"/>
      <c r="I214" s="219" t="e">
        <f t="shared" si="8"/>
        <v>#DIV/0!</v>
      </c>
      <c r="J214" s="290"/>
      <c r="K214" s="290"/>
      <c r="L214" s="290"/>
      <c r="M214" s="290"/>
      <c r="N214" s="290"/>
      <c r="O214" s="234"/>
      <c r="P214" s="234"/>
      <c r="Q214" s="234"/>
      <c r="R214" s="234"/>
      <c r="S214" s="234"/>
      <c r="T214" s="234"/>
      <c r="U214" s="234"/>
      <c r="V214" s="234"/>
      <c r="W214" s="234"/>
      <c r="X214" s="234"/>
    </row>
    <row r="215" spans="1:24" ht="16.5" hidden="1" customHeight="1" x14ac:dyDescent="0.25">
      <c r="A215" s="291"/>
      <c r="B215" s="292"/>
      <c r="C215" s="293"/>
      <c r="D215" s="293"/>
      <c r="E215" s="293"/>
      <c r="F215" s="293"/>
      <c r="G215" s="293"/>
      <c r="H215" s="293"/>
      <c r="I215" s="219" t="e">
        <f t="shared" si="8"/>
        <v>#DIV/0!</v>
      </c>
      <c r="J215" s="290"/>
      <c r="K215" s="290"/>
      <c r="L215" s="290"/>
      <c r="M215" s="290"/>
      <c r="N215" s="290"/>
      <c r="O215" s="234"/>
      <c r="P215" s="234"/>
      <c r="Q215" s="234"/>
      <c r="R215" s="234"/>
      <c r="S215" s="234"/>
      <c r="T215" s="234"/>
      <c r="U215" s="234"/>
      <c r="V215" s="234"/>
      <c r="W215" s="234"/>
      <c r="X215" s="234"/>
    </row>
    <row r="216" spans="1:24" ht="16.5" hidden="1" customHeight="1" x14ac:dyDescent="0.25">
      <c r="A216" s="291"/>
      <c r="B216" s="292"/>
      <c r="C216" s="293"/>
      <c r="D216" s="293"/>
      <c r="E216" s="293"/>
      <c r="F216" s="293"/>
      <c r="G216" s="293"/>
      <c r="H216" s="293"/>
      <c r="I216" s="219" t="e">
        <f t="shared" si="8"/>
        <v>#DIV/0!</v>
      </c>
      <c r="J216" s="290"/>
      <c r="K216" s="290"/>
      <c r="L216" s="290"/>
      <c r="M216" s="290"/>
      <c r="N216" s="290"/>
      <c r="O216" s="234"/>
      <c r="P216" s="234"/>
      <c r="Q216" s="234"/>
      <c r="R216" s="234"/>
      <c r="S216" s="234"/>
      <c r="T216" s="234"/>
      <c r="U216" s="234"/>
      <c r="V216" s="234"/>
      <c r="W216" s="234"/>
      <c r="X216" s="234"/>
    </row>
    <row r="217" spans="1:24" ht="16.5" hidden="1" customHeight="1" x14ac:dyDescent="0.25">
      <c r="A217" s="291"/>
      <c r="B217" s="292"/>
      <c r="C217" s="293"/>
      <c r="D217" s="293"/>
      <c r="E217" s="293"/>
      <c r="F217" s="293"/>
      <c r="G217" s="293"/>
      <c r="H217" s="293"/>
      <c r="I217" s="219" t="e">
        <f t="shared" ref="I217:I280" si="9">G217/F217*100</f>
        <v>#DIV/0!</v>
      </c>
      <c r="J217" s="290"/>
      <c r="K217" s="290"/>
      <c r="L217" s="290"/>
      <c r="M217" s="290"/>
      <c r="N217" s="290"/>
      <c r="O217" s="234"/>
      <c r="P217" s="234"/>
      <c r="Q217" s="234"/>
      <c r="R217" s="234"/>
      <c r="S217" s="234"/>
      <c r="T217" s="234"/>
      <c r="U217" s="234"/>
      <c r="V217" s="234"/>
      <c r="W217" s="234"/>
      <c r="X217" s="234"/>
    </row>
    <row r="218" spans="1:24" ht="16.5" hidden="1" customHeight="1" x14ac:dyDescent="0.25">
      <c r="A218" s="291"/>
      <c r="B218" s="292"/>
      <c r="C218" s="293"/>
      <c r="D218" s="293"/>
      <c r="E218" s="293"/>
      <c r="F218" s="293"/>
      <c r="G218" s="293"/>
      <c r="H218" s="293"/>
      <c r="I218" s="219" t="e">
        <f t="shared" si="9"/>
        <v>#DIV/0!</v>
      </c>
      <c r="J218" s="290"/>
      <c r="K218" s="290"/>
      <c r="L218" s="290"/>
      <c r="M218" s="290"/>
      <c r="N218" s="290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</row>
    <row r="219" spans="1:24" ht="16.5" hidden="1" customHeight="1" x14ac:dyDescent="0.25">
      <c r="A219" s="291"/>
      <c r="B219" s="292"/>
      <c r="C219" s="293"/>
      <c r="D219" s="293"/>
      <c r="E219" s="293"/>
      <c r="F219" s="293"/>
      <c r="G219" s="293"/>
      <c r="H219" s="293"/>
      <c r="I219" s="219" t="e">
        <f t="shared" si="9"/>
        <v>#DIV/0!</v>
      </c>
      <c r="J219" s="290"/>
      <c r="K219" s="290"/>
      <c r="L219" s="290"/>
      <c r="M219" s="290"/>
      <c r="N219" s="290"/>
      <c r="O219" s="234"/>
      <c r="P219" s="234"/>
      <c r="Q219" s="234"/>
      <c r="R219" s="234"/>
      <c r="S219" s="234"/>
      <c r="T219" s="234"/>
      <c r="U219" s="234"/>
      <c r="V219" s="234"/>
      <c r="W219" s="234"/>
      <c r="X219" s="234"/>
    </row>
    <row r="220" spans="1:24" ht="16.5" hidden="1" customHeight="1" x14ac:dyDescent="0.25">
      <c r="A220" s="291"/>
      <c r="B220" s="292"/>
      <c r="C220" s="293"/>
      <c r="D220" s="293"/>
      <c r="E220" s="293"/>
      <c r="F220" s="293"/>
      <c r="G220" s="293"/>
      <c r="H220" s="293"/>
      <c r="I220" s="219" t="e">
        <f t="shared" si="9"/>
        <v>#DIV/0!</v>
      </c>
      <c r="J220" s="290"/>
      <c r="K220" s="290"/>
      <c r="L220" s="290"/>
      <c r="M220" s="290"/>
      <c r="N220" s="290"/>
      <c r="O220" s="234"/>
      <c r="P220" s="234"/>
      <c r="Q220" s="234"/>
      <c r="R220" s="234"/>
      <c r="S220" s="234"/>
      <c r="T220" s="234"/>
      <c r="U220" s="234"/>
      <c r="V220" s="234"/>
      <c r="W220" s="234"/>
      <c r="X220" s="234"/>
    </row>
    <row r="221" spans="1:24" ht="16.5" hidden="1" customHeight="1" x14ac:dyDescent="0.25">
      <c r="A221" s="291"/>
      <c r="B221" s="292"/>
      <c r="C221" s="293"/>
      <c r="D221" s="293"/>
      <c r="E221" s="293"/>
      <c r="F221" s="293"/>
      <c r="G221" s="293"/>
      <c r="H221" s="293"/>
      <c r="I221" s="219" t="e">
        <f t="shared" si="9"/>
        <v>#DIV/0!</v>
      </c>
      <c r="J221" s="290"/>
      <c r="K221" s="290"/>
      <c r="L221" s="290"/>
      <c r="M221" s="290"/>
      <c r="N221" s="290"/>
      <c r="O221" s="234"/>
      <c r="P221" s="234"/>
      <c r="Q221" s="234"/>
      <c r="R221" s="234"/>
      <c r="S221" s="234"/>
      <c r="T221" s="234"/>
      <c r="U221" s="234"/>
      <c r="V221" s="234"/>
      <c r="W221" s="234"/>
      <c r="X221" s="234"/>
    </row>
    <row r="222" spans="1:24" ht="16.5" hidden="1" customHeight="1" x14ac:dyDescent="0.25">
      <c r="A222" s="291"/>
      <c r="B222" s="292"/>
      <c r="C222" s="293"/>
      <c r="D222" s="293"/>
      <c r="E222" s="293"/>
      <c r="F222" s="293"/>
      <c r="G222" s="293"/>
      <c r="H222" s="293"/>
      <c r="I222" s="219" t="e">
        <f t="shared" si="9"/>
        <v>#DIV/0!</v>
      </c>
      <c r="J222" s="290"/>
      <c r="K222" s="290"/>
      <c r="L222" s="290"/>
      <c r="M222" s="290"/>
      <c r="N222" s="290"/>
      <c r="O222" s="234"/>
      <c r="P222" s="234"/>
      <c r="Q222" s="234"/>
      <c r="R222" s="234"/>
      <c r="S222" s="234"/>
      <c r="T222" s="234"/>
      <c r="U222" s="234"/>
      <c r="V222" s="234"/>
      <c r="W222" s="234"/>
      <c r="X222" s="234"/>
    </row>
    <row r="223" spans="1:24" ht="16.5" hidden="1" customHeight="1" x14ac:dyDescent="0.25">
      <c r="A223" s="291"/>
      <c r="B223" s="292"/>
      <c r="C223" s="293"/>
      <c r="D223" s="293"/>
      <c r="E223" s="293"/>
      <c r="F223" s="293"/>
      <c r="G223" s="293"/>
      <c r="H223" s="293"/>
      <c r="I223" s="219" t="e">
        <f t="shared" si="9"/>
        <v>#DIV/0!</v>
      </c>
      <c r="J223" s="290"/>
      <c r="K223" s="290"/>
      <c r="L223" s="290"/>
      <c r="M223" s="290"/>
      <c r="N223" s="290"/>
      <c r="O223" s="234"/>
      <c r="P223" s="234"/>
      <c r="Q223" s="234"/>
      <c r="R223" s="234"/>
      <c r="S223" s="234"/>
      <c r="T223" s="234"/>
      <c r="U223" s="234"/>
      <c r="V223" s="234"/>
      <c r="W223" s="234"/>
      <c r="X223" s="234"/>
    </row>
    <row r="224" spans="1:24" ht="16.5" hidden="1" customHeight="1" x14ac:dyDescent="0.25">
      <c r="A224" s="291"/>
      <c r="B224" s="292"/>
      <c r="C224" s="293"/>
      <c r="D224" s="293"/>
      <c r="E224" s="293"/>
      <c r="F224" s="293"/>
      <c r="G224" s="293"/>
      <c r="H224" s="293"/>
      <c r="I224" s="219" t="e">
        <f t="shared" si="9"/>
        <v>#DIV/0!</v>
      </c>
      <c r="J224" s="290"/>
      <c r="K224" s="290"/>
      <c r="L224" s="290"/>
      <c r="M224" s="290"/>
      <c r="N224" s="290"/>
      <c r="O224" s="234"/>
      <c r="P224" s="234"/>
      <c r="Q224" s="234"/>
      <c r="R224" s="234"/>
      <c r="S224" s="234"/>
      <c r="T224" s="234"/>
      <c r="U224" s="234"/>
      <c r="V224" s="234"/>
      <c r="W224" s="234"/>
      <c r="X224" s="234"/>
    </row>
    <row r="225" spans="1:24" ht="16.5" hidden="1" customHeight="1" x14ac:dyDescent="0.25">
      <c r="A225" s="291"/>
      <c r="B225" s="292"/>
      <c r="C225" s="293"/>
      <c r="D225" s="293"/>
      <c r="E225" s="293"/>
      <c r="F225" s="293"/>
      <c r="G225" s="293"/>
      <c r="H225" s="293"/>
      <c r="I225" s="219" t="e">
        <f t="shared" si="9"/>
        <v>#DIV/0!</v>
      </c>
      <c r="J225" s="290"/>
      <c r="K225" s="290"/>
      <c r="L225" s="290"/>
      <c r="M225" s="290"/>
      <c r="N225" s="290"/>
      <c r="O225" s="234"/>
      <c r="P225" s="234"/>
      <c r="Q225" s="234"/>
      <c r="R225" s="234"/>
      <c r="S225" s="234"/>
      <c r="T225" s="234"/>
      <c r="U225" s="234"/>
      <c r="V225" s="234"/>
      <c r="W225" s="234"/>
      <c r="X225" s="234"/>
    </row>
    <row r="226" spans="1:24" ht="16.5" hidden="1" customHeight="1" x14ac:dyDescent="0.25">
      <c r="A226" s="291"/>
      <c r="B226" s="292"/>
      <c r="C226" s="293"/>
      <c r="D226" s="293"/>
      <c r="E226" s="293"/>
      <c r="F226" s="293"/>
      <c r="G226" s="293"/>
      <c r="H226" s="293"/>
      <c r="I226" s="219" t="e">
        <f t="shared" si="9"/>
        <v>#DIV/0!</v>
      </c>
      <c r="J226" s="290"/>
      <c r="K226" s="290"/>
      <c r="L226" s="290"/>
      <c r="M226" s="290"/>
      <c r="N226" s="290"/>
      <c r="O226" s="234"/>
      <c r="P226" s="234"/>
      <c r="Q226" s="234"/>
      <c r="R226" s="234"/>
      <c r="S226" s="234"/>
      <c r="T226" s="234"/>
      <c r="U226" s="234"/>
      <c r="V226" s="234"/>
      <c r="W226" s="234"/>
      <c r="X226" s="234"/>
    </row>
    <row r="227" spans="1:24" ht="16.5" hidden="1" customHeight="1" x14ac:dyDescent="0.25">
      <c r="A227" s="291"/>
      <c r="B227" s="292"/>
      <c r="C227" s="293"/>
      <c r="D227" s="293"/>
      <c r="E227" s="293"/>
      <c r="F227" s="293"/>
      <c r="G227" s="293"/>
      <c r="H227" s="293"/>
      <c r="I227" s="219" t="e">
        <f t="shared" si="9"/>
        <v>#DIV/0!</v>
      </c>
      <c r="J227" s="290"/>
      <c r="K227" s="290"/>
      <c r="L227" s="290"/>
      <c r="M227" s="290"/>
      <c r="N227" s="290"/>
      <c r="O227" s="234"/>
      <c r="P227" s="234"/>
      <c r="Q227" s="234"/>
      <c r="R227" s="234"/>
      <c r="S227" s="234"/>
      <c r="T227" s="234"/>
      <c r="U227" s="234"/>
      <c r="V227" s="234"/>
      <c r="W227" s="234"/>
      <c r="X227" s="234"/>
    </row>
    <row r="228" spans="1:24" ht="16.5" hidden="1" customHeight="1" x14ac:dyDescent="0.25">
      <c r="A228" s="291"/>
      <c r="B228" s="292"/>
      <c r="C228" s="293"/>
      <c r="D228" s="293"/>
      <c r="E228" s="293"/>
      <c r="F228" s="293"/>
      <c r="G228" s="293"/>
      <c r="H228" s="293"/>
      <c r="I228" s="219" t="e">
        <f t="shared" si="9"/>
        <v>#DIV/0!</v>
      </c>
      <c r="J228" s="290"/>
      <c r="K228" s="290"/>
      <c r="L228" s="290"/>
      <c r="M228" s="290"/>
      <c r="N228" s="290"/>
      <c r="O228" s="234"/>
      <c r="P228" s="234"/>
      <c r="Q228" s="234"/>
      <c r="R228" s="234"/>
      <c r="S228" s="234"/>
      <c r="T228" s="234"/>
      <c r="U228" s="234"/>
      <c r="V228" s="234"/>
      <c r="W228" s="234"/>
      <c r="X228" s="234"/>
    </row>
    <row r="229" spans="1:24" ht="16.5" hidden="1" customHeight="1" x14ac:dyDescent="0.25">
      <c r="A229" s="291"/>
      <c r="B229" s="292"/>
      <c r="C229" s="293"/>
      <c r="D229" s="293"/>
      <c r="E229" s="293"/>
      <c r="F229" s="293"/>
      <c r="G229" s="293"/>
      <c r="H229" s="293"/>
      <c r="I229" s="219" t="e">
        <f t="shared" si="9"/>
        <v>#DIV/0!</v>
      </c>
      <c r="J229" s="290"/>
      <c r="K229" s="290"/>
      <c r="L229" s="290"/>
      <c r="M229" s="290"/>
      <c r="N229" s="290"/>
      <c r="O229" s="234"/>
      <c r="P229" s="234"/>
      <c r="Q229" s="234"/>
      <c r="R229" s="234"/>
      <c r="S229" s="234"/>
      <c r="T229" s="234"/>
      <c r="U229" s="234"/>
      <c r="V229" s="234"/>
      <c r="W229" s="234"/>
      <c r="X229" s="234"/>
    </row>
    <row r="230" spans="1:24" ht="16.5" hidden="1" customHeight="1" x14ac:dyDescent="0.25">
      <c r="A230" s="291"/>
      <c r="B230" s="292"/>
      <c r="C230" s="293"/>
      <c r="D230" s="293"/>
      <c r="E230" s="293"/>
      <c r="F230" s="293"/>
      <c r="G230" s="293"/>
      <c r="H230" s="293"/>
      <c r="I230" s="219" t="e">
        <f t="shared" si="9"/>
        <v>#DIV/0!</v>
      </c>
      <c r="J230" s="290"/>
      <c r="K230" s="290"/>
      <c r="L230" s="290"/>
      <c r="M230" s="290"/>
      <c r="N230" s="290"/>
      <c r="O230" s="234"/>
      <c r="P230" s="234"/>
      <c r="Q230" s="234"/>
      <c r="R230" s="234"/>
      <c r="S230" s="234"/>
      <c r="T230" s="234"/>
      <c r="U230" s="234"/>
      <c r="V230" s="234"/>
      <c r="W230" s="234"/>
      <c r="X230" s="234"/>
    </row>
    <row r="231" spans="1:24" ht="16.5" hidden="1" customHeight="1" x14ac:dyDescent="0.25">
      <c r="A231" s="291"/>
      <c r="B231" s="292"/>
      <c r="C231" s="293"/>
      <c r="D231" s="293"/>
      <c r="E231" s="293"/>
      <c r="F231" s="293"/>
      <c r="G231" s="293"/>
      <c r="H231" s="293"/>
      <c r="I231" s="219" t="e">
        <f t="shared" si="9"/>
        <v>#DIV/0!</v>
      </c>
      <c r="J231" s="290"/>
      <c r="K231" s="290"/>
      <c r="L231" s="290"/>
      <c r="M231" s="290"/>
      <c r="N231" s="290"/>
      <c r="O231" s="234"/>
      <c r="P231" s="234"/>
      <c r="Q231" s="234"/>
      <c r="R231" s="234"/>
      <c r="S231" s="234"/>
      <c r="T231" s="234"/>
      <c r="U231" s="234"/>
      <c r="V231" s="234"/>
      <c r="W231" s="234"/>
      <c r="X231" s="234"/>
    </row>
    <row r="232" spans="1:24" ht="16.5" hidden="1" customHeight="1" x14ac:dyDescent="0.25">
      <c r="A232" s="291"/>
      <c r="B232" s="292"/>
      <c r="C232" s="293"/>
      <c r="D232" s="293"/>
      <c r="E232" s="293"/>
      <c r="F232" s="293"/>
      <c r="G232" s="293"/>
      <c r="H232" s="293"/>
      <c r="I232" s="219" t="e">
        <f t="shared" si="9"/>
        <v>#DIV/0!</v>
      </c>
      <c r="J232" s="290"/>
      <c r="K232" s="290"/>
      <c r="L232" s="290"/>
      <c r="M232" s="290"/>
      <c r="N232" s="290"/>
      <c r="O232" s="234"/>
      <c r="P232" s="234"/>
      <c r="Q232" s="234"/>
      <c r="R232" s="234"/>
      <c r="S232" s="234"/>
      <c r="T232" s="234"/>
      <c r="U232" s="234"/>
      <c r="V232" s="234"/>
      <c r="W232" s="234"/>
      <c r="X232" s="234"/>
    </row>
    <row r="233" spans="1:24" ht="16.5" hidden="1" customHeight="1" x14ac:dyDescent="0.25">
      <c r="A233" s="291"/>
      <c r="B233" s="292"/>
      <c r="C233" s="293"/>
      <c r="D233" s="293"/>
      <c r="E233" s="293"/>
      <c r="F233" s="293"/>
      <c r="G233" s="293"/>
      <c r="H233" s="293"/>
      <c r="I233" s="219" t="e">
        <f t="shared" si="9"/>
        <v>#DIV/0!</v>
      </c>
      <c r="J233" s="290"/>
      <c r="K233" s="290"/>
      <c r="L233" s="290"/>
      <c r="M233" s="290"/>
      <c r="N233" s="290"/>
      <c r="O233" s="234"/>
      <c r="P233" s="234"/>
      <c r="Q233" s="234"/>
      <c r="R233" s="234"/>
      <c r="S233" s="234"/>
      <c r="T233" s="234"/>
      <c r="U233" s="234"/>
      <c r="V233" s="234"/>
      <c r="W233" s="234"/>
      <c r="X233" s="234"/>
    </row>
    <row r="234" spans="1:24" ht="16.5" hidden="1" customHeight="1" x14ac:dyDescent="0.25">
      <c r="A234" s="291"/>
      <c r="B234" s="292"/>
      <c r="C234" s="293"/>
      <c r="D234" s="293"/>
      <c r="E234" s="293"/>
      <c r="F234" s="293"/>
      <c r="G234" s="293"/>
      <c r="H234" s="293"/>
      <c r="I234" s="219" t="e">
        <f t="shared" si="9"/>
        <v>#DIV/0!</v>
      </c>
      <c r="J234" s="290"/>
      <c r="K234" s="290"/>
      <c r="L234" s="290"/>
      <c r="M234" s="290"/>
      <c r="N234" s="290"/>
      <c r="O234" s="234"/>
      <c r="P234" s="234"/>
      <c r="Q234" s="234"/>
      <c r="R234" s="234"/>
      <c r="S234" s="234"/>
      <c r="T234" s="234"/>
      <c r="U234" s="234"/>
      <c r="V234" s="234"/>
      <c r="W234" s="234"/>
      <c r="X234" s="234"/>
    </row>
    <row r="235" spans="1:24" ht="16.5" hidden="1" customHeight="1" x14ac:dyDescent="0.25">
      <c r="A235" s="291"/>
      <c r="B235" s="292"/>
      <c r="C235" s="293"/>
      <c r="D235" s="293"/>
      <c r="E235" s="293"/>
      <c r="F235" s="293"/>
      <c r="G235" s="293"/>
      <c r="H235" s="293"/>
      <c r="I235" s="219" t="e">
        <f t="shared" si="9"/>
        <v>#DIV/0!</v>
      </c>
      <c r="J235" s="290"/>
      <c r="K235" s="290"/>
      <c r="L235" s="290"/>
      <c r="M235" s="290"/>
      <c r="N235" s="290"/>
      <c r="O235" s="234"/>
      <c r="P235" s="234"/>
      <c r="Q235" s="234"/>
      <c r="R235" s="234"/>
      <c r="S235" s="234"/>
      <c r="T235" s="234"/>
      <c r="U235" s="234"/>
      <c r="V235" s="234"/>
      <c r="W235" s="234"/>
      <c r="X235" s="234"/>
    </row>
    <row r="236" spans="1:24" ht="16.5" hidden="1" customHeight="1" x14ac:dyDescent="0.25">
      <c r="A236" s="291"/>
      <c r="B236" s="292"/>
      <c r="C236" s="293"/>
      <c r="D236" s="293"/>
      <c r="E236" s="293"/>
      <c r="F236" s="293"/>
      <c r="G236" s="293"/>
      <c r="H236" s="293"/>
      <c r="I236" s="219" t="e">
        <f t="shared" si="9"/>
        <v>#DIV/0!</v>
      </c>
      <c r="J236" s="290"/>
      <c r="K236" s="290"/>
      <c r="L236" s="290"/>
      <c r="M236" s="290"/>
      <c r="N236" s="290"/>
      <c r="O236" s="234"/>
      <c r="P236" s="234"/>
      <c r="Q236" s="234"/>
      <c r="R236" s="234"/>
      <c r="S236" s="234"/>
      <c r="T236" s="234"/>
      <c r="U236" s="234"/>
      <c r="V236" s="234"/>
      <c r="W236" s="234"/>
      <c r="X236" s="234"/>
    </row>
    <row r="237" spans="1:24" ht="16.5" hidden="1" customHeight="1" x14ac:dyDescent="0.25">
      <c r="A237" s="291"/>
      <c r="B237" s="292"/>
      <c r="C237" s="293"/>
      <c r="D237" s="293"/>
      <c r="E237" s="293"/>
      <c r="F237" s="293"/>
      <c r="G237" s="293"/>
      <c r="H237" s="293"/>
      <c r="I237" s="219" t="e">
        <f t="shared" si="9"/>
        <v>#DIV/0!</v>
      </c>
      <c r="J237" s="290"/>
      <c r="K237" s="290"/>
      <c r="L237" s="290"/>
      <c r="M237" s="290"/>
      <c r="N237" s="290"/>
      <c r="O237" s="234"/>
      <c r="P237" s="234"/>
      <c r="Q237" s="234"/>
      <c r="R237" s="234"/>
      <c r="S237" s="234"/>
      <c r="T237" s="234"/>
      <c r="U237" s="234"/>
      <c r="V237" s="234"/>
      <c r="W237" s="234"/>
      <c r="X237" s="234"/>
    </row>
    <row r="238" spans="1:24" ht="16.5" hidden="1" customHeight="1" x14ac:dyDescent="0.25">
      <c r="A238" s="291"/>
      <c r="B238" s="292"/>
      <c r="C238" s="293"/>
      <c r="D238" s="293"/>
      <c r="E238" s="293"/>
      <c r="F238" s="293"/>
      <c r="G238" s="293"/>
      <c r="H238" s="293"/>
      <c r="I238" s="219" t="e">
        <f t="shared" si="9"/>
        <v>#DIV/0!</v>
      </c>
      <c r="J238" s="290"/>
      <c r="K238" s="290"/>
      <c r="L238" s="290"/>
      <c r="M238" s="290"/>
      <c r="N238" s="290"/>
      <c r="O238" s="234"/>
      <c r="P238" s="234"/>
      <c r="Q238" s="234"/>
      <c r="R238" s="234"/>
      <c r="S238" s="234"/>
      <c r="T238" s="234"/>
      <c r="U238" s="234"/>
      <c r="V238" s="234"/>
      <c r="W238" s="234"/>
      <c r="X238" s="234"/>
    </row>
    <row r="239" spans="1:24" ht="16.5" hidden="1" customHeight="1" x14ac:dyDescent="0.25">
      <c r="A239" s="291"/>
      <c r="B239" s="292"/>
      <c r="C239" s="293"/>
      <c r="D239" s="293"/>
      <c r="E239" s="293"/>
      <c r="F239" s="293"/>
      <c r="G239" s="293"/>
      <c r="H239" s="293"/>
      <c r="I239" s="219" t="e">
        <f t="shared" si="9"/>
        <v>#DIV/0!</v>
      </c>
      <c r="J239" s="290"/>
      <c r="K239" s="290"/>
      <c r="L239" s="290"/>
      <c r="M239" s="290"/>
      <c r="N239" s="290"/>
      <c r="O239" s="234"/>
      <c r="P239" s="234"/>
      <c r="Q239" s="234"/>
      <c r="R239" s="234"/>
      <c r="S239" s="234"/>
      <c r="T239" s="234"/>
      <c r="U239" s="234"/>
      <c r="V239" s="234"/>
      <c r="W239" s="234"/>
      <c r="X239" s="234"/>
    </row>
    <row r="240" spans="1:24" ht="16.5" hidden="1" customHeight="1" x14ac:dyDescent="0.25">
      <c r="A240" s="291"/>
      <c r="B240" s="292"/>
      <c r="C240" s="293"/>
      <c r="D240" s="293"/>
      <c r="E240" s="293"/>
      <c r="F240" s="293"/>
      <c r="G240" s="293"/>
      <c r="H240" s="293"/>
      <c r="I240" s="219" t="e">
        <f t="shared" si="9"/>
        <v>#DIV/0!</v>
      </c>
      <c r="J240" s="290"/>
      <c r="K240" s="290"/>
      <c r="L240" s="290"/>
      <c r="M240" s="290"/>
      <c r="N240" s="290"/>
      <c r="O240" s="234"/>
      <c r="P240" s="234"/>
      <c r="Q240" s="234"/>
      <c r="R240" s="234"/>
      <c r="S240" s="234"/>
      <c r="T240" s="234"/>
      <c r="U240" s="234"/>
      <c r="V240" s="234"/>
      <c r="W240" s="234"/>
      <c r="X240" s="234"/>
    </row>
    <row r="241" spans="1:24" ht="16.5" hidden="1" customHeight="1" x14ac:dyDescent="0.25">
      <c r="A241" s="291"/>
      <c r="B241" s="292"/>
      <c r="C241" s="293"/>
      <c r="D241" s="293"/>
      <c r="E241" s="293"/>
      <c r="F241" s="293"/>
      <c r="G241" s="293"/>
      <c r="H241" s="293"/>
      <c r="I241" s="219" t="e">
        <f t="shared" si="9"/>
        <v>#DIV/0!</v>
      </c>
      <c r="J241" s="290"/>
      <c r="K241" s="290"/>
      <c r="L241" s="290"/>
      <c r="M241" s="290"/>
      <c r="N241" s="290"/>
      <c r="O241" s="234"/>
      <c r="P241" s="234"/>
      <c r="Q241" s="234"/>
      <c r="R241" s="234"/>
      <c r="S241" s="234"/>
      <c r="T241" s="234"/>
      <c r="U241" s="234"/>
      <c r="V241" s="234"/>
      <c r="W241" s="234"/>
      <c r="X241" s="234"/>
    </row>
    <row r="242" spans="1:24" ht="16.5" hidden="1" customHeight="1" x14ac:dyDescent="0.25">
      <c r="A242" s="291"/>
      <c r="B242" s="292"/>
      <c r="C242" s="293"/>
      <c r="D242" s="293"/>
      <c r="E242" s="293"/>
      <c r="F242" s="293"/>
      <c r="G242" s="293"/>
      <c r="H242" s="293"/>
      <c r="I242" s="219" t="e">
        <f t="shared" si="9"/>
        <v>#DIV/0!</v>
      </c>
      <c r="J242" s="290"/>
      <c r="K242" s="290"/>
      <c r="L242" s="290"/>
      <c r="M242" s="290"/>
      <c r="N242" s="290"/>
      <c r="O242" s="234"/>
      <c r="P242" s="234"/>
      <c r="Q242" s="234"/>
      <c r="R242" s="234"/>
      <c r="S242" s="234"/>
      <c r="T242" s="234"/>
      <c r="U242" s="234"/>
      <c r="V242" s="234"/>
      <c r="W242" s="234"/>
      <c r="X242" s="234"/>
    </row>
    <row r="243" spans="1:24" ht="16.5" hidden="1" customHeight="1" x14ac:dyDescent="0.25">
      <c r="A243" s="291"/>
      <c r="B243" s="292"/>
      <c r="C243" s="293"/>
      <c r="D243" s="293"/>
      <c r="E243" s="293"/>
      <c r="F243" s="293"/>
      <c r="G243" s="293"/>
      <c r="H243" s="293"/>
      <c r="I243" s="219" t="e">
        <f t="shared" si="9"/>
        <v>#DIV/0!</v>
      </c>
      <c r="J243" s="290"/>
      <c r="K243" s="290"/>
      <c r="L243" s="290"/>
      <c r="M243" s="290"/>
      <c r="N243" s="290"/>
      <c r="O243" s="234"/>
      <c r="P243" s="234"/>
      <c r="Q243" s="234"/>
      <c r="R243" s="234"/>
      <c r="S243" s="234"/>
      <c r="T243" s="234"/>
      <c r="U243" s="234"/>
      <c r="V243" s="234"/>
      <c r="W243" s="234"/>
      <c r="X243" s="234"/>
    </row>
    <row r="244" spans="1:24" ht="16.5" hidden="1" customHeight="1" x14ac:dyDescent="0.25">
      <c r="A244" s="291"/>
      <c r="B244" s="292"/>
      <c r="C244" s="293"/>
      <c r="D244" s="293"/>
      <c r="E244" s="293"/>
      <c r="F244" s="293"/>
      <c r="G244" s="293"/>
      <c r="H244" s="293"/>
      <c r="I244" s="219" t="e">
        <f t="shared" si="9"/>
        <v>#DIV/0!</v>
      </c>
      <c r="J244" s="290"/>
      <c r="K244" s="290"/>
      <c r="L244" s="290"/>
      <c r="M244" s="290"/>
      <c r="N244" s="290"/>
      <c r="O244" s="234"/>
      <c r="P244" s="234"/>
      <c r="Q244" s="234"/>
      <c r="R244" s="234"/>
      <c r="S244" s="234"/>
      <c r="T244" s="234"/>
      <c r="U244" s="234"/>
      <c r="V244" s="234"/>
      <c r="W244" s="234"/>
      <c r="X244" s="234"/>
    </row>
    <row r="245" spans="1:24" ht="16.5" hidden="1" customHeight="1" x14ac:dyDescent="0.25">
      <c r="A245" s="291"/>
      <c r="B245" s="292"/>
      <c r="C245" s="293"/>
      <c r="D245" s="293"/>
      <c r="E245" s="293"/>
      <c r="F245" s="293"/>
      <c r="G245" s="293"/>
      <c r="H245" s="293"/>
      <c r="I245" s="219" t="e">
        <f t="shared" si="9"/>
        <v>#DIV/0!</v>
      </c>
      <c r="J245" s="290"/>
      <c r="K245" s="290"/>
      <c r="L245" s="290"/>
      <c r="M245" s="290"/>
      <c r="N245" s="290"/>
      <c r="O245" s="234"/>
      <c r="P245" s="234"/>
      <c r="Q245" s="234"/>
      <c r="R245" s="234"/>
      <c r="S245" s="234"/>
      <c r="T245" s="234"/>
      <c r="U245" s="234"/>
      <c r="V245" s="234"/>
      <c r="W245" s="234"/>
      <c r="X245" s="234"/>
    </row>
    <row r="246" spans="1:24" ht="16.5" hidden="1" customHeight="1" x14ac:dyDescent="0.25">
      <c r="A246" s="291"/>
      <c r="B246" s="292"/>
      <c r="C246" s="293"/>
      <c r="D246" s="293"/>
      <c r="E246" s="293"/>
      <c r="F246" s="293"/>
      <c r="G246" s="293"/>
      <c r="H246" s="293"/>
      <c r="I246" s="219" t="e">
        <f t="shared" si="9"/>
        <v>#DIV/0!</v>
      </c>
      <c r="J246" s="290"/>
      <c r="K246" s="290"/>
      <c r="L246" s="290"/>
      <c r="M246" s="290"/>
      <c r="N246" s="290"/>
      <c r="O246" s="234"/>
      <c r="P246" s="234"/>
      <c r="Q246" s="234"/>
      <c r="R246" s="234"/>
      <c r="S246" s="234"/>
      <c r="T246" s="234"/>
      <c r="U246" s="234"/>
      <c r="V246" s="234"/>
      <c r="W246" s="234"/>
      <c r="X246" s="234"/>
    </row>
    <row r="247" spans="1:24" ht="16.5" hidden="1" customHeight="1" x14ac:dyDescent="0.25">
      <c r="A247" s="291"/>
      <c r="B247" s="292"/>
      <c r="C247" s="293"/>
      <c r="D247" s="293"/>
      <c r="E247" s="293"/>
      <c r="F247" s="293"/>
      <c r="G247" s="293"/>
      <c r="H247" s="293"/>
      <c r="I247" s="219" t="e">
        <f t="shared" si="9"/>
        <v>#DIV/0!</v>
      </c>
      <c r="J247" s="290"/>
      <c r="K247" s="290"/>
      <c r="L247" s="290"/>
      <c r="M247" s="290"/>
      <c r="N247" s="290"/>
      <c r="O247" s="234"/>
      <c r="P247" s="234"/>
      <c r="Q247" s="234"/>
      <c r="R247" s="234"/>
      <c r="S247" s="234"/>
      <c r="T247" s="234"/>
      <c r="U247" s="234"/>
      <c r="V247" s="234"/>
      <c r="W247" s="234"/>
      <c r="X247" s="234"/>
    </row>
    <row r="248" spans="1:24" ht="16.5" hidden="1" customHeight="1" x14ac:dyDescent="0.25">
      <c r="A248" s="291"/>
      <c r="B248" s="292"/>
      <c r="C248" s="293"/>
      <c r="D248" s="293"/>
      <c r="E248" s="293"/>
      <c r="F248" s="293"/>
      <c r="G248" s="293"/>
      <c r="H248" s="293"/>
      <c r="I248" s="219" t="e">
        <f t="shared" si="9"/>
        <v>#DIV/0!</v>
      </c>
      <c r="J248" s="290"/>
      <c r="K248" s="290"/>
      <c r="L248" s="290"/>
      <c r="M248" s="290"/>
      <c r="N248" s="290"/>
      <c r="O248" s="234"/>
      <c r="P248" s="234"/>
      <c r="Q248" s="234"/>
      <c r="R248" s="234"/>
      <c r="S248" s="234"/>
      <c r="T248" s="234"/>
      <c r="U248" s="234"/>
      <c r="V248" s="234"/>
      <c r="W248" s="234"/>
      <c r="X248" s="234"/>
    </row>
    <row r="249" spans="1:24" ht="16.5" hidden="1" customHeight="1" x14ac:dyDescent="0.25">
      <c r="A249" s="291"/>
      <c r="B249" s="292"/>
      <c r="C249" s="293"/>
      <c r="D249" s="293"/>
      <c r="E249" s="293"/>
      <c r="F249" s="293"/>
      <c r="G249" s="293"/>
      <c r="H249" s="293"/>
      <c r="I249" s="219" t="e">
        <f t="shared" si="9"/>
        <v>#DIV/0!</v>
      </c>
      <c r="J249" s="290"/>
      <c r="K249" s="290"/>
      <c r="L249" s="290"/>
      <c r="M249" s="290"/>
      <c r="N249" s="290"/>
      <c r="O249" s="234"/>
      <c r="P249" s="234"/>
      <c r="Q249" s="234"/>
      <c r="R249" s="234"/>
      <c r="S249" s="234"/>
      <c r="T249" s="234"/>
      <c r="U249" s="234"/>
      <c r="V249" s="234"/>
      <c r="W249" s="234"/>
      <c r="X249" s="234"/>
    </row>
    <row r="250" spans="1:24" ht="16.5" hidden="1" customHeight="1" x14ac:dyDescent="0.25">
      <c r="A250" s="291"/>
      <c r="B250" s="292"/>
      <c r="C250" s="293"/>
      <c r="D250" s="293"/>
      <c r="E250" s="293"/>
      <c r="F250" s="293"/>
      <c r="G250" s="293"/>
      <c r="H250" s="293"/>
      <c r="I250" s="219" t="e">
        <f t="shared" si="9"/>
        <v>#DIV/0!</v>
      </c>
      <c r="J250" s="290"/>
      <c r="K250" s="290"/>
      <c r="L250" s="290"/>
      <c r="M250" s="290"/>
      <c r="N250" s="290"/>
      <c r="O250" s="234"/>
      <c r="P250" s="234"/>
      <c r="Q250" s="234"/>
      <c r="R250" s="234"/>
      <c r="S250" s="234"/>
      <c r="T250" s="234"/>
      <c r="U250" s="234"/>
      <c r="V250" s="234"/>
      <c r="W250" s="234"/>
      <c r="X250" s="234"/>
    </row>
    <row r="251" spans="1:24" ht="16.5" hidden="1" customHeight="1" x14ac:dyDescent="0.25">
      <c r="A251" s="291"/>
      <c r="B251" s="292"/>
      <c r="C251" s="293"/>
      <c r="D251" s="293"/>
      <c r="E251" s="293"/>
      <c r="F251" s="293"/>
      <c r="G251" s="293"/>
      <c r="H251" s="293"/>
      <c r="I251" s="219" t="e">
        <f t="shared" si="9"/>
        <v>#DIV/0!</v>
      </c>
      <c r="J251" s="290"/>
      <c r="K251" s="290"/>
      <c r="L251" s="290"/>
      <c r="M251" s="290"/>
      <c r="N251" s="290"/>
      <c r="O251" s="234"/>
      <c r="P251" s="234"/>
      <c r="Q251" s="234"/>
      <c r="R251" s="234"/>
      <c r="S251" s="234"/>
      <c r="T251" s="234"/>
      <c r="U251" s="234"/>
      <c r="V251" s="234"/>
      <c r="W251" s="234"/>
      <c r="X251" s="234"/>
    </row>
    <row r="252" spans="1:24" ht="16.5" hidden="1" customHeight="1" x14ac:dyDescent="0.25">
      <c r="A252" s="291"/>
      <c r="B252" s="292"/>
      <c r="C252" s="293"/>
      <c r="D252" s="293"/>
      <c r="E252" s="293"/>
      <c r="F252" s="293"/>
      <c r="G252" s="293"/>
      <c r="H252" s="293"/>
      <c r="I252" s="219" t="e">
        <f t="shared" si="9"/>
        <v>#DIV/0!</v>
      </c>
      <c r="J252" s="290"/>
      <c r="K252" s="290"/>
      <c r="L252" s="290"/>
      <c r="M252" s="290"/>
      <c r="N252" s="290"/>
      <c r="O252" s="234"/>
      <c r="P252" s="234"/>
      <c r="Q252" s="234"/>
      <c r="R252" s="234"/>
      <c r="S252" s="234"/>
      <c r="T252" s="234"/>
      <c r="U252" s="234"/>
      <c r="V252" s="234"/>
      <c r="W252" s="234"/>
      <c r="X252" s="234"/>
    </row>
    <row r="253" spans="1:24" ht="16.5" hidden="1" customHeight="1" x14ac:dyDescent="0.25">
      <c r="A253" s="291"/>
      <c r="B253" s="292"/>
      <c r="C253" s="293"/>
      <c r="D253" s="293"/>
      <c r="E253" s="293"/>
      <c r="F253" s="293"/>
      <c r="G253" s="293"/>
      <c r="H253" s="293"/>
      <c r="I253" s="219" t="e">
        <f t="shared" si="9"/>
        <v>#DIV/0!</v>
      </c>
      <c r="J253" s="290"/>
      <c r="K253" s="290"/>
      <c r="L253" s="290"/>
      <c r="M253" s="290"/>
      <c r="N253" s="290"/>
      <c r="O253" s="234"/>
      <c r="P253" s="234"/>
      <c r="Q253" s="234"/>
      <c r="R253" s="234"/>
      <c r="S253" s="234"/>
      <c r="T253" s="234"/>
      <c r="U253" s="234"/>
      <c r="V253" s="234"/>
      <c r="W253" s="234"/>
      <c r="X253" s="234"/>
    </row>
    <row r="254" spans="1:24" ht="16.5" hidden="1" customHeight="1" x14ac:dyDescent="0.25">
      <c r="A254" s="291"/>
      <c r="B254" s="292"/>
      <c r="C254" s="293"/>
      <c r="D254" s="293"/>
      <c r="E254" s="293"/>
      <c r="F254" s="293"/>
      <c r="G254" s="293"/>
      <c r="H254" s="293"/>
      <c r="I254" s="219" t="e">
        <f t="shared" si="9"/>
        <v>#DIV/0!</v>
      </c>
      <c r="J254" s="290"/>
      <c r="K254" s="290"/>
      <c r="L254" s="290"/>
      <c r="M254" s="290"/>
      <c r="N254" s="290"/>
      <c r="O254" s="234"/>
      <c r="P254" s="234"/>
      <c r="Q254" s="234"/>
      <c r="R254" s="234"/>
      <c r="S254" s="234"/>
      <c r="T254" s="234"/>
      <c r="U254" s="234"/>
      <c r="V254" s="234"/>
      <c r="W254" s="234"/>
      <c r="X254" s="234"/>
    </row>
    <row r="255" spans="1:24" ht="16.5" hidden="1" customHeight="1" x14ac:dyDescent="0.25">
      <c r="A255" s="291"/>
      <c r="B255" s="292"/>
      <c r="C255" s="293"/>
      <c r="D255" s="293"/>
      <c r="E255" s="293"/>
      <c r="F255" s="293"/>
      <c r="G255" s="293"/>
      <c r="H255" s="293"/>
      <c r="I255" s="219" t="e">
        <f t="shared" si="9"/>
        <v>#DIV/0!</v>
      </c>
      <c r="J255" s="290"/>
      <c r="K255" s="290"/>
      <c r="L255" s="290"/>
      <c r="M255" s="290"/>
      <c r="N255" s="290"/>
      <c r="O255" s="234"/>
      <c r="P255" s="234"/>
      <c r="Q255" s="234"/>
      <c r="R255" s="234"/>
      <c r="S255" s="234"/>
      <c r="T255" s="234"/>
      <c r="U255" s="234"/>
      <c r="V255" s="234"/>
      <c r="W255" s="234"/>
      <c r="X255" s="234"/>
    </row>
    <row r="256" spans="1:24" ht="16.5" hidden="1" customHeight="1" x14ac:dyDescent="0.25">
      <c r="A256" s="291"/>
      <c r="B256" s="292"/>
      <c r="C256" s="293"/>
      <c r="D256" s="293"/>
      <c r="E256" s="293"/>
      <c r="F256" s="293"/>
      <c r="G256" s="293"/>
      <c r="H256" s="293"/>
      <c r="I256" s="219" t="e">
        <f t="shared" si="9"/>
        <v>#DIV/0!</v>
      </c>
      <c r="J256" s="290"/>
      <c r="K256" s="290"/>
      <c r="L256" s="290"/>
      <c r="M256" s="290"/>
      <c r="N256" s="290"/>
      <c r="O256" s="234"/>
      <c r="P256" s="234"/>
      <c r="Q256" s="234"/>
      <c r="R256" s="234"/>
      <c r="S256" s="234"/>
      <c r="T256" s="234"/>
      <c r="U256" s="234"/>
      <c r="V256" s="234"/>
      <c r="W256" s="234"/>
      <c r="X256" s="234"/>
    </row>
    <row r="257" spans="1:24" ht="16.5" hidden="1" customHeight="1" x14ac:dyDescent="0.25">
      <c r="A257" s="291"/>
      <c r="B257" s="292"/>
      <c r="C257" s="293"/>
      <c r="D257" s="293"/>
      <c r="E257" s="293"/>
      <c r="F257" s="293"/>
      <c r="G257" s="293"/>
      <c r="H257" s="293"/>
      <c r="I257" s="219" t="e">
        <f t="shared" si="9"/>
        <v>#DIV/0!</v>
      </c>
      <c r="J257" s="290"/>
      <c r="K257" s="290"/>
      <c r="L257" s="290"/>
      <c r="M257" s="290"/>
      <c r="N257" s="290"/>
      <c r="O257" s="234"/>
      <c r="P257" s="234"/>
      <c r="Q257" s="234"/>
      <c r="R257" s="234"/>
      <c r="S257" s="234"/>
      <c r="T257" s="234"/>
      <c r="U257" s="234"/>
      <c r="V257" s="234"/>
      <c r="W257" s="234"/>
      <c r="X257" s="234"/>
    </row>
    <row r="258" spans="1:24" ht="16.5" hidden="1" customHeight="1" x14ac:dyDescent="0.25">
      <c r="A258" s="291"/>
      <c r="B258" s="292"/>
      <c r="C258" s="293"/>
      <c r="D258" s="293"/>
      <c r="E258" s="293"/>
      <c r="F258" s="293"/>
      <c r="G258" s="293"/>
      <c r="H258" s="293"/>
      <c r="I258" s="219" t="e">
        <f t="shared" si="9"/>
        <v>#DIV/0!</v>
      </c>
      <c r="J258" s="290"/>
      <c r="K258" s="290"/>
      <c r="L258" s="290"/>
      <c r="M258" s="290"/>
      <c r="N258" s="290"/>
      <c r="O258" s="234"/>
      <c r="P258" s="234"/>
      <c r="Q258" s="234"/>
      <c r="R258" s="234"/>
      <c r="S258" s="234"/>
      <c r="T258" s="234"/>
      <c r="U258" s="234"/>
      <c r="V258" s="234"/>
      <c r="W258" s="234"/>
      <c r="X258" s="234"/>
    </row>
    <row r="259" spans="1:24" ht="16.5" hidden="1" customHeight="1" x14ac:dyDescent="0.25">
      <c r="A259" s="291"/>
      <c r="B259" s="292"/>
      <c r="C259" s="293"/>
      <c r="D259" s="293"/>
      <c r="E259" s="293"/>
      <c r="F259" s="293"/>
      <c r="G259" s="293"/>
      <c r="H259" s="293"/>
      <c r="I259" s="219" t="e">
        <f t="shared" si="9"/>
        <v>#DIV/0!</v>
      </c>
      <c r="J259" s="290"/>
      <c r="K259" s="290"/>
      <c r="L259" s="290"/>
      <c r="M259" s="290"/>
      <c r="N259" s="290"/>
      <c r="O259" s="234"/>
      <c r="P259" s="234"/>
      <c r="Q259" s="234"/>
      <c r="R259" s="234"/>
      <c r="S259" s="234"/>
      <c r="T259" s="234"/>
      <c r="U259" s="234"/>
      <c r="V259" s="234"/>
      <c r="W259" s="234"/>
      <c r="X259" s="234"/>
    </row>
    <row r="260" spans="1:24" ht="16.5" hidden="1" customHeight="1" x14ac:dyDescent="0.25">
      <c r="A260" s="291"/>
      <c r="B260" s="292"/>
      <c r="C260" s="293"/>
      <c r="D260" s="293"/>
      <c r="E260" s="293"/>
      <c r="F260" s="293"/>
      <c r="G260" s="293"/>
      <c r="H260" s="293"/>
      <c r="I260" s="219" t="e">
        <f t="shared" si="9"/>
        <v>#DIV/0!</v>
      </c>
      <c r="J260" s="290"/>
      <c r="K260" s="290"/>
      <c r="L260" s="290"/>
      <c r="M260" s="290"/>
      <c r="N260" s="290"/>
      <c r="O260" s="234"/>
      <c r="P260" s="234"/>
      <c r="Q260" s="234"/>
      <c r="R260" s="234"/>
      <c r="S260" s="234"/>
      <c r="T260" s="234"/>
      <c r="U260" s="234"/>
      <c r="V260" s="234"/>
      <c r="W260" s="234"/>
      <c r="X260" s="234"/>
    </row>
    <row r="261" spans="1:24" ht="16.5" hidden="1" customHeight="1" x14ac:dyDescent="0.25">
      <c r="A261" s="291"/>
      <c r="B261" s="292"/>
      <c r="C261" s="293"/>
      <c r="D261" s="293"/>
      <c r="E261" s="293"/>
      <c r="F261" s="293"/>
      <c r="G261" s="293"/>
      <c r="H261" s="293"/>
      <c r="I261" s="219" t="e">
        <f t="shared" si="9"/>
        <v>#DIV/0!</v>
      </c>
      <c r="J261" s="290"/>
      <c r="K261" s="290"/>
      <c r="L261" s="290"/>
      <c r="M261" s="290"/>
      <c r="N261" s="290"/>
      <c r="O261" s="234"/>
      <c r="P261" s="234"/>
      <c r="Q261" s="234"/>
      <c r="R261" s="234"/>
      <c r="S261" s="234"/>
      <c r="T261" s="234"/>
      <c r="U261" s="234"/>
      <c r="V261" s="234"/>
      <c r="W261" s="234"/>
      <c r="X261" s="234"/>
    </row>
    <row r="262" spans="1:24" ht="16.5" hidden="1" customHeight="1" x14ac:dyDescent="0.25">
      <c r="A262" s="291"/>
      <c r="B262" s="292"/>
      <c r="C262" s="293"/>
      <c r="D262" s="293"/>
      <c r="E262" s="293"/>
      <c r="F262" s="293"/>
      <c r="G262" s="293"/>
      <c r="H262" s="293"/>
      <c r="I262" s="219" t="e">
        <f t="shared" si="9"/>
        <v>#DIV/0!</v>
      </c>
      <c r="J262" s="290"/>
      <c r="K262" s="290"/>
      <c r="L262" s="290"/>
      <c r="M262" s="290"/>
      <c r="N262" s="290"/>
      <c r="O262" s="234"/>
      <c r="P262" s="234"/>
      <c r="Q262" s="234"/>
      <c r="R262" s="234"/>
      <c r="S262" s="234"/>
      <c r="T262" s="234"/>
      <c r="U262" s="234"/>
      <c r="V262" s="234"/>
      <c r="W262" s="234"/>
      <c r="X262" s="234"/>
    </row>
    <row r="263" spans="1:24" ht="16.5" hidden="1" customHeight="1" x14ac:dyDescent="0.25">
      <c r="A263" s="291"/>
      <c r="B263" s="292"/>
      <c r="C263" s="293"/>
      <c r="D263" s="293"/>
      <c r="E263" s="293"/>
      <c r="F263" s="293"/>
      <c r="G263" s="293"/>
      <c r="H263" s="293"/>
      <c r="I263" s="219" t="e">
        <f t="shared" si="9"/>
        <v>#DIV/0!</v>
      </c>
      <c r="J263" s="290"/>
      <c r="K263" s="290"/>
      <c r="L263" s="290"/>
      <c r="M263" s="290"/>
      <c r="N263" s="290"/>
      <c r="O263" s="234"/>
      <c r="P263" s="234"/>
      <c r="Q263" s="234"/>
      <c r="R263" s="234"/>
      <c r="S263" s="234"/>
      <c r="T263" s="234"/>
      <c r="U263" s="234"/>
      <c r="V263" s="234"/>
      <c r="W263" s="234"/>
      <c r="X263" s="234"/>
    </row>
    <row r="264" spans="1:24" ht="16.5" hidden="1" customHeight="1" x14ac:dyDescent="0.25">
      <c r="A264" s="291"/>
      <c r="B264" s="292"/>
      <c r="C264" s="293"/>
      <c r="D264" s="293"/>
      <c r="E264" s="293"/>
      <c r="F264" s="293"/>
      <c r="G264" s="293"/>
      <c r="H264" s="293"/>
      <c r="I264" s="219" t="e">
        <f t="shared" si="9"/>
        <v>#DIV/0!</v>
      </c>
      <c r="J264" s="290"/>
      <c r="K264" s="290"/>
      <c r="L264" s="290"/>
      <c r="M264" s="290"/>
      <c r="N264" s="290"/>
      <c r="O264" s="234"/>
      <c r="P264" s="234"/>
      <c r="Q264" s="234"/>
      <c r="R264" s="234"/>
      <c r="S264" s="234"/>
      <c r="T264" s="234"/>
      <c r="U264" s="234"/>
      <c r="V264" s="234"/>
      <c r="W264" s="234"/>
      <c r="X264" s="234"/>
    </row>
    <row r="265" spans="1:24" ht="16.5" hidden="1" customHeight="1" x14ac:dyDescent="0.25">
      <c r="A265" s="291"/>
      <c r="B265" s="292"/>
      <c r="C265" s="293"/>
      <c r="D265" s="293"/>
      <c r="E265" s="293"/>
      <c r="F265" s="293"/>
      <c r="G265" s="293"/>
      <c r="H265" s="293"/>
      <c r="I265" s="219" t="e">
        <f t="shared" si="9"/>
        <v>#DIV/0!</v>
      </c>
      <c r="J265" s="290"/>
      <c r="K265" s="290"/>
      <c r="L265" s="290"/>
      <c r="M265" s="290"/>
      <c r="N265" s="290"/>
      <c r="O265" s="234"/>
      <c r="P265" s="234"/>
      <c r="Q265" s="234"/>
      <c r="R265" s="234"/>
      <c r="S265" s="234"/>
      <c r="T265" s="234"/>
      <c r="U265" s="234"/>
      <c r="V265" s="234"/>
      <c r="W265" s="234"/>
      <c r="X265" s="234"/>
    </row>
    <row r="266" spans="1:24" ht="16.5" hidden="1" customHeight="1" x14ac:dyDescent="0.25">
      <c r="A266" s="291"/>
      <c r="B266" s="292"/>
      <c r="C266" s="293"/>
      <c r="D266" s="293"/>
      <c r="E266" s="293"/>
      <c r="F266" s="293"/>
      <c r="G266" s="293"/>
      <c r="H266" s="293"/>
      <c r="I266" s="219" t="e">
        <f t="shared" si="9"/>
        <v>#DIV/0!</v>
      </c>
      <c r="J266" s="290"/>
      <c r="K266" s="290"/>
      <c r="L266" s="290"/>
      <c r="M266" s="290"/>
      <c r="N266" s="290"/>
      <c r="O266" s="234"/>
      <c r="P266" s="234"/>
      <c r="Q266" s="234"/>
      <c r="R266" s="234"/>
      <c r="S266" s="234"/>
      <c r="T266" s="234"/>
      <c r="U266" s="234"/>
      <c r="V266" s="234"/>
      <c r="W266" s="234"/>
      <c r="X266" s="234"/>
    </row>
    <row r="267" spans="1:24" ht="16.5" hidden="1" customHeight="1" x14ac:dyDescent="0.25">
      <c r="A267" s="291"/>
      <c r="B267" s="292"/>
      <c r="C267" s="293"/>
      <c r="D267" s="293"/>
      <c r="E267" s="293"/>
      <c r="F267" s="293"/>
      <c r="G267" s="293"/>
      <c r="H267" s="293"/>
      <c r="I267" s="219" t="e">
        <f t="shared" si="9"/>
        <v>#DIV/0!</v>
      </c>
      <c r="J267" s="290"/>
      <c r="K267" s="290"/>
      <c r="L267" s="290"/>
      <c r="M267" s="290"/>
      <c r="N267" s="290"/>
      <c r="O267" s="234"/>
      <c r="P267" s="234"/>
      <c r="Q267" s="234"/>
      <c r="R267" s="234"/>
      <c r="S267" s="234"/>
      <c r="T267" s="234"/>
      <c r="U267" s="234"/>
      <c r="V267" s="234"/>
      <c r="W267" s="234"/>
      <c r="X267" s="234"/>
    </row>
    <row r="268" spans="1:24" ht="16.5" hidden="1" customHeight="1" x14ac:dyDescent="0.25">
      <c r="A268" s="291"/>
      <c r="B268" s="292"/>
      <c r="C268" s="293"/>
      <c r="D268" s="293"/>
      <c r="E268" s="293"/>
      <c r="F268" s="293"/>
      <c r="G268" s="293"/>
      <c r="H268" s="293"/>
      <c r="I268" s="219" t="e">
        <f t="shared" si="9"/>
        <v>#DIV/0!</v>
      </c>
      <c r="J268" s="290"/>
      <c r="K268" s="290"/>
      <c r="L268" s="290"/>
      <c r="M268" s="290"/>
      <c r="N268" s="290"/>
      <c r="O268" s="234"/>
      <c r="P268" s="234"/>
      <c r="Q268" s="234"/>
      <c r="R268" s="234"/>
      <c r="S268" s="234"/>
      <c r="T268" s="234"/>
      <c r="U268" s="234"/>
      <c r="V268" s="234"/>
      <c r="W268" s="234"/>
      <c r="X268" s="234"/>
    </row>
    <row r="269" spans="1:24" ht="16.5" hidden="1" customHeight="1" x14ac:dyDescent="0.25">
      <c r="A269" s="291"/>
      <c r="B269" s="292"/>
      <c r="C269" s="293"/>
      <c r="D269" s="293"/>
      <c r="E269" s="293"/>
      <c r="F269" s="293"/>
      <c r="G269" s="293"/>
      <c r="H269" s="293"/>
      <c r="I269" s="219" t="e">
        <f t="shared" si="9"/>
        <v>#DIV/0!</v>
      </c>
      <c r="J269" s="290"/>
      <c r="K269" s="290"/>
      <c r="L269" s="290"/>
      <c r="M269" s="290"/>
      <c r="N269" s="290"/>
      <c r="O269" s="234"/>
      <c r="P269" s="234"/>
      <c r="Q269" s="234"/>
      <c r="R269" s="234"/>
      <c r="S269" s="234"/>
      <c r="T269" s="234"/>
      <c r="U269" s="234"/>
      <c r="V269" s="234"/>
      <c r="W269" s="234"/>
      <c r="X269" s="234"/>
    </row>
    <row r="270" spans="1:24" ht="16.5" hidden="1" customHeight="1" x14ac:dyDescent="0.25">
      <c r="A270" s="291"/>
      <c r="B270" s="292"/>
      <c r="C270" s="293"/>
      <c r="D270" s="293"/>
      <c r="E270" s="293"/>
      <c r="F270" s="293"/>
      <c r="G270" s="293"/>
      <c r="H270" s="293"/>
      <c r="I270" s="219" t="e">
        <f t="shared" si="9"/>
        <v>#DIV/0!</v>
      </c>
      <c r="J270" s="290"/>
      <c r="K270" s="290"/>
      <c r="L270" s="290"/>
      <c r="M270" s="290"/>
      <c r="N270" s="290"/>
      <c r="O270" s="234"/>
      <c r="P270" s="234"/>
      <c r="Q270" s="234"/>
      <c r="R270" s="234"/>
      <c r="S270" s="234"/>
      <c r="T270" s="234"/>
      <c r="U270" s="234"/>
      <c r="V270" s="234"/>
      <c r="W270" s="234"/>
      <c r="X270" s="234"/>
    </row>
    <row r="271" spans="1:24" ht="16.5" hidden="1" customHeight="1" x14ac:dyDescent="0.25">
      <c r="A271" s="291"/>
      <c r="B271" s="292"/>
      <c r="C271" s="293"/>
      <c r="D271" s="293"/>
      <c r="E271" s="293"/>
      <c r="F271" s="293"/>
      <c r="G271" s="293"/>
      <c r="H271" s="293"/>
      <c r="I271" s="219" t="e">
        <f t="shared" si="9"/>
        <v>#DIV/0!</v>
      </c>
      <c r="J271" s="290"/>
      <c r="K271" s="290"/>
      <c r="L271" s="290"/>
      <c r="M271" s="290"/>
      <c r="N271" s="290"/>
      <c r="O271" s="234"/>
      <c r="P271" s="234"/>
      <c r="Q271" s="234"/>
      <c r="R271" s="234"/>
      <c r="S271" s="234"/>
      <c r="T271" s="234"/>
      <c r="U271" s="234"/>
      <c r="V271" s="234"/>
      <c r="W271" s="234"/>
      <c r="X271" s="234"/>
    </row>
    <row r="272" spans="1:24" ht="16.5" hidden="1" customHeight="1" x14ac:dyDescent="0.25">
      <c r="A272" s="291"/>
      <c r="B272" s="292"/>
      <c r="C272" s="293"/>
      <c r="D272" s="293"/>
      <c r="E272" s="293"/>
      <c r="F272" s="293"/>
      <c r="G272" s="293"/>
      <c r="H272" s="293"/>
      <c r="I272" s="219" t="e">
        <f t="shared" si="9"/>
        <v>#DIV/0!</v>
      </c>
      <c r="J272" s="290"/>
      <c r="K272" s="290"/>
      <c r="L272" s="290"/>
      <c r="M272" s="290"/>
      <c r="N272" s="290"/>
      <c r="O272" s="234"/>
      <c r="P272" s="234"/>
      <c r="Q272" s="234"/>
      <c r="R272" s="234"/>
      <c r="S272" s="234"/>
      <c r="T272" s="234"/>
      <c r="U272" s="234"/>
      <c r="V272" s="234"/>
      <c r="W272" s="234"/>
      <c r="X272" s="234"/>
    </row>
    <row r="273" spans="1:24" ht="16.5" hidden="1" customHeight="1" x14ac:dyDescent="0.25">
      <c r="A273" s="291"/>
      <c r="B273" s="292"/>
      <c r="C273" s="293"/>
      <c r="D273" s="293"/>
      <c r="E273" s="293"/>
      <c r="F273" s="293"/>
      <c r="G273" s="293"/>
      <c r="H273" s="293"/>
      <c r="I273" s="219" t="e">
        <f t="shared" si="9"/>
        <v>#DIV/0!</v>
      </c>
      <c r="J273" s="290"/>
      <c r="K273" s="290"/>
      <c r="L273" s="290"/>
      <c r="M273" s="290"/>
      <c r="N273" s="290"/>
      <c r="O273" s="234"/>
      <c r="P273" s="234"/>
      <c r="Q273" s="234"/>
      <c r="R273" s="234"/>
      <c r="S273" s="234"/>
      <c r="T273" s="234"/>
      <c r="U273" s="234"/>
      <c r="V273" s="234"/>
      <c r="W273" s="234"/>
      <c r="X273" s="234"/>
    </row>
    <row r="274" spans="1:24" ht="16.5" hidden="1" customHeight="1" x14ac:dyDescent="0.25">
      <c r="A274" s="291"/>
      <c r="B274" s="292"/>
      <c r="C274" s="293"/>
      <c r="D274" s="293"/>
      <c r="E274" s="293"/>
      <c r="F274" s="293"/>
      <c r="G274" s="293"/>
      <c r="H274" s="293"/>
      <c r="I274" s="219" t="e">
        <f t="shared" si="9"/>
        <v>#DIV/0!</v>
      </c>
      <c r="J274" s="290"/>
      <c r="K274" s="290"/>
      <c r="L274" s="290"/>
      <c r="M274" s="290"/>
      <c r="N274" s="290"/>
      <c r="O274" s="234"/>
      <c r="P274" s="234"/>
      <c r="Q274" s="234"/>
      <c r="R274" s="234"/>
      <c r="S274" s="234"/>
      <c r="T274" s="234"/>
      <c r="U274" s="234"/>
      <c r="V274" s="234"/>
      <c r="W274" s="234"/>
      <c r="X274" s="234"/>
    </row>
    <row r="275" spans="1:24" ht="16.5" hidden="1" customHeight="1" x14ac:dyDescent="0.25">
      <c r="A275" s="291"/>
      <c r="B275" s="292"/>
      <c r="C275" s="293"/>
      <c r="D275" s="293"/>
      <c r="E275" s="293"/>
      <c r="F275" s="293"/>
      <c r="G275" s="293"/>
      <c r="H275" s="293"/>
      <c r="I275" s="219" t="e">
        <f t="shared" si="9"/>
        <v>#DIV/0!</v>
      </c>
      <c r="J275" s="290"/>
      <c r="K275" s="290"/>
      <c r="L275" s="290"/>
      <c r="M275" s="290"/>
      <c r="N275" s="290"/>
      <c r="O275" s="234"/>
      <c r="P275" s="234"/>
      <c r="Q275" s="234"/>
      <c r="R275" s="234"/>
      <c r="S275" s="234"/>
      <c r="T275" s="234"/>
      <c r="U275" s="234"/>
      <c r="V275" s="234"/>
      <c r="W275" s="234"/>
      <c r="X275" s="234"/>
    </row>
    <row r="276" spans="1:24" ht="16.5" hidden="1" customHeight="1" x14ac:dyDescent="0.25">
      <c r="A276" s="291"/>
      <c r="B276" s="292"/>
      <c r="C276" s="293"/>
      <c r="D276" s="293"/>
      <c r="E276" s="293"/>
      <c r="F276" s="293"/>
      <c r="G276" s="293"/>
      <c r="H276" s="293"/>
      <c r="I276" s="219" t="e">
        <f t="shared" si="9"/>
        <v>#DIV/0!</v>
      </c>
      <c r="J276" s="290"/>
      <c r="K276" s="290"/>
      <c r="L276" s="290"/>
      <c r="M276" s="290"/>
      <c r="N276" s="290"/>
      <c r="O276" s="234"/>
      <c r="P276" s="234"/>
      <c r="Q276" s="234"/>
      <c r="R276" s="234"/>
      <c r="S276" s="234"/>
      <c r="T276" s="234"/>
      <c r="U276" s="234"/>
      <c r="V276" s="234"/>
      <c r="W276" s="234"/>
      <c r="X276" s="234"/>
    </row>
    <row r="277" spans="1:24" ht="16.5" hidden="1" customHeight="1" x14ac:dyDescent="0.25">
      <c r="A277" s="291"/>
      <c r="B277" s="292"/>
      <c r="C277" s="293"/>
      <c r="D277" s="293"/>
      <c r="E277" s="293"/>
      <c r="F277" s="293"/>
      <c r="G277" s="293"/>
      <c r="H277" s="293"/>
      <c r="I277" s="219" t="e">
        <f t="shared" si="9"/>
        <v>#DIV/0!</v>
      </c>
      <c r="J277" s="290"/>
      <c r="K277" s="290"/>
      <c r="L277" s="290"/>
      <c r="M277" s="290"/>
      <c r="N277" s="290"/>
      <c r="O277" s="234"/>
      <c r="P277" s="234"/>
      <c r="Q277" s="234"/>
      <c r="R277" s="234"/>
      <c r="S277" s="234"/>
      <c r="T277" s="234"/>
      <c r="U277" s="234"/>
      <c r="V277" s="234"/>
      <c r="W277" s="234"/>
      <c r="X277" s="234"/>
    </row>
    <row r="278" spans="1:24" ht="16.5" hidden="1" customHeight="1" x14ac:dyDescent="0.25">
      <c r="A278" s="291"/>
      <c r="B278" s="292"/>
      <c r="C278" s="293"/>
      <c r="D278" s="293"/>
      <c r="E278" s="293"/>
      <c r="F278" s="293"/>
      <c r="G278" s="293"/>
      <c r="H278" s="293"/>
      <c r="I278" s="219" t="e">
        <f t="shared" si="9"/>
        <v>#DIV/0!</v>
      </c>
      <c r="J278" s="290"/>
      <c r="K278" s="290"/>
      <c r="L278" s="290"/>
      <c r="M278" s="290"/>
      <c r="N278" s="290"/>
      <c r="O278" s="234"/>
      <c r="P278" s="234"/>
      <c r="Q278" s="234"/>
      <c r="R278" s="234"/>
      <c r="S278" s="234"/>
      <c r="T278" s="234"/>
      <c r="U278" s="234"/>
      <c r="V278" s="234"/>
      <c r="W278" s="234"/>
      <c r="X278" s="234"/>
    </row>
    <row r="279" spans="1:24" ht="16.5" hidden="1" customHeight="1" x14ac:dyDescent="0.25">
      <c r="A279" s="291"/>
      <c r="B279" s="292"/>
      <c r="C279" s="293"/>
      <c r="D279" s="293"/>
      <c r="E279" s="293"/>
      <c r="F279" s="293"/>
      <c r="G279" s="293"/>
      <c r="H279" s="293"/>
      <c r="I279" s="219" t="e">
        <f t="shared" si="9"/>
        <v>#DIV/0!</v>
      </c>
      <c r="J279" s="290"/>
      <c r="K279" s="290"/>
      <c r="L279" s="290"/>
      <c r="M279" s="290"/>
      <c r="N279" s="290"/>
      <c r="O279" s="234"/>
      <c r="P279" s="234"/>
      <c r="Q279" s="234"/>
      <c r="R279" s="234"/>
      <c r="S279" s="234"/>
      <c r="T279" s="234"/>
      <c r="U279" s="234"/>
      <c r="V279" s="234"/>
      <c r="W279" s="234"/>
      <c r="X279" s="234"/>
    </row>
    <row r="280" spans="1:24" ht="16.5" hidden="1" customHeight="1" x14ac:dyDescent="0.25">
      <c r="A280" s="291"/>
      <c r="B280" s="292"/>
      <c r="C280" s="293"/>
      <c r="D280" s="293"/>
      <c r="E280" s="293"/>
      <c r="F280" s="293"/>
      <c r="G280" s="293"/>
      <c r="H280" s="293"/>
      <c r="I280" s="219" t="e">
        <f t="shared" si="9"/>
        <v>#DIV/0!</v>
      </c>
      <c r="J280" s="290"/>
      <c r="K280" s="290"/>
      <c r="L280" s="290"/>
      <c r="M280" s="290"/>
      <c r="N280" s="290"/>
      <c r="O280" s="234"/>
      <c r="P280" s="234"/>
      <c r="Q280" s="234"/>
      <c r="R280" s="234"/>
      <c r="S280" s="234"/>
      <c r="T280" s="234"/>
      <c r="U280" s="234"/>
      <c r="V280" s="234"/>
      <c r="W280" s="234"/>
      <c r="X280" s="234"/>
    </row>
    <row r="281" spans="1:24" ht="16.5" hidden="1" customHeight="1" x14ac:dyDescent="0.25">
      <c r="A281" s="291"/>
      <c r="B281" s="292"/>
      <c r="C281" s="293"/>
      <c r="D281" s="293"/>
      <c r="E281" s="293"/>
      <c r="F281" s="293"/>
      <c r="G281" s="293"/>
      <c r="H281" s="293"/>
      <c r="I281" s="219" t="e">
        <f t="shared" ref="I281:I328" si="10">G281/F281*100</f>
        <v>#DIV/0!</v>
      </c>
      <c r="J281" s="290"/>
      <c r="K281" s="290"/>
      <c r="L281" s="290"/>
      <c r="M281" s="290"/>
      <c r="N281" s="290"/>
      <c r="O281" s="234"/>
      <c r="P281" s="234"/>
      <c r="Q281" s="234"/>
      <c r="R281" s="234"/>
      <c r="S281" s="234"/>
      <c r="T281" s="234"/>
      <c r="U281" s="234"/>
      <c r="V281" s="234"/>
      <c r="W281" s="234"/>
      <c r="X281" s="234"/>
    </row>
    <row r="282" spans="1:24" ht="16.5" hidden="1" customHeight="1" x14ac:dyDescent="0.25">
      <c r="A282" s="291"/>
      <c r="B282" s="292"/>
      <c r="C282" s="293"/>
      <c r="D282" s="293"/>
      <c r="E282" s="293"/>
      <c r="F282" s="293"/>
      <c r="G282" s="293"/>
      <c r="H282" s="293"/>
      <c r="I282" s="219" t="e">
        <f t="shared" si="10"/>
        <v>#DIV/0!</v>
      </c>
      <c r="J282" s="290"/>
      <c r="K282" s="290"/>
      <c r="L282" s="290"/>
      <c r="M282" s="290"/>
      <c r="N282" s="290"/>
      <c r="O282" s="234"/>
      <c r="P282" s="234"/>
      <c r="Q282" s="234"/>
      <c r="R282" s="234"/>
      <c r="S282" s="234"/>
      <c r="T282" s="234"/>
      <c r="U282" s="234"/>
      <c r="V282" s="234"/>
      <c r="W282" s="234"/>
      <c r="X282" s="234"/>
    </row>
    <row r="283" spans="1:24" ht="16.5" hidden="1" customHeight="1" x14ac:dyDescent="0.25">
      <c r="A283" s="291"/>
      <c r="B283" s="292"/>
      <c r="C283" s="293"/>
      <c r="D283" s="293"/>
      <c r="E283" s="293"/>
      <c r="F283" s="293"/>
      <c r="G283" s="293"/>
      <c r="H283" s="293"/>
      <c r="I283" s="219" t="e">
        <f t="shared" si="10"/>
        <v>#DIV/0!</v>
      </c>
      <c r="J283" s="290"/>
      <c r="K283" s="290"/>
      <c r="L283" s="290"/>
      <c r="M283" s="290"/>
      <c r="N283" s="290"/>
      <c r="O283" s="234"/>
      <c r="P283" s="234"/>
      <c r="Q283" s="234"/>
      <c r="R283" s="234"/>
      <c r="S283" s="234"/>
      <c r="T283" s="234"/>
      <c r="U283" s="234"/>
      <c r="V283" s="234"/>
      <c r="W283" s="234"/>
      <c r="X283" s="234"/>
    </row>
    <row r="284" spans="1:24" ht="16.5" hidden="1" customHeight="1" x14ac:dyDescent="0.25">
      <c r="A284" s="291"/>
      <c r="B284" s="292"/>
      <c r="C284" s="293"/>
      <c r="D284" s="293"/>
      <c r="E284" s="293"/>
      <c r="F284" s="293"/>
      <c r="G284" s="293"/>
      <c r="H284" s="293"/>
      <c r="I284" s="219" t="e">
        <f t="shared" si="10"/>
        <v>#DIV/0!</v>
      </c>
      <c r="J284" s="290"/>
      <c r="K284" s="290"/>
      <c r="L284" s="290"/>
      <c r="M284" s="290"/>
      <c r="N284" s="290"/>
      <c r="O284" s="234"/>
      <c r="P284" s="234"/>
      <c r="Q284" s="234"/>
      <c r="R284" s="234"/>
      <c r="S284" s="234"/>
      <c r="T284" s="234"/>
      <c r="U284" s="234"/>
      <c r="V284" s="234"/>
      <c r="W284" s="234"/>
      <c r="X284" s="234"/>
    </row>
    <row r="285" spans="1:24" ht="16.5" hidden="1" customHeight="1" x14ac:dyDescent="0.25">
      <c r="A285" s="291"/>
      <c r="B285" s="292"/>
      <c r="C285" s="293"/>
      <c r="D285" s="293"/>
      <c r="E285" s="293"/>
      <c r="F285" s="293"/>
      <c r="G285" s="293"/>
      <c r="H285" s="293"/>
      <c r="I285" s="219" t="e">
        <f t="shared" si="10"/>
        <v>#DIV/0!</v>
      </c>
      <c r="J285" s="290"/>
      <c r="K285" s="290"/>
      <c r="L285" s="290"/>
      <c r="M285" s="290"/>
      <c r="N285" s="290"/>
      <c r="O285" s="234"/>
      <c r="P285" s="234"/>
      <c r="Q285" s="234"/>
      <c r="R285" s="234"/>
      <c r="S285" s="234"/>
      <c r="T285" s="234"/>
      <c r="U285" s="234"/>
      <c r="V285" s="234"/>
      <c r="W285" s="234"/>
      <c r="X285" s="234"/>
    </row>
    <row r="286" spans="1:24" ht="16.5" hidden="1" customHeight="1" x14ac:dyDescent="0.25">
      <c r="A286" s="291"/>
      <c r="B286" s="292"/>
      <c r="C286" s="293"/>
      <c r="D286" s="293"/>
      <c r="E286" s="293"/>
      <c r="F286" s="293"/>
      <c r="G286" s="293"/>
      <c r="H286" s="293"/>
      <c r="I286" s="219" t="e">
        <f t="shared" si="10"/>
        <v>#DIV/0!</v>
      </c>
      <c r="J286" s="290"/>
      <c r="K286" s="290"/>
      <c r="L286" s="290"/>
      <c r="M286" s="290"/>
      <c r="N286" s="290"/>
      <c r="O286" s="234"/>
      <c r="P286" s="234"/>
      <c r="Q286" s="234"/>
      <c r="R286" s="234"/>
      <c r="S286" s="234"/>
      <c r="T286" s="234"/>
      <c r="U286" s="234"/>
      <c r="V286" s="234"/>
      <c r="W286" s="234"/>
      <c r="X286" s="234"/>
    </row>
    <row r="287" spans="1:24" ht="16.5" hidden="1" customHeight="1" x14ac:dyDescent="0.25">
      <c r="A287" s="291"/>
      <c r="B287" s="292"/>
      <c r="C287" s="293"/>
      <c r="D287" s="293"/>
      <c r="E287" s="293"/>
      <c r="F287" s="293"/>
      <c r="G287" s="293"/>
      <c r="H287" s="293"/>
      <c r="I287" s="219" t="e">
        <f t="shared" si="10"/>
        <v>#DIV/0!</v>
      </c>
      <c r="J287" s="290"/>
      <c r="K287" s="290"/>
      <c r="L287" s="290"/>
      <c r="M287" s="290"/>
      <c r="N287" s="290"/>
      <c r="O287" s="234"/>
      <c r="P287" s="234"/>
      <c r="Q287" s="234"/>
      <c r="R287" s="234"/>
      <c r="S287" s="234"/>
      <c r="T287" s="234"/>
      <c r="U287" s="234"/>
      <c r="V287" s="234"/>
      <c r="W287" s="234"/>
      <c r="X287" s="234"/>
    </row>
    <row r="288" spans="1:24" ht="16.5" hidden="1" customHeight="1" x14ac:dyDescent="0.25">
      <c r="A288" s="291"/>
      <c r="B288" s="292"/>
      <c r="C288" s="293"/>
      <c r="D288" s="293"/>
      <c r="E288" s="293"/>
      <c r="F288" s="293"/>
      <c r="G288" s="293"/>
      <c r="H288" s="293"/>
      <c r="I288" s="219" t="e">
        <f t="shared" si="10"/>
        <v>#DIV/0!</v>
      </c>
      <c r="J288" s="290"/>
      <c r="K288" s="290"/>
      <c r="L288" s="290"/>
      <c r="M288" s="290"/>
      <c r="N288" s="290"/>
      <c r="O288" s="234"/>
      <c r="P288" s="234"/>
      <c r="Q288" s="234"/>
      <c r="R288" s="234"/>
      <c r="S288" s="234"/>
      <c r="T288" s="234"/>
      <c r="U288" s="234"/>
      <c r="V288" s="234"/>
      <c r="W288" s="234"/>
      <c r="X288" s="234"/>
    </row>
    <row r="289" spans="1:24" ht="16.5" hidden="1" customHeight="1" x14ac:dyDescent="0.25">
      <c r="A289" s="291"/>
      <c r="B289" s="292"/>
      <c r="C289" s="293"/>
      <c r="D289" s="293"/>
      <c r="E289" s="293"/>
      <c r="F289" s="293"/>
      <c r="G289" s="293"/>
      <c r="H289" s="293"/>
      <c r="I289" s="219" t="e">
        <f t="shared" si="10"/>
        <v>#DIV/0!</v>
      </c>
      <c r="J289" s="290"/>
      <c r="K289" s="290"/>
      <c r="L289" s="290"/>
      <c r="M289" s="290"/>
      <c r="N289" s="290"/>
      <c r="O289" s="234"/>
      <c r="P289" s="234"/>
      <c r="Q289" s="234"/>
      <c r="R289" s="234"/>
      <c r="S289" s="234"/>
      <c r="T289" s="234"/>
      <c r="U289" s="234"/>
      <c r="V289" s="234"/>
      <c r="W289" s="234"/>
      <c r="X289" s="234"/>
    </row>
    <row r="290" spans="1:24" ht="16.5" hidden="1" customHeight="1" x14ac:dyDescent="0.25">
      <c r="A290" s="291"/>
      <c r="B290" s="292"/>
      <c r="C290" s="293"/>
      <c r="D290" s="293"/>
      <c r="E290" s="293"/>
      <c r="F290" s="293"/>
      <c r="G290" s="293"/>
      <c r="H290" s="293"/>
      <c r="I290" s="219" t="e">
        <f t="shared" si="10"/>
        <v>#DIV/0!</v>
      </c>
      <c r="J290" s="290"/>
      <c r="K290" s="290"/>
      <c r="L290" s="290"/>
      <c r="M290" s="290"/>
      <c r="N290" s="290"/>
      <c r="O290" s="234"/>
      <c r="P290" s="234"/>
      <c r="Q290" s="234"/>
      <c r="R290" s="234"/>
      <c r="S290" s="234"/>
      <c r="T290" s="234"/>
      <c r="U290" s="234"/>
      <c r="V290" s="234"/>
      <c r="W290" s="234"/>
      <c r="X290" s="234"/>
    </row>
    <row r="291" spans="1:24" ht="16.5" hidden="1" customHeight="1" x14ac:dyDescent="0.25">
      <c r="A291" s="291"/>
      <c r="B291" s="292"/>
      <c r="C291" s="293"/>
      <c r="D291" s="293"/>
      <c r="E291" s="293"/>
      <c r="F291" s="293"/>
      <c r="G291" s="293"/>
      <c r="H291" s="293"/>
      <c r="I291" s="219" t="e">
        <f t="shared" si="10"/>
        <v>#DIV/0!</v>
      </c>
      <c r="J291" s="290"/>
      <c r="K291" s="290"/>
      <c r="L291" s="290"/>
      <c r="M291" s="290"/>
      <c r="N291" s="290"/>
      <c r="O291" s="234"/>
      <c r="P291" s="234"/>
      <c r="Q291" s="234"/>
      <c r="R291" s="234"/>
      <c r="S291" s="234"/>
      <c r="T291" s="234"/>
      <c r="U291" s="234"/>
      <c r="V291" s="234"/>
      <c r="W291" s="234"/>
      <c r="X291" s="234"/>
    </row>
    <row r="292" spans="1:24" ht="16.5" hidden="1" customHeight="1" x14ac:dyDescent="0.25">
      <c r="A292" s="291"/>
      <c r="B292" s="292"/>
      <c r="C292" s="293"/>
      <c r="D292" s="293"/>
      <c r="E292" s="293"/>
      <c r="F292" s="293"/>
      <c r="G292" s="293"/>
      <c r="H292" s="293"/>
      <c r="I292" s="219" t="e">
        <f t="shared" si="10"/>
        <v>#DIV/0!</v>
      </c>
      <c r="J292" s="290"/>
      <c r="K292" s="290"/>
      <c r="L292" s="290"/>
      <c r="M292" s="290"/>
      <c r="N292" s="290"/>
      <c r="O292" s="234"/>
      <c r="P292" s="234"/>
      <c r="Q292" s="234"/>
      <c r="R292" s="234"/>
      <c r="S292" s="234"/>
      <c r="T292" s="234"/>
      <c r="U292" s="234"/>
      <c r="V292" s="234"/>
      <c r="W292" s="234"/>
      <c r="X292" s="234"/>
    </row>
    <row r="293" spans="1:24" ht="16.5" hidden="1" customHeight="1" x14ac:dyDescent="0.25">
      <c r="A293" s="291"/>
      <c r="B293" s="292"/>
      <c r="C293" s="293"/>
      <c r="D293" s="293"/>
      <c r="E293" s="293"/>
      <c r="F293" s="293"/>
      <c r="G293" s="293"/>
      <c r="H293" s="293"/>
      <c r="I293" s="219" t="e">
        <f t="shared" si="10"/>
        <v>#DIV/0!</v>
      </c>
      <c r="J293" s="290"/>
      <c r="K293" s="290"/>
      <c r="L293" s="290"/>
      <c r="M293" s="290"/>
      <c r="N293" s="290"/>
      <c r="O293" s="234"/>
      <c r="P293" s="234"/>
      <c r="Q293" s="234"/>
      <c r="R293" s="234"/>
      <c r="S293" s="234"/>
      <c r="T293" s="234"/>
      <c r="U293" s="234"/>
      <c r="V293" s="234"/>
      <c r="W293" s="234"/>
      <c r="X293" s="234"/>
    </row>
    <row r="294" spans="1:24" ht="16.5" hidden="1" customHeight="1" x14ac:dyDescent="0.25">
      <c r="A294" s="291"/>
      <c r="B294" s="292"/>
      <c r="C294" s="293"/>
      <c r="D294" s="293"/>
      <c r="E294" s="293"/>
      <c r="F294" s="293"/>
      <c r="G294" s="293"/>
      <c r="H294" s="293"/>
      <c r="I294" s="219" t="e">
        <f t="shared" si="10"/>
        <v>#DIV/0!</v>
      </c>
      <c r="J294" s="290"/>
      <c r="K294" s="290"/>
      <c r="L294" s="290"/>
      <c r="M294" s="290"/>
      <c r="N294" s="290"/>
      <c r="O294" s="234"/>
      <c r="P294" s="234"/>
      <c r="Q294" s="234"/>
      <c r="R294" s="234"/>
      <c r="S294" s="234"/>
      <c r="T294" s="234"/>
      <c r="U294" s="234"/>
      <c r="V294" s="234"/>
      <c r="W294" s="234"/>
      <c r="X294" s="234"/>
    </row>
    <row r="295" spans="1:24" ht="16.5" hidden="1" customHeight="1" x14ac:dyDescent="0.25">
      <c r="A295" s="291"/>
      <c r="B295" s="292"/>
      <c r="C295" s="293"/>
      <c r="D295" s="293"/>
      <c r="E295" s="293"/>
      <c r="F295" s="293"/>
      <c r="G295" s="293"/>
      <c r="H295" s="293"/>
      <c r="I295" s="219" t="e">
        <f t="shared" si="10"/>
        <v>#DIV/0!</v>
      </c>
      <c r="J295" s="290"/>
      <c r="K295" s="290"/>
      <c r="L295" s="290"/>
      <c r="M295" s="290"/>
      <c r="N295" s="290"/>
      <c r="O295" s="234"/>
      <c r="P295" s="234"/>
      <c r="Q295" s="234"/>
      <c r="R295" s="234"/>
      <c r="S295" s="234"/>
      <c r="T295" s="234"/>
      <c r="U295" s="234"/>
      <c r="V295" s="234"/>
      <c r="W295" s="234"/>
      <c r="X295" s="234"/>
    </row>
    <row r="296" spans="1:24" ht="16.5" hidden="1" customHeight="1" x14ac:dyDescent="0.25">
      <c r="A296" s="291"/>
      <c r="B296" s="292"/>
      <c r="C296" s="293"/>
      <c r="D296" s="293"/>
      <c r="E296" s="293"/>
      <c r="F296" s="293"/>
      <c r="G296" s="293"/>
      <c r="H296" s="293"/>
      <c r="I296" s="219" t="e">
        <f t="shared" si="10"/>
        <v>#DIV/0!</v>
      </c>
      <c r="J296" s="290"/>
      <c r="K296" s="290"/>
      <c r="L296" s="290"/>
      <c r="M296" s="290"/>
      <c r="N296" s="290"/>
      <c r="O296" s="234"/>
      <c r="P296" s="234"/>
      <c r="Q296" s="234"/>
      <c r="R296" s="234"/>
      <c r="S296" s="234"/>
      <c r="T296" s="234"/>
      <c r="U296" s="234"/>
      <c r="V296" s="234"/>
      <c r="W296" s="234"/>
      <c r="X296" s="234"/>
    </row>
    <row r="297" spans="1:24" ht="16.5" hidden="1" customHeight="1" x14ac:dyDescent="0.25">
      <c r="A297" s="291"/>
      <c r="B297" s="292"/>
      <c r="C297" s="293"/>
      <c r="D297" s="293"/>
      <c r="E297" s="293"/>
      <c r="F297" s="293"/>
      <c r="G297" s="293"/>
      <c r="H297" s="293"/>
      <c r="I297" s="219" t="e">
        <f t="shared" si="10"/>
        <v>#DIV/0!</v>
      </c>
      <c r="J297" s="290"/>
      <c r="K297" s="290"/>
      <c r="L297" s="290"/>
      <c r="M297" s="290"/>
      <c r="N297" s="290"/>
      <c r="O297" s="234"/>
      <c r="P297" s="234"/>
      <c r="Q297" s="234"/>
      <c r="R297" s="234"/>
      <c r="S297" s="234"/>
      <c r="T297" s="234"/>
      <c r="U297" s="234"/>
      <c r="V297" s="234"/>
      <c r="W297" s="234"/>
      <c r="X297" s="234"/>
    </row>
    <row r="298" spans="1:24" ht="16.5" hidden="1" customHeight="1" x14ac:dyDescent="0.25">
      <c r="A298" s="291"/>
      <c r="B298" s="292"/>
      <c r="C298" s="293"/>
      <c r="D298" s="293"/>
      <c r="E298" s="293"/>
      <c r="F298" s="293"/>
      <c r="G298" s="293"/>
      <c r="H298" s="293"/>
      <c r="I298" s="219" t="e">
        <f t="shared" si="10"/>
        <v>#DIV/0!</v>
      </c>
      <c r="J298" s="290"/>
      <c r="K298" s="290"/>
      <c r="L298" s="290"/>
      <c r="M298" s="290"/>
      <c r="N298" s="290"/>
      <c r="O298" s="234"/>
      <c r="P298" s="234"/>
      <c r="Q298" s="234"/>
      <c r="R298" s="234"/>
      <c r="S298" s="234"/>
      <c r="T298" s="234"/>
      <c r="U298" s="234"/>
      <c r="V298" s="234"/>
      <c r="W298" s="234"/>
      <c r="X298" s="234"/>
    </row>
    <row r="299" spans="1:24" ht="16.5" hidden="1" customHeight="1" x14ac:dyDescent="0.25">
      <c r="A299" s="291"/>
      <c r="B299" s="292"/>
      <c r="C299" s="293"/>
      <c r="D299" s="293"/>
      <c r="E299" s="293"/>
      <c r="F299" s="293"/>
      <c r="G299" s="293"/>
      <c r="H299" s="293"/>
      <c r="I299" s="219" t="e">
        <f t="shared" si="10"/>
        <v>#DIV/0!</v>
      </c>
      <c r="J299" s="290"/>
      <c r="K299" s="290"/>
      <c r="L299" s="290"/>
      <c r="M299" s="290"/>
      <c r="N299" s="290"/>
      <c r="O299" s="234"/>
      <c r="P299" s="234"/>
      <c r="Q299" s="234"/>
      <c r="R299" s="234"/>
      <c r="S299" s="234"/>
      <c r="T299" s="234"/>
      <c r="U299" s="234"/>
      <c r="V299" s="234"/>
      <c r="W299" s="234"/>
      <c r="X299" s="234"/>
    </row>
    <row r="300" spans="1:24" ht="16.5" hidden="1" customHeight="1" x14ac:dyDescent="0.25">
      <c r="A300" s="291"/>
      <c r="B300" s="292"/>
      <c r="C300" s="293"/>
      <c r="D300" s="293"/>
      <c r="E300" s="293"/>
      <c r="F300" s="293"/>
      <c r="G300" s="293"/>
      <c r="H300" s="293"/>
      <c r="I300" s="219" t="e">
        <f t="shared" si="10"/>
        <v>#DIV/0!</v>
      </c>
      <c r="J300" s="290"/>
      <c r="K300" s="290"/>
      <c r="L300" s="290"/>
      <c r="M300" s="290"/>
      <c r="N300" s="290"/>
      <c r="O300" s="234"/>
      <c r="P300" s="234"/>
      <c r="Q300" s="234"/>
      <c r="R300" s="234"/>
      <c r="S300" s="234"/>
      <c r="T300" s="234"/>
      <c r="U300" s="234"/>
      <c r="V300" s="234"/>
      <c r="W300" s="234"/>
      <c r="X300" s="234"/>
    </row>
    <row r="301" spans="1:24" ht="16.5" hidden="1" customHeight="1" x14ac:dyDescent="0.25">
      <c r="A301" s="291"/>
      <c r="B301" s="292"/>
      <c r="C301" s="293"/>
      <c r="D301" s="293"/>
      <c r="E301" s="293"/>
      <c r="F301" s="293"/>
      <c r="G301" s="293"/>
      <c r="H301" s="293"/>
      <c r="I301" s="219" t="e">
        <f t="shared" si="10"/>
        <v>#DIV/0!</v>
      </c>
      <c r="J301" s="290"/>
      <c r="K301" s="290"/>
      <c r="L301" s="290"/>
      <c r="M301" s="290"/>
      <c r="N301" s="290"/>
      <c r="O301" s="234"/>
      <c r="P301" s="234"/>
      <c r="Q301" s="234"/>
      <c r="R301" s="234"/>
      <c r="S301" s="234"/>
      <c r="T301" s="234"/>
      <c r="U301" s="234"/>
      <c r="V301" s="234"/>
      <c r="W301" s="234"/>
      <c r="X301" s="234"/>
    </row>
    <row r="302" spans="1:24" ht="16.5" hidden="1" customHeight="1" x14ac:dyDescent="0.25">
      <c r="A302" s="291"/>
      <c r="B302" s="292"/>
      <c r="C302" s="293"/>
      <c r="D302" s="293"/>
      <c r="E302" s="293"/>
      <c r="F302" s="293"/>
      <c r="G302" s="293"/>
      <c r="H302" s="293"/>
      <c r="I302" s="219" t="e">
        <f t="shared" si="10"/>
        <v>#DIV/0!</v>
      </c>
      <c r="J302" s="290"/>
      <c r="K302" s="290"/>
      <c r="L302" s="290"/>
      <c r="M302" s="290"/>
      <c r="N302" s="290"/>
      <c r="O302" s="234"/>
      <c r="P302" s="234"/>
      <c r="Q302" s="234"/>
      <c r="R302" s="234"/>
      <c r="S302" s="234"/>
      <c r="T302" s="234"/>
      <c r="U302" s="234"/>
      <c r="V302" s="234"/>
      <c r="W302" s="234"/>
      <c r="X302" s="234"/>
    </row>
    <row r="303" spans="1:24" ht="16.5" hidden="1" customHeight="1" x14ac:dyDescent="0.25">
      <c r="A303" s="291"/>
      <c r="B303" s="292"/>
      <c r="C303" s="293"/>
      <c r="D303" s="293"/>
      <c r="E303" s="293"/>
      <c r="F303" s="293"/>
      <c r="G303" s="293"/>
      <c r="H303" s="293"/>
      <c r="I303" s="219" t="e">
        <f t="shared" si="10"/>
        <v>#DIV/0!</v>
      </c>
      <c r="J303" s="290"/>
      <c r="K303" s="290"/>
      <c r="L303" s="290"/>
      <c r="M303" s="290"/>
      <c r="N303" s="290"/>
      <c r="O303" s="234"/>
      <c r="P303" s="234"/>
      <c r="Q303" s="234"/>
      <c r="R303" s="234"/>
      <c r="S303" s="234"/>
      <c r="T303" s="234"/>
      <c r="U303" s="234"/>
      <c r="V303" s="234"/>
      <c r="W303" s="234"/>
      <c r="X303" s="234"/>
    </row>
    <row r="304" spans="1:24" ht="16.5" hidden="1" customHeight="1" x14ac:dyDescent="0.25">
      <c r="A304" s="291"/>
      <c r="B304" s="292"/>
      <c r="C304" s="293"/>
      <c r="D304" s="293"/>
      <c r="E304" s="293"/>
      <c r="F304" s="293"/>
      <c r="G304" s="293"/>
      <c r="H304" s="293"/>
      <c r="I304" s="219" t="e">
        <f t="shared" si="10"/>
        <v>#DIV/0!</v>
      </c>
      <c r="J304" s="290"/>
      <c r="K304" s="290"/>
      <c r="L304" s="290"/>
      <c r="M304" s="290"/>
      <c r="N304" s="290"/>
      <c r="O304" s="234"/>
      <c r="P304" s="234"/>
      <c r="Q304" s="234"/>
      <c r="R304" s="234"/>
      <c r="S304" s="234"/>
      <c r="T304" s="234"/>
      <c r="U304" s="234"/>
      <c r="V304" s="234"/>
      <c r="W304" s="234"/>
      <c r="X304" s="234"/>
    </row>
    <row r="305" spans="1:24" ht="16.5" hidden="1" customHeight="1" x14ac:dyDescent="0.25">
      <c r="A305" s="291"/>
      <c r="B305" s="292"/>
      <c r="C305" s="293"/>
      <c r="D305" s="293"/>
      <c r="E305" s="293"/>
      <c r="F305" s="293"/>
      <c r="G305" s="293"/>
      <c r="H305" s="293"/>
      <c r="I305" s="219" t="e">
        <f t="shared" si="10"/>
        <v>#DIV/0!</v>
      </c>
      <c r="J305" s="290"/>
      <c r="K305" s="290"/>
      <c r="L305" s="290"/>
      <c r="M305" s="290"/>
      <c r="N305" s="290"/>
      <c r="O305" s="234"/>
      <c r="P305" s="234"/>
      <c r="Q305" s="234"/>
      <c r="R305" s="234"/>
      <c r="S305" s="234"/>
      <c r="T305" s="234"/>
      <c r="U305" s="234"/>
      <c r="V305" s="234"/>
      <c r="W305" s="234"/>
      <c r="X305" s="234"/>
    </row>
    <row r="306" spans="1:24" ht="16.5" hidden="1" customHeight="1" x14ac:dyDescent="0.25">
      <c r="A306" s="291"/>
      <c r="B306" s="292"/>
      <c r="C306" s="293"/>
      <c r="D306" s="293"/>
      <c r="E306" s="293"/>
      <c r="F306" s="293"/>
      <c r="G306" s="293"/>
      <c r="H306" s="293"/>
      <c r="I306" s="219" t="e">
        <f t="shared" si="10"/>
        <v>#DIV/0!</v>
      </c>
      <c r="J306" s="290"/>
      <c r="K306" s="290"/>
      <c r="L306" s="290"/>
      <c r="M306" s="290"/>
      <c r="N306" s="290"/>
      <c r="O306" s="234"/>
      <c r="P306" s="234"/>
      <c r="Q306" s="234"/>
      <c r="R306" s="234"/>
      <c r="S306" s="234"/>
      <c r="T306" s="234"/>
      <c r="U306" s="234"/>
      <c r="V306" s="234"/>
      <c r="W306" s="234"/>
      <c r="X306" s="234"/>
    </row>
    <row r="307" spans="1:24" ht="16.5" hidden="1" customHeight="1" x14ac:dyDescent="0.25">
      <c r="A307" s="291"/>
      <c r="B307" s="292"/>
      <c r="C307" s="293"/>
      <c r="D307" s="293"/>
      <c r="E307" s="293"/>
      <c r="F307" s="293"/>
      <c r="G307" s="293"/>
      <c r="H307" s="293"/>
      <c r="I307" s="219" t="e">
        <f t="shared" si="10"/>
        <v>#DIV/0!</v>
      </c>
      <c r="J307" s="290"/>
      <c r="K307" s="290"/>
      <c r="L307" s="290"/>
      <c r="M307" s="290"/>
      <c r="N307" s="290"/>
      <c r="O307" s="234"/>
      <c r="P307" s="234"/>
      <c r="Q307" s="234"/>
      <c r="R307" s="234"/>
      <c r="S307" s="234"/>
      <c r="T307" s="234"/>
      <c r="U307" s="234"/>
      <c r="V307" s="234"/>
      <c r="W307" s="234"/>
      <c r="X307" s="234"/>
    </row>
    <row r="308" spans="1:24" ht="16.5" hidden="1" customHeight="1" x14ac:dyDescent="0.25">
      <c r="A308" s="291"/>
      <c r="B308" s="292"/>
      <c r="C308" s="293"/>
      <c r="D308" s="293"/>
      <c r="E308" s="293"/>
      <c r="F308" s="293"/>
      <c r="G308" s="293"/>
      <c r="H308" s="293"/>
      <c r="I308" s="219" t="e">
        <f t="shared" si="10"/>
        <v>#DIV/0!</v>
      </c>
      <c r="J308" s="290"/>
      <c r="K308" s="290"/>
      <c r="L308" s="290"/>
      <c r="M308" s="290"/>
      <c r="N308" s="290"/>
      <c r="O308" s="234"/>
      <c r="P308" s="234"/>
      <c r="Q308" s="234"/>
      <c r="R308" s="234"/>
      <c r="S308" s="234"/>
      <c r="T308" s="234"/>
      <c r="U308" s="234"/>
      <c r="V308" s="234"/>
      <c r="W308" s="234"/>
      <c r="X308" s="234"/>
    </row>
    <row r="309" spans="1:24" ht="16.5" hidden="1" customHeight="1" x14ac:dyDescent="0.25">
      <c r="A309" s="291"/>
      <c r="B309" s="292"/>
      <c r="C309" s="293"/>
      <c r="D309" s="293"/>
      <c r="E309" s="293"/>
      <c r="F309" s="293"/>
      <c r="G309" s="293"/>
      <c r="H309" s="293"/>
      <c r="I309" s="219" t="e">
        <f t="shared" si="10"/>
        <v>#DIV/0!</v>
      </c>
      <c r="J309" s="290"/>
      <c r="K309" s="290"/>
      <c r="L309" s="290"/>
      <c r="M309" s="290"/>
      <c r="N309" s="290"/>
      <c r="O309" s="234"/>
      <c r="P309" s="234"/>
      <c r="Q309" s="234"/>
      <c r="R309" s="234"/>
      <c r="S309" s="234"/>
      <c r="T309" s="234"/>
      <c r="U309" s="234"/>
      <c r="V309" s="234"/>
      <c r="W309" s="234"/>
      <c r="X309" s="234"/>
    </row>
    <row r="310" spans="1:24" ht="16.5" hidden="1" customHeight="1" x14ac:dyDescent="0.25">
      <c r="A310" s="291"/>
      <c r="B310" s="292"/>
      <c r="C310" s="293"/>
      <c r="D310" s="293"/>
      <c r="E310" s="293"/>
      <c r="F310" s="293"/>
      <c r="G310" s="293"/>
      <c r="H310" s="293"/>
      <c r="I310" s="219" t="e">
        <f t="shared" si="10"/>
        <v>#DIV/0!</v>
      </c>
      <c r="J310" s="290"/>
      <c r="K310" s="290"/>
      <c r="L310" s="290"/>
      <c r="M310" s="290"/>
      <c r="N310" s="290"/>
      <c r="O310" s="234"/>
      <c r="P310" s="234"/>
      <c r="Q310" s="234"/>
      <c r="R310" s="234"/>
      <c r="S310" s="234"/>
      <c r="T310" s="234"/>
      <c r="U310" s="234"/>
      <c r="V310" s="234"/>
      <c r="W310" s="234"/>
      <c r="X310" s="234"/>
    </row>
    <row r="311" spans="1:24" ht="16.5" hidden="1" customHeight="1" x14ac:dyDescent="0.25">
      <c r="A311" s="291"/>
      <c r="B311" s="292"/>
      <c r="C311" s="293"/>
      <c r="D311" s="293"/>
      <c r="E311" s="293"/>
      <c r="F311" s="293"/>
      <c r="G311" s="293"/>
      <c r="H311" s="293"/>
      <c r="I311" s="219" t="e">
        <f t="shared" si="10"/>
        <v>#DIV/0!</v>
      </c>
      <c r="J311" s="290"/>
      <c r="K311" s="290"/>
      <c r="L311" s="290"/>
      <c r="M311" s="290"/>
      <c r="N311" s="290"/>
      <c r="O311" s="234"/>
      <c r="P311" s="234"/>
      <c r="Q311" s="234"/>
      <c r="R311" s="234"/>
      <c r="S311" s="234"/>
      <c r="T311" s="234"/>
      <c r="U311" s="234"/>
      <c r="V311" s="234"/>
      <c r="W311" s="234"/>
      <c r="X311" s="234"/>
    </row>
    <row r="312" spans="1:24" ht="16.5" hidden="1" customHeight="1" x14ac:dyDescent="0.25">
      <c r="A312" s="291"/>
      <c r="B312" s="292"/>
      <c r="C312" s="293"/>
      <c r="D312" s="293"/>
      <c r="E312" s="293"/>
      <c r="F312" s="293"/>
      <c r="G312" s="293"/>
      <c r="H312" s="293"/>
      <c r="I312" s="219" t="e">
        <f t="shared" si="10"/>
        <v>#DIV/0!</v>
      </c>
      <c r="J312" s="290"/>
      <c r="K312" s="290"/>
      <c r="L312" s="290"/>
      <c r="M312" s="290"/>
      <c r="N312" s="290"/>
      <c r="O312" s="234"/>
      <c r="P312" s="234"/>
      <c r="Q312" s="234"/>
      <c r="R312" s="234"/>
      <c r="S312" s="234"/>
      <c r="T312" s="234"/>
      <c r="U312" s="234"/>
      <c r="V312" s="234"/>
      <c r="W312" s="234"/>
      <c r="X312" s="234"/>
    </row>
    <row r="313" spans="1:24" ht="16.5" hidden="1" customHeight="1" x14ac:dyDescent="0.25">
      <c r="A313" s="291"/>
      <c r="B313" s="292"/>
      <c r="C313" s="293"/>
      <c r="D313" s="293"/>
      <c r="E313" s="293"/>
      <c r="F313" s="293"/>
      <c r="G313" s="293"/>
      <c r="H313" s="293"/>
      <c r="I313" s="219" t="e">
        <f t="shared" si="10"/>
        <v>#DIV/0!</v>
      </c>
      <c r="J313" s="290"/>
      <c r="K313" s="290"/>
      <c r="L313" s="290"/>
      <c r="M313" s="290"/>
      <c r="N313" s="290"/>
      <c r="O313" s="234"/>
      <c r="P313" s="234"/>
      <c r="Q313" s="234"/>
      <c r="R313" s="234"/>
      <c r="S313" s="234"/>
      <c r="T313" s="234"/>
      <c r="U313" s="234"/>
      <c r="V313" s="234"/>
      <c r="W313" s="234"/>
      <c r="X313" s="234"/>
    </row>
    <row r="314" spans="1:24" ht="16.5" hidden="1" customHeight="1" x14ac:dyDescent="0.25">
      <c r="A314" s="291"/>
      <c r="B314" s="292"/>
      <c r="C314" s="293"/>
      <c r="D314" s="293"/>
      <c r="E314" s="293"/>
      <c r="F314" s="293"/>
      <c r="G314" s="293"/>
      <c r="H314" s="293"/>
      <c r="I314" s="219" t="e">
        <f t="shared" si="10"/>
        <v>#DIV/0!</v>
      </c>
      <c r="J314" s="290"/>
      <c r="K314" s="290"/>
      <c r="L314" s="290"/>
      <c r="M314" s="290"/>
      <c r="N314" s="290"/>
      <c r="O314" s="234"/>
      <c r="P314" s="234"/>
      <c r="Q314" s="234"/>
      <c r="R314" s="234"/>
      <c r="S314" s="234"/>
      <c r="T314" s="234"/>
      <c r="U314" s="234"/>
      <c r="V314" s="234"/>
      <c r="W314" s="234"/>
      <c r="X314" s="234"/>
    </row>
    <row r="315" spans="1:24" ht="16.5" hidden="1" customHeight="1" x14ac:dyDescent="0.25">
      <c r="A315" s="291"/>
      <c r="B315" s="292"/>
      <c r="C315" s="293"/>
      <c r="D315" s="293"/>
      <c r="E315" s="293"/>
      <c r="F315" s="293"/>
      <c r="G315" s="293"/>
      <c r="H315" s="293"/>
      <c r="I315" s="219" t="e">
        <f t="shared" si="10"/>
        <v>#DIV/0!</v>
      </c>
      <c r="J315" s="290"/>
      <c r="K315" s="290"/>
      <c r="L315" s="290"/>
      <c r="M315" s="290"/>
      <c r="N315" s="290"/>
      <c r="O315" s="234"/>
      <c r="P315" s="234"/>
      <c r="Q315" s="234"/>
      <c r="R315" s="234"/>
      <c r="S315" s="234"/>
      <c r="T315" s="234"/>
      <c r="U315" s="234"/>
      <c r="V315" s="234"/>
      <c r="W315" s="234"/>
      <c r="X315" s="234"/>
    </row>
    <row r="316" spans="1:24" ht="16.5" hidden="1" customHeight="1" x14ac:dyDescent="0.25">
      <c r="A316" s="291"/>
      <c r="B316" s="292"/>
      <c r="C316" s="293"/>
      <c r="D316" s="293"/>
      <c r="E316" s="293"/>
      <c r="F316" s="293"/>
      <c r="G316" s="293"/>
      <c r="H316" s="293"/>
      <c r="I316" s="219" t="e">
        <f t="shared" si="10"/>
        <v>#DIV/0!</v>
      </c>
      <c r="J316" s="290"/>
      <c r="K316" s="290"/>
      <c r="L316" s="290"/>
      <c r="M316" s="290"/>
      <c r="N316" s="290"/>
      <c r="O316" s="234"/>
      <c r="P316" s="234"/>
      <c r="Q316" s="234"/>
      <c r="R316" s="234"/>
      <c r="S316" s="234"/>
      <c r="T316" s="234"/>
      <c r="U316" s="234"/>
      <c r="V316" s="234"/>
      <c r="W316" s="234"/>
      <c r="X316" s="234"/>
    </row>
    <row r="317" spans="1:24" ht="16.5" hidden="1" customHeight="1" x14ac:dyDescent="0.25">
      <c r="A317" s="291"/>
      <c r="B317" s="292"/>
      <c r="C317" s="293"/>
      <c r="D317" s="293"/>
      <c r="E317" s="293"/>
      <c r="F317" s="293"/>
      <c r="G317" s="293"/>
      <c r="H317" s="293"/>
      <c r="I317" s="219" t="e">
        <f t="shared" si="10"/>
        <v>#DIV/0!</v>
      </c>
      <c r="J317" s="290"/>
      <c r="K317" s="290"/>
      <c r="L317" s="290"/>
      <c r="M317" s="290"/>
      <c r="N317" s="290"/>
      <c r="O317" s="234"/>
      <c r="P317" s="234"/>
      <c r="Q317" s="234"/>
      <c r="R317" s="234"/>
      <c r="S317" s="234"/>
      <c r="T317" s="234"/>
      <c r="U317" s="234"/>
      <c r="V317" s="234"/>
      <c r="W317" s="234"/>
      <c r="X317" s="234"/>
    </row>
    <row r="318" spans="1:24" ht="16.5" hidden="1" customHeight="1" x14ac:dyDescent="0.25">
      <c r="A318" s="291"/>
      <c r="B318" s="292"/>
      <c r="C318" s="293"/>
      <c r="D318" s="293"/>
      <c r="E318" s="293"/>
      <c r="F318" s="293"/>
      <c r="G318" s="293"/>
      <c r="H318" s="293"/>
      <c r="I318" s="219" t="e">
        <f t="shared" si="10"/>
        <v>#DIV/0!</v>
      </c>
      <c r="J318" s="290"/>
      <c r="K318" s="290"/>
      <c r="L318" s="290"/>
      <c r="M318" s="290"/>
      <c r="N318" s="290"/>
      <c r="O318" s="234"/>
      <c r="P318" s="234"/>
      <c r="Q318" s="234"/>
      <c r="R318" s="234"/>
      <c r="S318" s="234"/>
      <c r="T318" s="234"/>
      <c r="U318" s="234"/>
      <c r="V318" s="234"/>
      <c r="W318" s="234"/>
      <c r="X318" s="234"/>
    </row>
    <row r="319" spans="1:24" ht="16.5" hidden="1" customHeight="1" x14ac:dyDescent="0.25">
      <c r="A319" s="291"/>
      <c r="B319" s="292"/>
      <c r="C319" s="293"/>
      <c r="D319" s="293"/>
      <c r="E319" s="293"/>
      <c r="F319" s="293"/>
      <c r="G319" s="293"/>
      <c r="H319" s="293"/>
      <c r="I319" s="219" t="e">
        <f t="shared" si="10"/>
        <v>#DIV/0!</v>
      </c>
      <c r="J319" s="290"/>
      <c r="K319" s="290"/>
      <c r="L319" s="290"/>
      <c r="M319" s="290"/>
      <c r="N319" s="290"/>
      <c r="O319" s="234"/>
      <c r="P319" s="234"/>
      <c r="Q319" s="234"/>
      <c r="R319" s="234"/>
      <c r="S319" s="234"/>
      <c r="T319" s="234"/>
      <c r="U319" s="234"/>
      <c r="V319" s="234"/>
      <c r="W319" s="234"/>
      <c r="X319" s="234"/>
    </row>
    <row r="320" spans="1:24" ht="16.5" hidden="1" customHeight="1" x14ac:dyDescent="0.25">
      <c r="A320" s="291"/>
      <c r="B320" s="292"/>
      <c r="C320" s="293"/>
      <c r="D320" s="293"/>
      <c r="E320" s="293"/>
      <c r="F320" s="293"/>
      <c r="G320" s="293"/>
      <c r="H320" s="293"/>
      <c r="I320" s="219" t="e">
        <f t="shared" si="10"/>
        <v>#DIV/0!</v>
      </c>
      <c r="J320" s="290"/>
      <c r="K320" s="290"/>
      <c r="L320" s="290"/>
      <c r="M320" s="290"/>
      <c r="N320" s="290"/>
      <c r="O320" s="234"/>
      <c r="P320" s="234"/>
      <c r="Q320" s="234"/>
      <c r="R320" s="234"/>
      <c r="S320" s="234"/>
      <c r="T320" s="234"/>
      <c r="U320" s="234"/>
      <c r="V320" s="234"/>
      <c r="W320" s="234"/>
      <c r="X320" s="234"/>
    </row>
    <row r="321" spans="1:24" ht="16.5" hidden="1" customHeight="1" x14ac:dyDescent="0.25">
      <c r="A321" s="291"/>
      <c r="B321" s="292"/>
      <c r="C321" s="293"/>
      <c r="D321" s="293"/>
      <c r="E321" s="293"/>
      <c r="F321" s="293"/>
      <c r="G321" s="293"/>
      <c r="H321" s="293"/>
      <c r="I321" s="219" t="e">
        <f t="shared" si="10"/>
        <v>#DIV/0!</v>
      </c>
      <c r="J321" s="290"/>
      <c r="K321" s="290"/>
      <c r="L321" s="290"/>
      <c r="M321" s="290"/>
      <c r="N321" s="290"/>
      <c r="O321" s="234"/>
      <c r="P321" s="234"/>
      <c r="Q321" s="234"/>
      <c r="R321" s="234"/>
      <c r="S321" s="234"/>
      <c r="T321" s="234"/>
      <c r="U321" s="234"/>
      <c r="V321" s="234"/>
      <c r="W321" s="234"/>
      <c r="X321" s="234"/>
    </row>
    <row r="322" spans="1:24" ht="16.5" hidden="1" customHeight="1" x14ac:dyDescent="0.25">
      <c r="A322" s="291"/>
      <c r="B322" s="292"/>
      <c r="C322" s="293"/>
      <c r="D322" s="293"/>
      <c r="E322" s="293"/>
      <c r="F322" s="293"/>
      <c r="G322" s="293"/>
      <c r="H322" s="293"/>
      <c r="I322" s="219" t="e">
        <f t="shared" si="10"/>
        <v>#DIV/0!</v>
      </c>
      <c r="J322" s="290"/>
      <c r="K322" s="290"/>
      <c r="L322" s="290"/>
      <c r="M322" s="290"/>
      <c r="N322" s="290"/>
      <c r="O322" s="234"/>
      <c r="P322" s="234"/>
      <c r="Q322" s="234"/>
      <c r="R322" s="234"/>
      <c r="S322" s="234"/>
      <c r="T322" s="234"/>
      <c r="U322" s="234"/>
      <c r="V322" s="234"/>
      <c r="W322" s="234"/>
      <c r="X322" s="234"/>
    </row>
    <row r="323" spans="1:24" ht="16.5" hidden="1" customHeight="1" x14ac:dyDescent="0.25">
      <c r="A323" s="291"/>
      <c r="B323" s="292"/>
      <c r="C323" s="293"/>
      <c r="D323" s="293"/>
      <c r="E323" s="293"/>
      <c r="F323" s="293"/>
      <c r="G323" s="293"/>
      <c r="H323" s="293"/>
      <c r="I323" s="219" t="e">
        <f t="shared" si="10"/>
        <v>#DIV/0!</v>
      </c>
      <c r="J323" s="290"/>
      <c r="K323" s="290"/>
      <c r="L323" s="290"/>
      <c r="M323" s="290"/>
      <c r="N323" s="290"/>
      <c r="O323" s="234"/>
      <c r="P323" s="234"/>
      <c r="Q323" s="234"/>
      <c r="R323" s="234"/>
      <c r="S323" s="234"/>
      <c r="T323" s="234"/>
      <c r="U323" s="234"/>
      <c r="V323" s="234"/>
      <c r="W323" s="234"/>
      <c r="X323" s="234"/>
    </row>
    <row r="324" spans="1:24" ht="16.5" hidden="1" customHeight="1" x14ac:dyDescent="0.25">
      <c r="A324" s="291"/>
      <c r="B324" s="292"/>
      <c r="C324" s="293"/>
      <c r="D324" s="293"/>
      <c r="E324" s="293"/>
      <c r="F324" s="293"/>
      <c r="G324" s="293"/>
      <c r="H324" s="293"/>
      <c r="I324" s="219" t="e">
        <f t="shared" si="10"/>
        <v>#DIV/0!</v>
      </c>
      <c r="J324" s="290"/>
      <c r="K324" s="290"/>
      <c r="L324" s="290"/>
      <c r="M324" s="290"/>
      <c r="N324" s="290"/>
      <c r="O324" s="234"/>
      <c r="P324" s="234"/>
      <c r="Q324" s="234"/>
      <c r="R324" s="234"/>
      <c r="S324" s="234"/>
      <c r="T324" s="234"/>
      <c r="U324" s="234"/>
      <c r="V324" s="234"/>
      <c r="W324" s="234"/>
      <c r="X324" s="234"/>
    </row>
    <row r="325" spans="1:24" ht="16.5" hidden="1" customHeight="1" x14ac:dyDescent="0.25">
      <c r="A325" s="291"/>
      <c r="B325" s="292"/>
      <c r="C325" s="293"/>
      <c r="D325" s="293"/>
      <c r="E325" s="293"/>
      <c r="F325" s="293"/>
      <c r="G325" s="293"/>
      <c r="H325" s="293"/>
      <c r="I325" s="219" t="e">
        <f t="shared" si="10"/>
        <v>#DIV/0!</v>
      </c>
      <c r="J325" s="290"/>
      <c r="K325" s="290"/>
      <c r="L325" s="290"/>
      <c r="M325" s="290"/>
      <c r="N325" s="290"/>
      <c r="O325" s="234"/>
      <c r="P325" s="234"/>
      <c r="Q325" s="234"/>
      <c r="R325" s="234"/>
      <c r="S325" s="234"/>
      <c r="T325" s="234"/>
      <c r="U325" s="234"/>
      <c r="V325" s="234"/>
      <c r="W325" s="234"/>
      <c r="X325" s="234"/>
    </row>
    <row r="326" spans="1:24" ht="16.5" hidden="1" customHeight="1" x14ac:dyDescent="0.25">
      <c r="A326" s="291"/>
      <c r="B326" s="292"/>
      <c r="C326" s="293"/>
      <c r="D326" s="293"/>
      <c r="E326" s="293"/>
      <c r="F326" s="293"/>
      <c r="G326" s="293"/>
      <c r="H326" s="293"/>
      <c r="I326" s="219" t="e">
        <f t="shared" si="10"/>
        <v>#DIV/0!</v>
      </c>
      <c r="J326" s="290"/>
      <c r="K326" s="290"/>
      <c r="L326" s="290"/>
      <c r="M326" s="290"/>
      <c r="N326" s="290"/>
      <c r="O326" s="234"/>
      <c r="P326" s="234"/>
      <c r="Q326" s="234"/>
      <c r="R326" s="234"/>
      <c r="S326" s="234"/>
      <c r="T326" s="234"/>
      <c r="U326" s="234"/>
      <c r="V326" s="234"/>
      <c r="W326" s="234"/>
      <c r="X326" s="234"/>
    </row>
    <row r="327" spans="1:24" ht="16.5" hidden="1" customHeight="1" x14ac:dyDescent="0.25">
      <c r="A327" s="291"/>
      <c r="B327" s="292"/>
      <c r="C327" s="293"/>
      <c r="D327" s="293"/>
      <c r="E327" s="293"/>
      <c r="F327" s="293"/>
      <c r="G327" s="293"/>
      <c r="H327" s="293"/>
      <c r="I327" s="219" t="e">
        <f t="shared" si="10"/>
        <v>#DIV/0!</v>
      </c>
      <c r="J327" s="290"/>
      <c r="K327" s="290"/>
      <c r="L327" s="290"/>
      <c r="M327" s="290"/>
      <c r="N327" s="290"/>
      <c r="O327" s="234"/>
      <c r="P327" s="234"/>
      <c r="Q327" s="234"/>
      <c r="R327" s="234"/>
      <c r="S327" s="234"/>
      <c r="T327" s="234"/>
      <c r="U327" s="234"/>
      <c r="V327" s="234"/>
      <c r="W327" s="234"/>
      <c r="X327" s="234"/>
    </row>
    <row r="328" spans="1:24" ht="16.5" hidden="1" customHeight="1" x14ac:dyDescent="0.25">
      <c r="A328" s="291"/>
      <c r="B328" s="292"/>
      <c r="C328" s="293"/>
      <c r="D328" s="293"/>
      <c r="E328" s="293"/>
      <c r="F328" s="293"/>
      <c r="G328" s="293"/>
      <c r="H328" s="293"/>
      <c r="I328" s="219" t="e">
        <f t="shared" si="10"/>
        <v>#DIV/0!</v>
      </c>
      <c r="J328" s="290"/>
      <c r="K328" s="290"/>
      <c r="L328" s="290"/>
      <c r="M328" s="290"/>
      <c r="N328" s="290"/>
      <c r="O328" s="234"/>
      <c r="P328" s="234"/>
      <c r="Q328" s="234"/>
      <c r="R328" s="234"/>
      <c r="S328" s="234"/>
      <c r="T328" s="234"/>
      <c r="U328" s="234"/>
      <c r="V328" s="234"/>
      <c r="W328" s="234"/>
      <c r="X328" s="234"/>
    </row>
    <row r="329" spans="1:24" ht="16.5" customHeight="1" x14ac:dyDescent="0.25">
      <c r="A329" s="234"/>
      <c r="B329" s="234"/>
      <c r="C329" s="234"/>
      <c r="D329" s="234"/>
      <c r="E329" s="234"/>
      <c r="F329" s="234"/>
      <c r="G329" s="234"/>
      <c r="H329" s="234"/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4"/>
      <c r="W329" s="234"/>
      <c r="X329" s="234"/>
    </row>
    <row r="330" spans="1:24" ht="16.5" customHeight="1" x14ac:dyDescent="0.25">
      <c r="A330" s="234"/>
      <c r="B330" s="234"/>
      <c r="C330" s="234"/>
      <c r="D330" s="234"/>
      <c r="E330" s="234"/>
      <c r="F330" s="234"/>
      <c r="G330" s="234"/>
      <c r="H330" s="234"/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4"/>
      <c r="W330" s="234"/>
      <c r="X330" s="234"/>
    </row>
    <row r="331" spans="1:24" ht="16.5" customHeight="1" x14ac:dyDescent="0.25">
      <c r="A331" s="234"/>
      <c r="B331" s="234"/>
      <c r="C331" s="234"/>
      <c r="D331" s="234"/>
      <c r="E331" s="234"/>
      <c r="F331" s="234"/>
      <c r="G331" s="234"/>
      <c r="H331" s="234"/>
      <c r="I331" s="234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4"/>
      <c r="W331" s="234"/>
      <c r="X331" s="234"/>
    </row>
    <row r="332" spans="1:24" ht="16.5" customHeight="1" x14ac:dyDescent="0.25">
      <c r="A332" s="234"/>
      <c r="B332" s="234"/>
      <c r="C332" s="234"/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4"/>
      <c r="W332" s="234"/>
      <c r="X332" s="234"/>
    </row>
    <row r="333" spans="1:24" ht="16.5" customHeight="1" x14ac:dyDescent="0.25">
      <c r="A333" s="234"/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4"/>
      <c r="W333" s="234"/>
      <c r="X333" s="234"/>
    </row>
    <row r="334" spans="1:24" ht="16.5" customHeight="1" x14ac:dyDescent="0.25">
      <c r="A334" s="234"/>
      <c r="B334" s="234"/>
      <c r="C334" s="234"/>
      <c r="D334" s="234"/>
      <c r="E334" s="234"/>
      <c r="F334" s="234"/>
      <c r="G334" s="234"/>
      <c r="H334" s="234"/>
      <c r="I334" s="234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4"/>
      <c r="W334" s="234"/>
      <c r="X334" s="234"/>
    </row>
    <row r="335" spans="1:24" ht="16.5" customHeight="1" x14ac:dyDescent="0.25">
      <c r="A335" s="234"/>
      <c r="B335" s="234"/>
      <c r="C335" s="234"/>
      <c r="D335" s="234"/>
      <c r="E335" s="234"/>
      <c r="F335" s="234"/>
      <c r="G335" s="234"/>
      <c r="H335" s="234"/>
      <c r="I335" s="234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4"/>
      <c r="W335" s="234"/>
      <c r="X335" s="234"/>
    </row>
    <row r="336" spans="1:24" ht="16.5" customHeight="1" x14ac:dyDescent="0.25">
      <c r="A336" s="234"/>
      <c r="B336" s="234"/>
      <c r="C336" s="234"/>
      <c r="D336" s="234"/>
      <c r="E336" s="234"/>
      <c r="F336" s="234"/>
      <c r="G336" s="234"/>
      <c r="H336" s="234"/>
      <c r="I336" s="234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4"/>
      <c r="W336" s="234"/>
      <c r="X336" s="234"/>
    </row>
    <row r="337" spans="1:24" ht="16.5" customHeight="1" x14ac:dyDescent="0.25">
      <c r="A337" s="234"/>
      <c r="B337" s="234"/>
      <c r="C337" s="234"/>
      <c r="D337" s="234"/>
      <c r="E337" s="234"/>
      <c r="F337" s="234"/>
      <c r="G337" s="234"/>
      <c r="H337" s="234"/>
      <c r="I337" s="234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4"/>
      <c r="W337" s="234"/>
      <c r="X337" s="234"/>
    </row>
    <row r="338" spans="1:24" ht="16.5" customHeight="1" x14ac:dyDescent="0.25">
      <c r="A338" s="234"/>
      <c r="B338" s="234"/>
      <c r="C338" s="234"/>
      <c r="D338" s="234"/>
      <c r="E338" s="234"/>
      <c r="F338" s="234"/>
      <c r="G338" s="234"/>
      <c r="H338" s="234"/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4"/>
      <c r="W338" s="234"/>
      <c r="X338" s="234"/>
    </row>
    <row r="339" spans="1:24" ht="16.5" customHeight="1" x14ac:dyDescent="0.25">
      <c r="A339" s="234"/>
      <c r="B339" s="234"/>
      <c r="C339" s="234"/>
      <c r="D339" s="234"/>
      <c r="E339" s="234"/>
      <c r="F339" s="234"/>
      <c r="G339" s="234"/>
      <c r="H339" s="234"/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4"/>
      <c r="W339" s="234"/>
      <c r="X339" s="234"/>
    </row>
    <row r="340" spans="1:24" ht="16.5" customHeight="1" x14ac:dyDescent="0.25">
      <c r="A340" s="234"/>
      <c r="B340" s="234"/>
      <c r="C340" s="234"/>
      <c r="D340" s="234"/>
      <c r="E340" s="234"/>
      <c r="F340" s="234"/>
      <c r="G340" s="234"/>
      <c r="H340" s="234"/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4"/>
      <c r="W340" s="234"/>
      <c r="X340" s="234"/>
    </row>
    <row r="341" spans="1:24" ht="16.5" customHeight="1" x14ac:dyDescent="0.25">
      <c r="A341" s="234"/>
      <c r="B341" s="234"/>
      <c r="C341" s="234"/>
      <c r="D341" s="234"/>
      <c r="E341" s="234"/>
      <c r="F341" s="234"/>
      <c r="G341" s="234"/>
      <c r="H341" s="234"/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4"/>
      <c r="W341" s="234"/>
      <c r="X341" s="234"/>
    </row>
    <row r="342" spans="1:24" ht="16.5" customHeight="1" x14ac:dyDescent="0.25">
      <c r="A342" s="234"/>
      <c r="B342" s="234"/>
      <c r="C342" s="234"/>
      <c r="D342" s="234"/>
      <c r="E342" s="234"/>
      <c r="F342" s="234"/>
      <c r="G342" s="234"/>
      <c r="H342" s="234"/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4"/>
      <c r="W342" s="234"/>
      <c r="X342" s="234"/>
    </row>
    <row r="343" spans="1:24" ht="16.5" customHeight="1" x14ac:dyDescent="0.25">
      <c r="A343" s="234"/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4"/>
      <c r="W343" s="234"/>
      <c r="X343" s="234"/>
    </row>
    <row r="344" spans="1:24" ht="16.5" customHeight="1" x14ac:dyDescent="0.25">
      <c r="A344" s="234"/>
      <c r="B344" s="234"/>
      <c r="C344" s="234"/>
      <c r="D344" s="234"/>
      <c r="E344" s="234"/>
      <c r="F344" s="234"/>
      <c r="G344" s="234"/>
      <c r="H344" s="234"/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4"/>
      <c r="W344" s="234"/>
      <c r="X344" s="234"/>
    </row>
    <row r="345" spans="1:24" ht="16.5" customHeight="1" x14ac:dyDescent="0.25">
      <c r="A345" s="234"/>
      <c r="B345" s="234"/>
      <c r="C345" s="234"/>
      <c r="D345" s="234"/>
      <c r="E345" s="234"/>
      <c r="F345" s="234"/>
      <c r="G345" s="234"/>
      <c r="H345" s="234"/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4"/>
      <c r="W345" s="234"/>
      <c r="X345" s="234"/>
    </row>
    <row r="346" spans="1:24" ht="16.5" customHeight="1" x14ac:dyDescent="0.25">
      <c r="A346" s="234"/>
      <c r="B346" s="234"/>
      <c r="C346" s="234"/>
      <c r="D346" s="234"/>
      <c r="E346" s="234"/>
      <c r="F346" s="234"/>
      <c r="G346" s="234"/>
      <c r="H346" s="234"/>
      <c r="I346" s="234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4"/>
      <c r="V346" s="234"/>
      <c r="W346" s="234"/>
      <c r="X346" s="234"/>
    </row>
    <row r="347" spans="1:24" ht="16.5" customHeight="1" x14ac:dyDescent="0.25">
      <c r="A347" s="234"/>
      <c r="B347" s="234"/>
      <c r="C347" s="234"/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4"/>
      <c r="W347" s="234"/>
      <c r="X347" s="234"/>
    </row>
    <row r="348" spans="1:24" ht="16.5" customHeight="1" x14ac:dyDescent="0.25">
      <c r="A348" s="234"/>
      <c r="B348" s="234"/>
      <c r="C348" s="234"/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4"/>
      <c r="W348" s="234"/>
      <c r="X348" s="234"/>
    </row>
    <row r="349" spans="1:24" ht="16.5" customHeight="1" x14ac:dyDescent="0.25">
      <c r="A349" s="234"/>
      <c r="B349" s="234"/>
      <c r="C349" s="234"/>
      <c r="D349" s="234"/>
      <c r="E349" s="234"/>
      <c r="F349" s="234"/>
      <c r="G349" s="234"/>
      <c r="H349" s="234"/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4"/>
      <c r="W349" s="234"/>
      <c r="X349" s="234"/>
    </row>
    <row r="350" spans="1:24" ht="16.5" customHeight="1" x14ac:dyDescent="0.25">
      <c r="A350" s="234"/>
      <c r="B350" s="234"/>
      <c r="C350" s="234"/>
      <c r="D350" s="234"/>
      <c r="E350" s="234"/>
      <c r="F350" s="234"/>
      <c r="G350" s="234"/>
      <c r="H350" s="234"/>
      <c r="I350" s="234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4"/>
      <c r="W350" s="234"/>
      <c r="X350" s="234"/>
    </row>
    <row r="351" spans="1:24" ht="16.5" customHeight="1" x14ac:dyDescent="0.25">
      <c r="A351" s="234"/>
      <c r="B351" s="234"/>
      <c r="C351" s="234"/>
      <c r="D351" s="234"/>
      <c r="E351" s="234"/>
      <c r="F351" s="234"/>
      <c r="G351" s="234"/>
      <c r="H351" s="234"/>
      <c r="I351" s="234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4"/>
      <c r="V351" s="234"/>
      <c r="W351" s="234"/>
      <c r="X351" s="234"/>
    </row>
    <row r="352" spans="1:24" ht="16.5" customHeight="1" x14ac:dyDescent="0.25">
      <c r="A352" s="234"/>
      <c r="B352" s="234"/>
      <c r="C352" s="234"/>
      <c r="D352" s="234"/>
      <c r="E352" s="234"/>
      <c r="F352" s="234"/>
      <c r="G352" s="234"/>
      <c r="H352" s="234"/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4"/>
      <c r="W352" s="234"/>
      <c r="X352" s="234"/>
    </row>
    <row r="353" spans="1:24" ht="16.5" customHeight="1" x14ac:dyDescent="0.25">
      <c r="A353" s="234"/>
      <c r="B353" s="234"/>
      <c r="C353" s="234"/>
      <c r="D353" s="234"/>
      <c r="E353" s="234"/>
      <c r="F353" s="234"/>
      <c r="G353" s="234"/>
      <c r="H353" s="234"/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4"/>
      <c r="W353" s="234"/>
      <c r="X353" s="234"/>
    </row>
    <row r="354" spans="1:24" ht="16.5" customHeight="1" x14ac:dyDescent="0.25">
      <c r="A354" s="234"/>
      <c r="B354" s="234"/>
      <c r="C354" s="234"/>
      <c r="D354" s="234"/>
      <c r="E354" s="234"/>
      <c r="F354" s="234"/>
      <c r="G354" s="234"/>
      <c r="H354" s="234"/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4"/>
      <c r="W354" s="234"/>
      <c r="X354" s="234"/>
    </row>
    <row r="355" spans="1:24" ht="16.5" customHeight="1" x14ac:dyDescent="0.25">
      <c r="A355" s="234"/>
      <c r="B355" s="234"/>
      <c r="C355" s="234"/>
      <c r="D355" s="234"/>
      <c r="E355" s="234"/>
      <c r="F355" s="234"/>
      <c r="G355" s="234"/>
      <c r="H355" s="234"/>
      <c r="I355" s="234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4"/>
      <c r="V355" s="234"/>
      <c r="W355" s="234"/>
      <c r="X355" s="234"/>
    </row>
    <row r="356" spans="1:24" ht="16.5" customHeight="1" x14ac:dyDescent="0.25">
      <c r="A356" s="234"/>
      <c r="B356" s="234"/>
      <c r="C356" s="234"/>
      <c r="D356" s="234"/>
      <c r="E356" s="234"/>
      <c r="F356" s="234"/>
      <c r="G356" s="234"/>
      <c r="H356" s="234"/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4"/>
      <c r="W356" s="234"/>
      <c r="X356" s="234"/>
    </row>
    <row r="357" spans="1:24" ht="16.5" customHeight="1" x14ac:dyDescent="0.25">
      <c r="A357" s="234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4"/>
      <c r="W357" s="234"/>
      <c r="X357" s="234"/>
    </row>
    <row r="358" spans="1:24" ht="16.5" customHeight="1" x14ac:dyDescent="0.25">
      <c r="A358" s="234"/>
      <c r="B358" s="234"/>
      <c r="C358" s="234"/>
      <c r="D358" s="234"/>
      <c r="E358" s="234"/>
      <c r="F358" s="234"/>
      <c r="G358" s="234"/>
      <c r="H358" s="234"/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4"/>
      <c r="W358" s="234"/>
      <c r="X358" s="234"/>
    </row>
    <row r="359" spans="1:24" ht="16.5" customHeight="1" x14ac:dyDescent="0.25">
      <c r="A359" s="234"/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4"/>
      <c r="V359" s="234"/>
      <c r="W359" s="234"/>
      <c r="X359" s="234"/>
    </row>
    <row r="360" spans="1:24" ht="16.5" customHeight="1" x14ac:dyDescent="0.25">
      <c r="A360" s="234"/>
      <c r="B360" s="234"/>
      <c r="C360" s="234"/>
      <c r="D360" s="234"/>
      <c r="E360" s="234"/>
      <c r="F360" s="234"/>
      <c r="G360" s="234"/>
      <c r="H360" s="234"/>
      <c r="I360" s="234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4"/>
      <c r="V360" s="234"/>
      <c r="W360" s="234"/>
      <c r="X360" s="234"/>
    </row>
    <row r="361" spans="1:24" ht="16.5" customHeight="1" x14ac:dyDescent="0.25">
      <c r="A361" s="234"/>
      <c r="B361" s="234"/>
      <c r="C361" s="234"/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4"/>
      <c r="W361" s="234"/>
      <c r="X361" s="234"/>
    </row>
    <row r="362" spans="1:24" ht="16.5" customHeight="1" x14ac:dyDescent="0.25">
      <c r="A362" s="234"/>
      <c r="B362" s="234"/>
      <c r="C362" s="234"/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4"/>
      <c r="W362" s="234"/>
      <c r="X362" s="234"/>
    </row>
    <row r="363" spans="1:24" ht="16.5" customHeight="1" x14ac:dyDescent="0.25">
      <c r="A363" s="234"/>
      <c r="B363" s="234"/>
      <c r="C363" s="234"/>
      <c r="D363" s="234"/>
      <c r="E363" s="234"/>
      <c r="F363" s="234"/>
      <c r="G363" s="234"/>
      <c r="H363" s="234"/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4"/>
      <c r="W363" s="234"/>
      <c r="X363" s="234"/>
    </row>
    <row r="364" spans="1:24" ht="16.5" customHeight="1" x14ac:dyDescent="0.25">
      <c r="A364" s="234"/>
      <c r="B364" s="234"/>
      <c r="C364" s="234"/>
      <c r="D364" s="234"/>
      <c r="E364" s="234"/>
      <c r="F364" s="234"/>
      <c r="G364" s="234"/>
      <c r="H364" s="234"/>
      <c r="I364" s="234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4"/>
      <c r="V364" s="234"/>
      <c r="W364" s="234"/>
      <c r="X364" s="234"/>
    </row>
    <row r="365" spans="1:24" ht="16.5" customHeight="1" x14ac:dyDescent="0.25">
      <c r="A365" s="234"/>
      <c r="B365" s="234"/>
      <c r="C365" s="234"/>
      <c r="D365" s="234"/>
      <c r="E365" s="234"/>
      <c r="F365" s="234"/>
      <c r="G365" s="234"/>
      <c r="H365" s="234"/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4"/>
      <c r="V365" s="234"/>
      <c r="W365" s="234"/>
      <c r="X365" s="234"/>
    </row>
    <row r="366" spans="1:24" ht="16.5" customHeight="1" x14ac:dyDescent="0.25">
      <c r="A366" s="234"/>
      <c r="B366" s="234"/>
      <c r="C366" s="234"/>
      <c r="D366" s="234"/>
      <c r="E366" s="234"/>
      <c r="F366" s="234"/>
      <c r="G366" s="234"/>
      <c r="H366" s="234"/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4"/>
      <c r="W366" s="234"/>
      <c r="X366" s="234"/>
    </row>
    <row r="367" spans="1:24" ht="16.5" customHeight="1" x14ac:dyDescent="0.25">
      <c r="A367" s="234"/>
      <c r="B367" s="234"/>
      <c r="C367" s="234"/>
      <c r="D367" s="234"/>
      <c r="E367" s="234"/>
      <c r="F367" s="234"/>
      <c r="G367" s="234"/>
      <c r="H367" s="234"/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4"/>
      <c r="W367" s="234"/>
      <c r="X367" s="234"/>
    </row>
    <row r="368" spans="1:24" ht="16.5" customHeight="1" x14ac:dyDescent="0.25">
      <c r="A368" s="234"/>
      <c r="B368" s="234"/>
      <c r="C368" s="234"/>
      <c r="D368" s="234"/>
      <c r="E368" s="234"/>
      <c r="F368" s="234"/>
      <c r="G368" s="234"/>
      <c r="H368" s="234"/>
      <c r="I368" s="234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4"/>
      <c r="V368" s="234"/>
      <c r="W368" s="234"/>
      <c r="X368" s="234"/>
    </row>
    <row r="369" spans="1:24" ht="16.5" customHeight="1" x14ac:dyDescent="0.25">
      <c r="A369" s="234"/>
      <c r="B369" s="234"/>
      <c r="C369" s="234"/>
      <c r="D369" s="234"/>
      <c r="E369" s="234"/>
      <c r="F369" s="234"/>
      <c r="G369" s="234"/>
      <c r="H369" s="234"/>
      <c r="I369" s="234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4"/>
      <c r="V369" s="234"/>
      <c r="W369" s="234"/>
      <c r="X369" s="234"/>
    </row>
    <row r="370" spans="1:24" ht="16.5" customHeight="1" x14ac:dyDescent="0.25">
      <c r="A370" s="234"/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4"/>
      <c r="W370" s="234"/>
      <c r="X370" s="234"/>
    </row>
    <row r="371" spans="1:24" ht="16.5" customHeight="1" x14ac:dyDescent="0.25">
      <c r="A371" s="234"/>
      <c r="B371" s="234"/>
      <c r="C371" s="234"/>
      <c r="D371" s="234"/>
      <c r="E371" s="234"/>
      <c r="F371" s="234"/>
      <c r="G371" s="234"/>
      <c r="H371" s="234"/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4"/>
      <c r="W371" s="234"/>
      <c r="X371" s="234"/>
    </row>
    <row r="372" spans="1:24" ht="16.5" customHeight="1" x14ac:dyDescent="0.25">
      <c r="A372" s="234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4"/>
      <c r="W372" s="234"/>
      <c r="X372" s="234"/>
    </row>
    <row r="373" spans="1:24" ht="16.5" customHeight="1" x14ac:dyDescent="0.25">
      <c r="A373" s="234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4"/>
      <c r="W373" s="234"/>
      <c r="X373" s="234"/>
    </row>
    <row r="374" spans="1:24" ht="16.5" customHeight="1" x14ac:dyDescent="0.25">
      <c r="A374" s="234"/>
      <c r="B374" s="234"/>
      <c r="C374" s="234"/>
      <c r="D374" s="234"/>
      <c r="E374" s="234"/>
      <c r="F374" s="234"/>
      <c r="G374" s="234"/>
      <c r="H374" s="234"/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4"/>
      <c r="W374" s="234"/>
      <c r="X374" s="234"/>
    </row>
    <row r="375" spans="1:24" ht="16.5" customHeight="1" x14ac:dyDescent="0.25">
      <c r="A375" s="234"/>
      <c r="B375" s="234"/>
      <c r="C375" s="234"/>
      <c r="D375" s="234"/>
      <c r="E375" s="234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4"/>
      <c r="W375" s="234"/>
      <c r="X375" s="234"/>
    </row>
    <row r="376" spans="1:24" ht="16.5" customHeight="1" x14ac:dyDescent="0.25">
      <c r="A376" s="234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4"/>
      <c r="W376" s="234"/>
      <c r="X376" s="234"/>
    </row>
    <row r="377" spans="1:24" ht="16.5" customHeight="1" x14ac:dyDescent="0.25">
      <c r="A377" s="234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4"/>
      <c r="W377" s="234"/>
      <c r="X377" s="234"/>
    </row>
    <row r="378" spans="1:24" ht="16.5" customHeight="1" x14ac:dyDescent="0.25">
      <c r="A378" s="234"/>
      <c r="B378" s="234"/>
      <c r="C378" s="234"/>
      <c r="D378" s="234"/>
      <c r="E378" s="234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4"/>
      <c r="W378" s="234"/>
      <c r="X378" s="234"/>
    </row>
    <row r="379" spans="1:24" ht="16.5" customHeight="1" x14ac:dyDescent="0.25">
      <c r="A379" s="234"/>
      <c r="B379" s="234"/>
      <c r="C379" s="234"/>
      <c r="D379" s="234"/>
      <c r="E379" s="234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4"/>
      <c r="W379" s="234"/>
      <c r="X379" s="234"/>
    </row>
    <row r="380" spans="1:24" ht="16.5" customHeight="1" x14ac:dyDescent="0.25">
      <c r="A380" s="234"/>
      <c r="B380" s="234"/>
      <c r="C380" s="234"/>
      <c r="D380" s="234"/>
      <c r="E380" s="234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4"/>
      <c r="W380" s="234"/>
      <c r="X380" s="234"/>
    </row>
    <row r="381" spans="1:24" ht="16.5" customHeight="1" x14ac:dyDescent="0.25">
      <c r="A381" s="234"/>
      <c r="B381" s="234"/>
      <c r="C381" s="234"/>
      <c r="D381" s="234"/>
      <c r="E381" s="234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4"/>
      <c r="W381" s="234"/>
      <c r="X381" s="234"/>
    </row>
    <row r="382" spans="1:24" ht="16.5" customHeight="1" x14ac:dyDescent="0.25">
      <c r="A382" s="234"/>
      <c r="B382" s="234"/>
      <c r="C382" s="234"/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4"/>
      <c r="W382" s="234"/>
      <c r="X382" s="234"/>
    </row>
    <row r="383" spans="1:24" ht="16.5" customHeight="1" x14ac:dyDescent="0.25">
      <c r="A383" s="234"/>
      <c r="B383" s="234"/>
      <c r="C383" s="234"/>
      <c r="D383" s="234"/>
      <c r="E383" s="234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4"/>
      <c r="W383" s="234"/>
      <c r="X383" s="234"/>
    </row>
    <row r="384" spans="1:24" ht="16.5" customHeight="1" x14ac:dyDescent="0.25">
      <c r="A384" s="234"/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4"/>
      <c r="W384" s="234"/>
      <c r="X384" s="234"/>
    </row>
    <row r="385" spans="1:24" ht="16.5" customHeight="1" x14ac:dyDescent="0.25">
      <c r="A385" s="234"/>
      <c r="B385" s="234"/>
      <c r="C385" s="234"/>
      <c r="D385" s="234"/>
      <c r="E385" s="234"/>
      <c r="F385" s="234"/>
      <c r="G385" s="234"/>
      <c r="H385" s="234"/>
      <c r="I385" s="234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4"/>
      <c r="V385" s="234"/>
      <c r="W385" s="234"/>
      <c r="X385" s="234"/>
    </row>
    <row r="386" spans="1:24" ht="16.5" customHeight="1" x14ac:dyDescent="0.25">
      <c r="A386" s="234"/>
      <c r="B386" s="234"/>
      <c r="C386" s="234"/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4"/>
      <c r="V386" s="234"/>
      <c r="W386" s="234"/>
      <c r="X386" s="234"/>
    </row>
    <row r="387" spans="1:24" ht="16.5" customHeight="1" x14ac:dyDescent="0.25">
      <c r="A387" s="234"/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4"/>
      <c r="V387" s="234"/>
      <c r="W387" s="234"/>
      <c r="X387" s="234"/>
    </row>
    <row r="388" spans="1:24" ht="16.5" customHeight="1" x14ac:dyDescent="0.25">
      <c r="A388" s="234"/>
      <c r="B388" s="234"/>
      <c r="C388" s="234"/>
      <c r="D388" s="234"/>
      <c r="E388" s="234"/>
      <c r="F388" s="234"/>
      <c r="G388" s="234"/>
      <c r="H388" s="234"/>
      <c r="I388" s="234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4"/>
      <c r="V388" s="234"/>
      <c r="W388" s="234"/>
      <c r="X388" s="234"/>
    </row>
    <row r="389" spans="1:24" ht="16.5" customHeight="1" x14ac:dyDescent="0.25">
      <c r="A389" s="234"/>
      <c r="B389" s="234"/>
      <c r="C389" s="234"/>
      <c r="D389" s="234"/>
      <c r="E389" s="234"/>
      <c r="F389" s="234"/>
      <c r="G389" s="234"/>
      <c r="H389" s="234"/>
      <c r="I389" s="234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4"/>
      <c r="V389" s="234"/>
      <c r="W389" s="234"/>
      <c r="X389" s="234"/>
    </row>
    <row r="390" spans="1:24" ht="16.5" customHeight="1" x14ac:dyDescent="0.25">
      <c r="A390" s="234"/>
      <c r="B390" s="234"/>
      <c r="C390" s="234"/>
      <c r="D390" s="234"/>
      <c r="E390" s="234"/>
      <c r="F390" s="234"/>
      <c r="G390" s="234"/>
      <c r="H390" s="234"/>
      <c r="I390" s="234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4"/>
      <c r="V390" s="234"/>
      <c r="W390" s="234"/>
      <c r="X390" s="234"/>
    </row>
    <row r="391" spans="1:24" ht="16.5" customHeight="1" x14ac:dyDescent="0.25">
      <c r="A391" s="234"/>
      <c r="B391" s="234"/>
      <c r="C391" s="234"/>
      <c r="D391" s="234"/>
      <c r="E391" s="234"/>
      <c r="F391" s="234"/>
      <c r="G391" s="234"/>
      <c r="H391" s="234"/>
      <c r="I391" s="234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4"/>
      <c r="V391" s="234"/>
      <c r="W391" s="234"/>
      <c r="X391" s="234"/>
    </row>
    <row r="392" spans="1:24" ht="16.5" customHeight="1" x14ac:dyDescent="0.25">
      <c r="A392" s="234"/>
      <c r="B392" s="234"/>
      <c r="C392" s="234"/>
      <c r="D392" s="234"/>
      <c r="E392" s="234"/>
      <c r="F392" s="234"/>
      <c r="G392" s="234"/>
      <c r="H392" s="234"/>
      <c r="I392" s="234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4"/>
      <c r="V392" s="234"/>
      <c r="W392" s="234"/>
      <c r="X392" s="234"/>
    </row>
    <row r="393" spans="1:24" ht="16.5" customHeight="1" x14ac:dyDescent="0.25">
      <c r="A393" s="234"/>
      <c r="B393" s="234"/>
      <c r="C393" s="234"/>
      <c r="D393" s="234"/>
      <c r="E393" s="234"/>
      <c r="F393" s="234"/>
      <c r="G393" s="234"/>
      <c r="H393" s="234"/>
      <c r="I393" s="234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4"/>
      <c r="V393" s="234"/>
      <c r="W393" s="234"/>
      <c r="X393" s="234"/>
    </row>
    <row r="394" spans="1:24" ht="16.5" customHeight="1" x14ac:dyDescent="0.25">
      <c r="A394" s="234"/>
      <c r="B394" s="234"/>
      <c r="C394" s="234"/>
      <c r="D394" s="234"/>
      <c r="E394" s="234"/>
      <c r="F394" s="234"/>
      <c r="G394" s="234"/>
      <c r="H394" s="234"/>
      <c r="I394" s="234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4"/>
      <c r="V394" s="234"/>
      <c r="W394" s="234"/>
      <c r="X394" s="234"/>
    </row>
    <row r="395" spans="1:24" ht="16.5" customHeight="1" x14ac:dyDescent="0.25">
      <c r="A395" s="234"/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4"/>
      <c r="V395" s="234"/>
      <c r="W395" s="234"/>
      <c r="X395" s="234"/>
    </row>
    <row r="396" spans="1:24" ht="16.5" customHeight="1" x14ac:dyDescent="0.25">
      <c r="A396" s="234"/>
      <c r="B396" s="234"/>
      <c r="C396" s="234"/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4"/>
      <c r="V396" s="234"/>
      <c r="W396" s="234"/>
      <c r="X396" s="234"/>
    </row>
    <row r="397" spans="1:24" ht="16.5" customHeight="1" x14ac:dyDescent="0.25">
      <c r="A397" s="234"/>
      <c r="B397" s="234"/>
      <c r="C397" s="234"/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4"/>
      <c r="V397" s="234"/>
      <c r="W397" s="234"/>
      <c r="X397" s="234"/>
    </row>
    <row r="398" spans="1:24" ht="16.5" customHeight="1" x14ac:dyDescent="0.25">
      <c r="A398" s="234"/>
      <c r="B398" s="234"/>
      <c r="C398" s="234"/>
      <c r="D398" s="234"/>
      <c r="E398" s="234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4"/>
      <c r="W398" s="234"/>
      <c r="X398" s="234"/>
    </row>
    <row r="399" spans="1:24" ht="16.5" customHeight="1" x14ac:dyDescent="0.25">
      <c r="A399" s="234"/>
      <c r="B399" s="234"/>
      <c r="C399" s="234"/>
      <c r="D399" s="234"/>
      <c r="E399" s="234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4"/>
      <c r="W399" s="234"/>
      <c r="X399" s="234"/>
    </row>
    <row r="400" spans="1:24" ht="16.5" customHeight="1" x14ac:dyDescent="0.25">
      <c r="A400" s="234"/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4"/>
      <c r="W400" s="234"/>
      <c r="X400" s="234"/>
    </row>
    <row r="401" spans="1:24" ht="16.5" customHeight="1" x14ac:dyDescent="0.25">
      <c r="A401" s="234"/>
      <c r="B401" s="234"/>
      <c r="C401" s="234"/>
      <c r="D401" s="234"/>
      <c r="E401" s="234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4"/>
      <c r="W401" s="234"/>
      <c r="X401" s="234"/>
    </row>
    <row r="402" spans="1:24" ht="16.5" customHeight="1" x14ac:dyDescent="0.25">
      <c r="A402" s="234"/>
      <c r="B402" s="234"/>
      <c r="C402" s="234"/>
      <c r="D402" s="234"/>
      <c r="E402" s="234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4"/>
      <c r="W402" s="234"/>
      <c r="X402" s="234"/>
    </row>
    <row r="403" spans="1:24" ht="16.5" customHeight="1" x14ac:dyDescent="0.25">
      <c r="A403" s="234"/>
      <c r="B403" s="234"/>
      <c r="C403" s="234"/>
      <c r="D403" s="234"/>
      <c r="E403" s="234"/>
      <c r="F403" s="234"/>
      <c r="G403" s="234"/>
      <c r="H403" s="234"/>
      <c r="I403" s="234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4"/>
      <c r="V403" s="234"/>
      <c r="W403" s="234"/>
      <c r="X403" s="234"/>
    </row>
    <row r="404" spans="1:24" ht="16.5" customHeight="1" x14ac:dyDescent="0.25">
      <c r="A404" s="234"/>
      <c r="B404" s="234"/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4"/>
      <c r="V404" s="234"/>
      <c r="W404" s="234"/>
      <c r="X404" s="234"/>
    </row>
    <row r="405" spans="1:24" ht="16.5" customHeight="1" x14ac:dyDescent="0.25">
      <c r="A405" s="234"/>
      <c r="B405" s="234"/>
      <c r="C405" s="234"/>
      <c r="D405" s="234"/>
      <c r="E405" s="234"/>
      <c r="F405" s="234"/>
      <c r="G405" s="234"/>
      <c r="H405" s="234"/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4"/>
      <c r="W405" s="234"/>
      <c r="X405" s="234"/>
    </row>
    <row r="406" spans="1:24" ht="16.5" customHeight="1" x14ac:dyDescent="0.25">
      <c r="A406" s="234"/>
      <c r="B406" s="234"/>
      <c r="C406" s="234"/>
      <c r="D406" s="234"/>
      <c r="E406" s="234"/>
      <c r="F406" s="234"/>
      <c r="G406" s="234"/>
      <c r="H406" s="234"/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4"/>
      <c r="W406" s="234"/>
      <c r="X406" s="234"/>
    </row>
    <row r="407" spans="1:24" ht="16.5" customHeight="1" x14ac:dyDescent="0.25">
      <c r="A407" s="234"/>
      <c r="B407" s="234"/>
      <c r="C407" s="234"/>
      <c r="D407" s="234"/>
      <c r="E407" s="234"/>
      <c r="F407" s="234"/>
      <c r="G407" s="234"/>
      <c r="H407" s="234"/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4"/>
      <c r="V407" s="234"/>
      <c r="W407" s="234"/>
      <c r="X407" s="234"/>
    </row>
    <row r="408" spans="1:24" ht="16.5" customHeight="1" x14ac:dyDescent="0.25">
      <c r="A408" s="234"/>
      <c r="B408" s="234"/>
      <c r="C408" s="234"/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4"/>
      <c r="W408" s="234"/>
      <c r="X408" s="234"/>
    </row>
    <row r="409" spans="1:24" ht="16.5" customHeight="1" x14ac:dyDescent="0.25">
      <c r="A409" s="234"/>
      <c r="B409" s="234"/>
      <c r="C409" s="234"/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4"/>
      <c r="V409" s="234"/>
      <c r="W409" s="234"/>
      <c r="X409" s="234"/>
    </row>
    <row r="410" spans="1:24" ht="16.5" customHeight="1" x14ac:dyDescent="0.25">
      <c r="A410" s="234"/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4"/>
      <c r="W410" s="234"/>
      <c r="X410" s="234"/>
    </row>
    <row r="411" spans="1:24" ht="16.5" customHeight="1" x14ac:dyDescent="0.25">
      <c r="A411" s="234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4"/>
      <c r="W411" s="234"/>
      <c r="X411" s="234"/>
    </row>
    <row r="412" spans="1:24" ht="16.5" customHeight="1" x14ac:dyDescent="0.25">
      <c r="A412" s="234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4"/>
      <c r="W412" s="234"/>
      <c r="X412" s="234"/>
    </row>
    <row r="413" spans="1:24" ht="16.5" customHeight="1" x14ac:dyDescent="0.25">
      <c r="A413" s="234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4"/>
      <c r="W413" s="234"/>
      <c r="X413" s="234"/>
    </row>
    <row r="414" spans="1:24" ht="16.5" customHeight="1" x14ac:dyDescent="0.25">
      <c r="A414" s="234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4"/>
      <c r="W414" s="234"/>
      <c r="X414" s="234"/>
    </row>
    <row r="415" spans="1:24" ht="16.5" customHeight="1" x14ac:dyDescent="0.25">
      <c r="A415" s="234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4"/>
      <c r="W415" s="234"/>
      <c r="X415" s="234"/>
    </row>
    <row r="416" spans="1:24" ht="16.5" customHeight="1" x14ac:dyDescent="0.25">
      <c r="A416" s="234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4"/>
      <c r="W416" s="234"/>
      <c r="X416" s="234"/>
    </row>
    <row r="417" spans="1:24" ht="16.5" customHeight="1" x14ac:dyDescent="0.25">
      <c r="A417" s="234"/>
      <c r="B417" s="234"/>
      <c r="C417" s="234"/>
      <c r="D417" s="234"/>
      <c r="E417" s="234"/>
      <c r="F417" s="234"/>
      <c r="G417" s="234"/>
      <c r="H417" s="234"/>
      <c r="I417" s="234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4"/>
      <c r="V417" s="234"/>
      <c r="W417" s="234"/>
      <c r="X417" s="234"/>
    </row>
    <row r="418" spans="1:24" ht="16.5" customHeight="1" x14ac:dyDescent="0.25">
      <c r="A418" s="234"/>
      <c r="B418" s="234"/>
      <c r="C418" s="234"/>
      <c r="D418" s="234"/>
      <c r="E418" s="234"/>
      <c r="F418" s="234"/>
      <c r="G418" s="234"/>
      <c r="H418" s="234"/>
      <c r="I418" s="234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4"/>
      <c r="V418" s="234"/>
      <c r="W418" s="234"/>
      <c r="X418" s="234"/>
    </row>
    <row r="419" spans="1:24" ht="16.5" customHeight="1" x14ac:dyDescent="0.25">
      <c r="A419" s="234"/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4"/>
      <c r="W419" s="234"/>
      <c r="X419" s="234"/>
    </row>
    <row r="420" spans="1:24" ht="16.5" customHeight="1" x14ac:dyDescent="0.25">
      <c r="A420" s="234"/>
      <c r="B420" s="234"/>
      <c r="C420" s="234"/>
      <c r="D420" s="234"/>
      <c r="E420" s="234"/>
      <c r="F420" s="234"/>
      <c r="G420" s="234"/>
      <c r="H420" s="234"/>
      <c r="I420" s="234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4"/>
      <c r="V420" s="234"/>
      <c r="W420" s="234"/>
      <c r="X420" s="234"/>
    </row>
    <row r="421" spans="1:24" ht="16.5" customHeight="1" x14ac:dyDescent="0.25">
      <c r="A421" s="234"/>
      <c r="B421" s="234"/>
      <c r="C421" s="234"/>
      <c r="D421" s="234"/>
      <c r="E421" s="234"/>
      <c r="F421" s="234"/>
      <c r="G421" s="234"/>
      <c r="H421" s="234"/>
      <c r="I421" s="234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4"/>
      <c r="W421" s="234"/>
      <c r="X421" s="234"/>
    </row>
    <row r="422" spans="1:24" ht="16.5" customHeight="1" x14ac:dyDescent="0.25">
      <c r="A422" s="234"/>
      <c r="B422" s="234"/>
      <c r="C422" s="234"/>
      <c r="D422" s="234"/>
      <c r="E422" s="234"/>
      <c r="F422" s="234"/>
      <c r="G422" s="234"/>
      <c r="H422" s="234"/>
      <c r="I422" s="234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4"/>
      <c r="W422" s="234"/>
      <c r="X422" s="234"/>
    </row>
    <row r="423" spans="1:24" ht="16.5" customHeight="1" x14ac:dyDescent="0.25">
      <c r="A423" s="234"/>
      <c r="B423" s="234"/>
      <c r="C423" s="234"/>
      <c r="D423" s="234"/>
      <c r="E423" s="234"/>
      <c r="F423" s="234"/>
      <c r="G423" s="234"/>
      <c r="H423" s="234"/>
      <c r="I423" s="234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4"/>
      <c r="W423" s="234"/>
      <c r="X423" s="234"/>
    </row>
    <row r="424" spans="1:24" ht="16.5" customHeight="1" x14ac:dyDescent="0.25">
      <c r="A424" s="234"/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4"/>
      <c r="W424" s="234"/>
      <c r="X424" s="234"/>
    </row>
    <row r="425" spans="1:24" ht="16.5" customHeight="1" x14ac:dyDescent="0.25">
      <c r="A425" s="234"/>
      <c r="B425" s="234"/>
      <c r="C425" s="234"/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4"/>
      <c r="V425" s="234"/>
      <c r="W425" s="234"/>
      <c r="X425" s="234"/>
    </row>
    <row r="426" spans="1:24" ht="16.5" customHeight="1" x14ac:dyDescent="0.25">
      <c r="A426" s="234"/>
      <c r="B426" s="234"/>
      <c r="C426" s="234"/>
      <c r="D426" s="234"/>
      <c r="E426" s="234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4"/>
      <c r="W426" s="234"/>
      <c r="X426" s="234"/>
    </row>
    <row r="427" spans="1:24" ht="16.5" customHeight="1" x14ac:dyDescent="0.25">
      <c r="A427" s="234"/>
      <c r="B427" s="234"/>
      <c r="C427" s="234"/>
      <c r="D427" s="234"/>
      <c r="E427" s="234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4"/>
      <c r="W427" s="234"/>
      <c r="X427" s="234"/>
    </row>
    <row r="428" spans="1:24" ht="16.5" customHeight="1" x14ac:dyDescent="0.25">
      <c r="A428" s="234"/>
      <c r="B428" s="234"/>
      <c r="C428" s="234"/>
      <c r="D428" s="234"/>
      <c r="E428" s="234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4"/>
      <c r="W428" s="234"/>
      <c r="X428" s="234"/>
    </row>
    <row r="429" spans="1:24" ht="16.5" customHeight="1" x14ac:dyDescent="0.25">
      <c r="A429" s="234"/>
      <c r="B429" s="234"/>
      <c r="C429" s="234"/>
      <c r="D429" s="234"/>
      <c r="E429" s="234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4"/>
      <c r="W429" s="234"/>
      <c r="X429" s="234"/>
    </row>
    <row r="430" spans="1:24" ht="16.5" customHeight="1" x14ac:dyDescent="0.25">
      <c r="A430" s="234"/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4"/>
      <c r="W430" s="234"/>
      <c r="X430" s="234"/>
    </row>
    <row r="431" spans="1:24" ht="16.5" customHeight="1" x14ac:dyDescent="0.25">
      <c r="A431" s="234"/>
      <c r="B431" s="234"/>
      <c r="C431" s="234"/>
      <c r="D431" s="234"/>
      <c r="E431" s="234"/>
      <c r="F431" s="234"/>
      <c r="G431" s="234"/>
      <c r="H431" s="234"/>
      <c r="I431" s="234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4"/>
      <c r="V431" s="234"/>
      <c r="W431" s="234"/>
      <c r="X431" s="234"/>
    </row>
    <row r="432" spans="1:24" ht="16.5" customHeight="1" x14ac:dyDescent="0.25">
      <c r="A432" s="234"/>
      <c r="B432" s="234"/>
      <c r="C432" s="234"/>
      <c r="D432" s="234"/>
      <c r="E432" s="234"/>
      <c r="F432" s="234"/>
      <c r="G432" s="234"/>
      <c r="H432" s="234"/>
      <c r="I432" s="234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4"/>
      <c r="V432" s="234"/>
      <c r="W432" s="234"/>
      <c r="X432" s="234"/>
    </row>
    <row r="433" spans="1:24" ht="16.5" customHeight="1" x14ac:dyDescent="0.25">
      <c r="A433" s="234"/>
      <c r="B433" s="234"/>
      <c r="C433" s="234"/>
      <c r="D433" s="234"/>
      <c r="E433" s="234"/>
      <c r="F433" s="234"/>
      <c r="G433" s="234"/>
      <c r="H433" s="234"/>
      <c r="I433" s="234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4"/>
      <c r="V433" s="234"/>
      <c r="W433" s="234"/>
      <c r="X433" s="234"/>
    </row>
    <row r="434" spans="1:24" ht="16.5" customHeight="1" x14ac:dyDescent="0.25">
      <c r="A434" s="234"/>
      <c r="B434" s="234"/>
      <c r="C434" s="234"/>
      <c r="D434" s="234"/>
      <c r="E434" s="234"/>
      <c r="F434" s="234"/>
      <c r="G434" s="234"/>
      <c r="H434" s="234"/>
      <c r="I434" s="234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4"/>
      <c r="V434" s="234"/>
      <c r="W434" s="234"/>
      <c r="X434" s="234"/>
    </row>
    <row r="435" spans="1:24" ht="16.5" customHeight="1" x14ac:dyDescent="0.25">
      <c r="A435" s="234"/>
      <c r="B435" s="234"/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4"/>
      <c r="V435" s="234"/>
      <c r="W435" s="234"/>
      <c r="X435" s="234"/>
    </row>
    <row r="436" spans="1:24" ht="16.5" customHeight="1" x14ac:dyDescent="0.25">
      <c r="A436" s="234"/>
      <c r="B436" s="234"/>
      <c r="C436" s="234"/>
      <c r="D436" s="234"/>
      <c r="E436" s="234"/>
      <c r="F436" s="234"/>
      <c r="G436" s="234"/>
      <c r="H436" s="234"/>
      <c r="I436" s="234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4"/>
      <c r="V436" s="234"/>
      <c r="W436" s="234"/>
      <c r="X436" s="234"/>
    </row>
    <row r="437" spans="1:24" ht="16.5" customHeight="1" x14ac:dyDescent="0.25">
      <c r="A437" s="234"/>
      <c r="B437" s="234"/>
      <c r="C437" s="234"/>
      <c r="D437" s="234"/>
      <c r="E437" s="234"/>
      <c r="F437" s="234"/>
      <c r="G437" s="234"/>
      <c r="H437" s="234"/>
      <c r="I437" s="234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4"/>
      <c r="V437" s="234"/>
      <c r="W437" s="234"/>
      <c r="X437" s="234"/>
    </row>
    <row r="438" spans="1:24" ht="16.5" customHeight="1" x14ac:dyDescent="0.25">
      <c r="A438" s="234"/>
      <c r="B438" s="234"/>
      <c r="C438" s="234"/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4"/>
      <c r="V438" s="234"/>
      <c r="W438" s="234"/>
      <c r="X438" s="234"/>
    </row>
    <row r="439" spans="1:24" ht="16.5" customHeight="1" x14ac:dyDescent="0.25">
      <c r="A439" s="234"/>
      <c r="B439" s="234"/>
      <c r="C439" s="234"/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4"/>
      <c r="V439" s="234"/>
      <c r="W439" s="234"/>
      <c r="X439" s="234"/>
    </row>
    <row r="440" spans="1:24" ht="16.5" customHeight="1" x14ac:dyDescent="0.25">
      <c r="A440" s="234"/>
      <c r="B440" s="234"/>
      <c r="C440" s="234"/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4"/>
      <c r="V440" s="234"/>
      <c r="W440" s="234"/>
      <c r="X440" s="234"/>
    </row>
    <row r="441" spans="1:24" ht="16.5" customHeight="1" x14ac:dyDescent="0.25">
      <c r="A441" s="234"/>
      <c r="B441" s="234"/>
      <c r="C441" s="234"/>
      <c r="D441" s="234"/>
      <c r="E441" s="234"/>
      <c r="F441" s="234"/>
      <c r="G441" s="234"/>
      <c r="H441" s="234"/>
      <c r="I441" s="234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4"/>
      <c r="V441" s="234"/>
      <c r="W441" s="234"/>
      <c r="X441" s="234"/>
    </row>
    <row r="442" spans="1:24" ht="16.5" customHeight="1" x14ac:dyDescent="0.25">
      <c r="A442" s="234"/>
      <c r="B442" s="234"/>
      <c r="C442" s="234"/>
      <c r="D442" s="234"/>
      <c r="E442" s="234"/>
      <c r="F442" s="234"/>
      <c r="G442" s="234"/>
      <c r="H442" s="234"/>
      <c r="I442" s="234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4"/>
      <c r="V442" s="234"/>
      <c r="W442" s="234"/>
      <c r="X442" s="234"/>
    </row>
    <row r="443" spans="1:24" ht="16.5" customHeight="1" x14ac:dyDescent="0.25">
      <c r="A443" s="234"/>
      <c r="B443" s="234"/>
      <c r="C443" s="234"/>
      <c r="D443" s="234"/>
      <c r="E443" s="234"/>
      <c r="F443" s="234"/>
      <c r="G443" s="234"/>
      <c r="H443" s="234"/>
      <c r="I443" s="234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4"/>
      <c r="V443" s="234"/>
      <c r="W443" s="234"/>
      <c r="X443" s="234"/>
    </row>
    <row r="444" spans="1:24" ht="16.5" customHeight="1" x14ac:dyDescent="0.25">
      <c r="A444" s="234"/>
      <c r="B444" s="234"/>
      <c r="C444" s="234"/>
      <c r="D444" s="234"/>
      <c r="E444" s="234"/>
      <c r="F444" s="234"/>
      <c r="G444" s="234"/>
      <c r="H444" s="234"/>
      <c r="I444" s="234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4"/>
      <c r="V444" s="234"/>
      <c r="W444" s="234"/>
      <c r="X444" s="234"/>
    </row>
    <row r="445" spans="1:24" ht="16.5" customHeight="1" x14ac:dyDescent="0.25">
      <c r="A445" s="234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4"/>
      <c r="W445" s="234"/>
      <c r="X445" s="234"/>
    </row>
    <row r="446" spans="1:24" ht="16.5" customHeight="1" x14ac:dyDescent="0.25">
      <c r="A446" s="234"/>
      <c r="B446" s="234"/>
      <c r="C446" s="234"/>
      <c r="D446" s="234"/>
      <c r="E446" s="234"/>
      <c r="F446" s="234"/>
      <c r="G446" s="234"/>
      <c r="H446" s="234"/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4"/>
      <c r="W446" s="234"/>
      <c r="X446" s="234"/>
    </row>
    <row r="447" spans="1:24" ht="16.5" customHeight="1" x14ac:dyDescent="0.25">
      <c r="A447" s="234"/>
      <c r="B447" s="234"/>
      <c r="C447" s="234"/>
      <c r="D447" s="234"/>
      <c r="E447" s="234"/>
      <c r="F447" s="234"/>
      <c r="G447" s="234"/>
      <c r="H447" s="234"/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4"/>
      <c r="W447" s="234"/>
      <c r="X447" s="234"/>
    </row>
    <row r="448" spans="1:24" ht="16.5" customHeight="1" x14ac:dyDescent="0.25">
      <c r="A448" s="234"/>
      <c r="B448" s="234"/>
      <c r="C448" s="234"/>
      <c r="D448" s="234"/>
      <c r="E448" s="234"/>
      <c r="F448" s="234"/>
      <c r="G448" s="234"/>
      <c r="H448" s="234"/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4"/>
      <c r="W448" s="234"/>
      <c r="X448" s="234"/>
    </row>
    <row r="449" spans="1:24" ht="16.5" customHeight="1" x14ac:dyDescent="0.25">
      <c r="A449" s="234"/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4"/>
      <c r="V449" s="234"/>
      <c r="W449" s="234"/>
      <c r="X449" s="234"/>
    </row>
    <row r="450" spans="1:24" ht="16.5" customHeight="1" x14ac:dyDescent="0.25">
      <c r="A450" s="234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4"/>
      <c r="V450" s="234"/>
      <c r="W450" s="234"/>
      <c r="X450" s="234"/>
    </row>
    <row r="451" spans="1:24" ht="16.5" customHeight="1" x14ac:dyDescent="0.25">
      <c r="A451" s="234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4"/>
      <c r="V451" s="234"/>
      <c r="W451" s="234"/>
      <c r="X451" s="234"/>
    </row>
    <row r="452" spans="1:24" ht="16.5" customHeight="1" x14ac:dyDescent="0.25">
      <c r="A452" s="234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4"/>
      <c r="V452" s="234"/>
      <c r="W452" s="234"/>
      <c r="X452" s="234"/>
    </row>
    <row r="453" spans="1:24" ht="16.5" customHeight="1" x14ac:dyDescent="0.25">
      <c r="A453" s="234"/>
      <c r="B453" s="234"/>
      <c r="C453" s="234"/>
      <c r="D453" s="234"/>
      <c r="E453" s="234"/>
      <c r="F453" s="234"/>
      <c r="G453" s="234"/>
      <c r="H453" s="234"/>
      <c r="I453" s="234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4"/>
      <c r="V453" s="234"/>
      <c r="W453" s="234"/>
      <c r="X453" s="234"/>
    </row>
    <row r="454" spans="1:24" ht="16.5" customHeight="1" x14ac:dyDescent="0.25">
      <c r="A454" s="234"/>
      <c r="B454" s="234"/>
      <c r="C454" s="234"/>
      <c r="D454" s="234"/>
      <c r="E454" s="234"/>
      <c r="F454" s="234"/>
      <c r="G454" s="234"/>
      <c r="H454" s="234"/>
      <c r="I454" s="234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4"/>
      <c r="V454" s="234"/>
      <c r="W454" s="234"/>
      <c r="X454" s="234"/>
    </row>
    <row r="455" spans="1:24" ht="16.5" customHeight="1" x14ac:dyDescent="0.25">
      <c r="A455" s="234"/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4"/>
      <c r="W455" s="234"/>
      <c r="X455" s="234"/>
    </row>
    <row r="456" spans="1:24" ht="16.5" customHeight="1" x14ac:dyDescent="0.25">
      <c r="A456" s="234"/>
      <c r="B456" s="234"/>
      <c r="C456" s="234"/>
      <c r="D456" s="234"/>
      <c r="E456" s="234"/>
      <c r="F456" s="234"/>
      <c r="G456" s="234"/>
      <c r="H456" s="234"/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4"/>
      <c r="W456" s="234"/>
      <c r="X456" s="234"/>
    </row>
    <row r="457" spans="1:24" ht="16.5" customHeight="1" x14ac:dyDescent="0.25">
      <c r="A457" s="234"/>
      <c r="B457" s="234"/>
      <c r="C457" s="234"/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4"/>
      <c r="W457" s="234"/>
      <c r="X457" s="234"/>
    </row>
    <row r="458" spans="1:24" ht="16.5" customHeight="1" x14ac:dyDescent="0.25">
      <c r="A458" s="234"/>
      <c r="B458" s="234"/>
      <c r="C458" s="234"/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4"/>
      <c r="W458" s="234"/>
      <c r="X458" s="234"/>
    </row>
    <row r="459" spans="1:24" ht="16.5" customHeight="1" x14ac:dyDescent="0.25">
      <c r="A459" s="234"/>
      <c r="B459" s="234"/>
      <c r="C459" s="234"/>
      <c r="D459" s="234"/>
      <c r="E459" s="234"/>
      <c r="F459" s="234"/>
      <c r="G459" s="234"/>
      <c r="H459" s="234"/>
      <c r="I459" s="234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4"/>
      <c r="V459" s="234"/>
      <c r="W459" s="234"/>
      <c r="X459" s="234"/>
    </row>
    <row r="460" spans="1:24" ht="16.5" customHeight="1" x14ac:dyDescent="0.25">
      <c r="A460" s="234"/>
      <c r="B460" s="234"/>
      <c r="C460" s="234"/>
      <c r="D460" s="234"/>
      <c r="E460" s="234"/>
      <c r="F460" s="234"/>
      <c r="G460" s="234"/>
      <c r="H460" s="234"/>
      <c r="I460" s="234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4"/>
      <c r="V460" s="234"/>
      <c r="W460" s="234"/>
      <c r="X460" s="234"/>
    </row>
    <row r="461" spans="1:24" ht="16.5" customHeight="1" x14ac:dyDescent="0.25">
      <c r="A461" s="234"/>
      <c r="B461" s="234"/>
      <c r="C461" s="234"/>
      <c r="D461" s="234"/>
      <c r="E461" s="234"/>
      <c r="F461" s="234"/>
      <c r="G461" s="234"/>
      <c r="H461" s="234"/>
      <c r="I461" s="234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4"/>
      <c r="V461" s="234"/>
      <c r="W461" s="234"/>
      <c r="X461" s="234"/>
    </row>
    <row r="462" spans="1:24" ht="16.5" customHeight="1" x14ac:dyDescent="0.25">
      <c r="A462" s="234"/>
      <c r="B462" s="234"/>
      <c r="C462" s="234"/>
      <c r="D462" s="234"/>
      <c r="E462" s="234"/>
      <c r="F462" s="234"/>
      <c r="G462" s="234"/>
      <c r="H462" s="234"/>
      <c r="I462" s="234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4"/>
      <c r="V462" s="234"/>
      <c r="W462" s="234"/>
      <c r="X462" s="234"/>
    </row>
    <row r="463" spans="1:24" ht="16.5" customHeight="1" x14ac:dyDescent="0.25">
      <c r="A463" s="234"/>
      <c r="B463" s="234"/>
      <c r="C463" s="234"/>
      <c r="D463" s="234"/>
      <c r="E463" s="234"/>
      <c r="F463" s="234"/>
      <c r="G463" s="234"/>
      <c r="H463" s="234"/>
      <c r="I463" s="234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4"/>
      <c r="V463" s="234"/>
      <c r="W463" s="234"/>
      <c r="X463" s="234"/>
    </row>
    <row r="464" spans="1:24" ht="16.5" customHeight="1" x14ac:dyDescent="0.25">
      <c r="A464" s="234"/>
      <c r="B464" s="234"/>
      <c r="C464" s="234"/>
      <c r="D464" s="234"/>
      <c r="E464" s="234"/>
      <c r="F464" s="234"/>
      <c r="G464" s="234"/>
      <c r="H464" s="234"/>
      <c r="I464" s="234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4"/>
      <c r="V464" s="234"/>
      <c r="W464" s="234"/>
      <c r="X464" s="234"/>
    </row>
    <row r="465" spans="1:24" ht="16.5" customHeight="1" x14ac:dyDescent="0.25">
      <c r="A465" s="234"/>
      <c r="B465" s="234"/>
      <c r="C465" s="234"/>
      <c r="D465" s="234"/>
      <c r="E465" s="234"/>
      <c r="F465" s="234"/>
      <c r="G465" s="234"/>
      <c r="H465" s="234"/>
      <c r="I465" s="234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4"/>
      <c r="V465" s="234"/>
      <c r="W465" s="234"/>
      <c r="X465" s="234"/>
    </row>
    <row r="466" spans="1:24" ht="16.5" customHeight="1" x14ac:dyDescent="0.25">
      <c r="A466" s="234"/>
      <c r="B466" s="234"/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4"/>
      <c r="W466" s="234"/>
      <c r="X466" s="234"/>
    </row>
    <row r="467" spans="1:24" ht="16.5" customHeight="1" x14ac:dyDescent="0.25">
      <c r="A467" s="234"/>
      <c r="B467" s="234"/>
      <c r="C467" s="234"/>
      <c r="D467" s="234"/>
      <c r="E467" s="234"/>
      <c r="F467" s="234"/>
      <c r="G467" s="234"/>
      <c r="H467" s="234"/>
      <c r="I467" s="234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4"/>
      <c r="V467" s="234"/>
      <c r="W467" s="234"/>
      <c r="X467" s="234"/>
    </row>
    <row r="468" spans="1:24" ht="16.5" customHeight="1" x14ac:dyDescent="0.25">
      <c r="A468" s="234"/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4"/>
      <c r="W468" s="234"/>
      <c r="X468" s="234"/>
    </row>
    <row r="469" spans="1:24" ht="16.5" customHeight="1" x14ac:dyDescent="0.25">
      <c r="A469" s="234"/>
      <c r="B469" s="234"/>
      <c r="C469" s="234"/>
      <c r="D469" s="234"/>
      <c r="E469" s="234"/>
      <c r="F469" s="234"/>
      <c r="G469" s="234"/>
      <c r="H469" s="234"/>
      <c r="I469" s="234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4"/>
      <c r="V469" s="234"/>
      <c r="W469" s="234"/>
      <c r="X469" s="234"/>
    </row>
    <row r="470" spans="1:24" ht="16.5" customHeight="1" x14ac:dyDescent="0.25">
      <c r="A470" s="234"/>
      <c r="B470" s="234"/>
      <c r="C470" s="234"/>
      <c r="D470" s="234"/>
      <c r="E470" s="234"/>
      <c r="F470" s="234"/>
      <c r="G470" s="234"/>
      <c r="H470" s="234"/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4"/>
      <c r="W470" s="234"/>
      <c r="X470" s="234"/>
    </row>
    <row r="471" spans="1:24" ht="16.5" customHeight="1" x14ac:dyDescent="0.25">
      <c r="A471" s="234"/>
      <c r="B471" s="234"/>
      <c r="C471" s="234"/>
      <c r="D471" s="234"/>
      <c r="E471" s="234"/>
      <c r="F471" s="234"/>
      <c r="G471" s="234"/>
      <c r="H471" s="234"/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4"/>
      <c r="W471" s="234"/>
      <c r="X471" s="234"/>
    </row>
    <row r="472" spans="1:24" ht="16.5" customHeight="1" x14ac:dyDescent="0.25">
      <c r="A472" s="234"/>
      <c r="B472" s="234"/>
      <c r="C472" s="234"/>
      <c r="D472" s="234"/>
      <c r="E472" s="234"/>
      <c r="F472" s="234"/>
      <c r="G472" s="234"/>
      <c r="H472" s="234"/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4"/>
      <c r="V472" s="234"/>
      <c r="W472" s="234"/>
      <c r="X472" s="234"/>
    </row>
    <row r="473" spans="1:24" ht="16.5" customHeight="1" x14ac:dyDescent="0.25">
      <c r="A473" s="234"/>
      <c r="B473" s="234"/>
      <c r="C473" s="234"/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4"/>
      <c r="W473" s="234"/>
      <c r="X473" s="234"/>
    </row>
    <row r="474" spans="1:24" ht="16.5" customHeight="1" x14ac:dyDescent="0.25">
      <c r="A474" s="234"/>
      <c r="B474" s="234"/>
      <c r="C474" s="234"/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4"/>
      <c r="V474" s="234"/>
      <c r="W474" s="234"/>
      <c r="X474" s="234"/>
    </row>
    <row r="475" spans="1:24" ht="16.5" customHeight="1" x14ac:dyDescent="0.25">
      <c r="A475" s="234"/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4"/>
      <c r="W475" s="234"/>
      <c r="X475" s="234"/>
    </row>
    <row r="476" spans="1:24" ht="16.5" customHeight="1" x14ac:dyDescent="0.25">
      <c r="A476" s="234"/>
      <c r="B476" s="234"/>
      <c r="C476" s="234"/>
      <c r="D476" s="234"/>
      <c r="E476" s="234"/>
      <c r="F476" s="234"/>
      <c r="G476" s="234"/>
      <c r="H476" s="234"/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4"/>
      <c r="W476" s="234"/>
      <c r="X476" s="234"/>
    </row>
    <row r="477" spans="1:24" ht="16.5" customHeight="1" x14ac:dyDescent="0.25">
      <c r="A477" s="234"/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4"/>
      <c r="V477" s="234"/>
      <c r="W477" s="234"/>
      <c r="X477" s="234"/>
    </row>
    <row r="478" spans="1:24" ht="16.5" customHeight="1" x14ac:dyDescent="0.25">
      <c r="A478" s="234"/>
      <c r="B478" s="234"/>
      <c r="C478" s="234"/>
      <c r="D478" s="234"/>
      <c r="E478" s="234"/>
      <c r="F478" s="234"/>
      <c r="G478" s="234"/>
      <c r="H478" s="234"/>
      <c r="I478" s="234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4"/>
      <c r="V478" s="234"/>
      <c r="W478" s="234"/>
      <c r="X478" s="234"/>
    </row>
    <row r="479" spans="1:24" ht="16.5" customHeight="1" x14ac:dyDescent="0.25">
      <c r="A479" s="234"/>
      <c r="B479" s="234"/>
      <c r="C479" s="234"/>
      <c r="D479" s="234"/>
      <c r="E479" s="234"/>
      <c r="F479" s="234"/>
      <c r="G479" s="234"/>
      <c r="H479" s="234"/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4"/>
      <c r="W479" s="234"/>
      <c r="X479" s="234"/>
    </row>
    <row r="480" spans="1:24" ht="16.5" customHeight="1" x14ac:dyDescent="0.25">
      <c r="A480" s="234"/>
      <c r="B480" s="234"/>
      <c r="C480" s="234"/>
      <c r="D480" s="234"/>
      <c r="E480" s="234"/>
      <c r="F480" s="234"/>
      <c r="G480" s="234"/>
      <c r="H480" s="234"/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4"/>
      <c r="V480" s="234"/>
      <c r="W480" s="234"/>
      <c r="X480" s="234"/>
    </row>
    <row r="481" spans="1:24" ht="16.5" customHeight="1" x14ac:dyDescent="0.25">
      <c r="A481" s="234"/>
      <c r="B481" s="234"/>
      <c r="C481" s="234"/>
      <c r="D481" s="234"/>
      <c r="E481" s="234"/>
      <c r="F481" s="234"/>
      <c r="G481" s="234"/>
      <c r="H481" s="234"/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4"/>
      <c r="W481" s="234"/>
      <c r="X481" s="234"/>
    </row>
    <row r="482" spans="1:24" ht="16.5" customHeight="1" x14ac:dyDescent="0.25">
      <c r="A482" s="234"/>
      <c r="B482" s="234"/>
      <c r="C482" s="234"/>
      <c r="D482" s="234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4"/>
      <c r="W482" s="234"/>
      <c r="X482" s="234"/>
    </row>
    <row r="483" spans="1:24" ht="16.5" customHeight="1" x14ac:dyDescent="0.25">
      <c r="A483" s="234"/>
      <c r="B483" s="234"/>
      <c r="C483" s="234"/>
      <c r="D483" s="234"/>
      <c r="E483" s="234"/>
      <c r="F483" s="234"/>
      <c r="G483" s="234"/>
      <c r="H483" s="234"/>
      <c r="I483" s="234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4"/>
      <c r="V483" s="234"/>
      <c r="W483" s="234"/>
      <c r="X483" s="234"/>
    </row>
    <row r="484" spans="1:24" ht="16.5" customHeight="1" x14ac:dyDescent="0.25">
      <c r="A484" s="234"/>
      <c r="B484" s="234"/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4"/>
      <c r="V484" s="234"/>
      <c r="W484" s="234"/>
      <c r="X484" s="234"/>
    </row>
    <row r="485" spans="1:24" ht="16.5" customHeight="1" x14ac:dyDescent="0.25">
      <c r="A485" s="234"/>
      <c r="B485" s="234"/>
      <c r="C485" s="234"/>
      <c r="D485" s="234"/>
      <c r="E485" s="234"/>
      <c r="F485" s="234"/>
      <c r="G485" s="234"/>
      <c r="H485" s="234"/>
      <c r="I485" s="234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4"/>
      <c r="V485" s="234"/>
      <c r="W485" s="234"/>
      <c r="X485" s="234"/>
    </row>
    <row r="486" spans="1:24" ht="16.5" customHeight="1" x14ac:dyDescent="0.25">
      <c r="A486" s="234"/>
      <c r="B486" s="234"/>
      <c r="C486" s="234"/>
      <c r="D486" s="234"/>
      <c r="E486" s="234"/>
      <c r="F486" s="234"/>
      <c r="G486" s="234"/>
      <c r="H486" s="234"/>
      <c r="I486" s="234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4"/>
      <c r="V486" s="234"/>
      <c r="W486" s="234"/>
      <c r="X486" s="234"/>
    </row>
    <row r="487" spans="1:24" ht="16.5" customHeight="1" x14ac:dyDescent="0.25">
      <c r="A487" s="234"/>
      <c r="B487" s="234"/>
      <c r="C487" s="234"/>
      <c r="D487" s="234"/>
      <c r="E487" s="234"/>
      <c r="F487" s="234"/>
      <c r="G487" s="234"/>
      <c r="H487" s="234"/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4"/>
      <c r="W487" s="234"/>
      <c r="X487" s="234"/>
    </row>
    <row r="488" spans="1:24" ht="16.5" customHeight="1" x14ac:dyDescent="0.25">
      <c r="A488" s="234"/>
      <c r="B488" s="234"/>
      <c r="C488" s="234"/>
      <c r="D488" s="234"/>
      <c r="E488" s="234"/>
      <c r="F488" s="234"/>
      <c r="G488" s="234"/>
      <c r="H488" s="234"/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4"/>
      <c r="W488" s="234"/>
      <c r="X488" s="234"/>
    </row>
    <row r="489" spans="1:24" ht="16.5" customHeight="1" x14ac:dyDescent="0.25">
      <c r="A489" s="234"/>
      <c r="B489" s="234"/>
      <c r="C489" s="234"/>
      <c r="D489" s="234"/>
      <c r="E489" s="234"/>
      <c r="F489" s="234"/>
      <c r="G489" s="234"/>
      <c r="H489" s="234"/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4"/>
      <c r="W489" s="234"/>
      <c r="X489" s="234"/>
    </row>
    <row r="490" spans="1:24" ht="16.5" customHeight="1" x14ac:dyDescent="0.25">
      <c r="A490" s="234"/>
      <c r="B490" s="234"/>
      <c r="C490" s="234"/>
      <c r="D490" s="234"/>
      <c r="E490" s="234"/>
      <c r="F490" s="234"/>
      <c r="G490" s="234"/>
      <c r="H490" s="234"/>
      <c r="I490" s="234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4"/>
      <c r="W490" s="234"/>
      <c r="X490" s="234"/>
    </row>
    <row r="491" spans="1:24" ht="16.5" customHeight="1" x14ac:dyDescent="0.25">
      <c r="A491" s="234"/>
      <c r="B491" s="234"/>
      <c r="C491" s="234"/>
      <c r="D491" s="234"/>
      <c r="E491" s="234"/>
      <c r="F491" s="234"/>
      <c r="G491" s="234"/>
      <c r="H491" s="234"/>
      <c r="I491" s="234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4"/>
      <c r="V491" s="234"/>
      <c r="W491" s="234"/>
      <c r="X491" s="234"/>
    </row>
    <row r="492" spans="1:24" ht="16.5" customHeight="1" x14ac:dyDescent="0.25">
      <c r="A492" s="234"/>
      <c r="B492" s="234"/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4"/>
      <c r="V492" s="234"/>
      <c r="W492" s="234"/>
      <c r="X492" s="234"/>
    </row>
    <row r="493" spans="1:24" ht="16.5" customHeight="1" x14ac:dyDescent="0.25">
      <c r="A493" s="234"/>
      <c r="B493" s="234"/>
      <c r="C493" s="234"/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4"/>
      <c r="V493" s="234"/>
      <c r="W493" s="234"/>
      <c r="X493" s="234"/>
    </row>
    <row r="494" spans="1:24" ht="16.5" customHeight="1" x14ac:dyDescent="0.25">
      <c r="A494" s="234"/>
      <c r="B494" s="234"/>
      <c r="C494" s="234"/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4"/>
      <c r="V494" s="234"/>
      <c r="W494" s="234"/>
      <c r="X494" s="234"/>
    </row>
    <row r="495" spans="1:24" ht="16.5" customHeight="1" x14ac:dyDescent="0.25">
      <c r="A495" s="234"/>
      <c r="B495" s="234"/>
      <c r="C495" s="234"/>
      <c r="D495" s="234"/>
      <c r="E495" s="234"/>
      <c r="F495" s="234"/>
      <c r="G495" s="234"/>
      <c r="H495" s="234"/>
      <c r="I495" s="234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4"/>
      <c r="V495" s="234"/>
      <c r="W495" s="234"/>
      <c r="X495" s="234"/>
    </row>
    <row r="496" spans="1:24" ht="16.5" customHeight="1" x14ac:dyDescent="0.25">
      <c r="A496" s="234"/>
      <c r="B496" s="234"/>
      <c r="C496" s="234"/>
      <c r="D496" s="234"/>
      <c r="E496" s="234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4"/>
      <c r="W496" s="234"/>
      <c r="X496" s="234"/>
    </row>
    <row r="497" spans="1:24" ht="16.5" customHeight="1" x14ac:dyDescent="0.25">
      <c r="A497" s="234"/>
      <c r="B497" s="234"/>
      <c r="C497" s="234"/>
      <c r="D497" s="234"/>
      <c r="E497" s="234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4"/>
      <c r="W497" s="234"/>
      <c r="X497" s="234"/>
    </row>
    <row r="498" spans="1:24" ht="16.5" customHeight="1" x14ac:dyDescent="0.25">
      <c r="A498" s="234"/>
      <c r="B498" s="234"/>
      <c r="C498" s="234"/>
      <c r="D498" s="234"/>
      <c r="E498" s="234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4"/>
      <c r="W498" s="234"/>
      <c r="X498" s="234"/>
    </row>
    <row r="499" spans="1:24" ht="16.5" customHeight="1" x14ac:dyDescent="0.25">
      <c r="A499" s="234"/>
      <c r="B499" s="234"/>
      <c r="C499" s="234"/>
      <c r="D499" s="234"/>
      <c r="E499" s="234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4"/>
      <c r="W499" s="234"/>
      <c r="X499" s="234"/>
    </row>
    <row r="500" spans="1:24" ht="16.5" customHeight="1" x14ac:dyDescent="0.25">
      <c r="A500" s="234"/>
      <c r="B500" s="234"/>
      <c r="C500" s="234"/>
      <c r="D500" s="234"/>
      <c r="E500" s="234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4"/>
      <c r="W500" s="234"/>
      <c r="X500" s="234"/>
    </row>
    <row r="501" spans="1:24" ht="16.5" customHeight="1" x14ac:dyDescent="0.25">
      <c r="A501" s="234"/>
      <c r="B501" s="234"/>
      <c r="C501" s="234"/>
      <c r="D501" s="234"/>
      <c r="E501" s="234"/>
      <c r="F501" s="234"/>
      <c r="G501" s="234"/>
      <c r="H501" s="234"/>
      <c r="I501" s="234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4"/>
      <c r="V501" s="234"/>
      <c r="W501" s="234"/>
      <c r="X501" s="234"/>
    </row>
    <row r="502" spans="1:24" ht="16.5" customHeight="1" x14ac:dyDescent="0.25">
      <c r="A502" s="234"/>
      <c r="B502" s="234"/>
      <c r="C502" s="234"/>
      <c r="D502" s="234"/>
      <c r="E502" s="234"/>
      <c r="F502" s="234"/>
      <c r="G502" s="234"/>
      <c r="H502" s="234"/>
      <c r="I502" s="234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4"/>
      <c r="V502" s="234"/>
      <c r="W502" s="234"/>
      <c r="X502" s="234"/>
    </row>
    <row r="503" spans="1:24" ht="16.5" customHeight="1" x14ac:dyDescent="0.25">
      <c r="A503" s="234"/>
      <c r="B503" s="234"/>
      <c r="C503" s="234"/>
      <c r="D503" s="234"/>
      <c r="E503" s="234"/>
      <c r="F503" s="234"/>
      <c r="G503" s="234"/>
      <c r="H503" s="234"/>
      <c r="I503" s="234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4"/>
      <c r="V503" s="234"/>
      <c r="W503" s="234"/>
      <c r="X503" s="234"/>
    </row>
    <row r="504" spans="1:24" ht="16.5" customHeight="1" x14ac:dyDescent="0.25">
      <c r="A504" s="234"/>
      <c r="B504" s="234"/>
      <c r="C504" s="234"/>
      <c r="D504" s="234"/>
      <c r="E504" s="234"/>
      <c r="F504" s="234"/>
      <c r="G504" s="234"/>
      <c r="H504" s="234"/>
      <c r="I504" s="234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4"/>
      <c r="V504" s="234"/>
      <c r="W504" s="234"/>
      <c r="X504" s="234"/>
    </row>
    <row r="505" spans="1:24" ht="16.5" customHeight="1" x14ac:dyDescent="0.25">
      <c r="A505" s="234"/>
      <c r="B505" s="234"/>
      <c r="C505" s="234"/>
      <c r="D505" s="234"/>
      <c r="E505" s="234"/>
      <c r="F505" s="234"/>
      <c r="G505" s="234"/>
      <c r="H505" s="234"/>
      <c r="I505" s="234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4"/>
      <c r="V505" s="234"/>
      <c r="W505" s="234"/>
      <c r="X505" s="234"/>
    </row>
    <row r="506" spans="1:24" ht="16.5" customHeight="1" x14ac:dyDescent="0.25">
      <c r="A506" s="234"/>
      <c r="B506" s="234"/>
      <c r="C506" s="234"/>
      <c r="D506" s="234"/>
      <c r="E506" s="234"/>
      <c r="F506" s="234"/>
      <c r="G506" s="234"/>
      <c r="H506" s="234"/>
      <c r="I506" s="234"/>
      <c r="J506" s="234"/>
      <c r="K506" s="234"/>
      <c r="L506" s="234"/>
      <c r="M506" s="234"/>
      <c r="N506" s="234"/>
      <c r="O506" s="234"/>
      <c r="P506" s="234"/>
      <c r="Q506" s="234"/>
      <c r="R506" s="234"/>
      <c r="S506" s="234"/>
      <c r="T506" s="234"/>
      <c r="U506" s="234"/>
      <c r="V506" s="234"/>
      <c r="W506" s="234"/>
      <c r="X506" s="234"/>
    </row>
    <row r="507" spans="1:24" ht="16.5" customHeight="1" x14ac:dyDescent="0.25">
      <c r="A507" s="234"/>
      <c r="B507" s="234"/>
      <c r="C507" s="234"/>
      <c r="D507" s="234"/>
      <c r="E507" s="234"/>
      <c r="F507" s="234"/>
      <c r="G507" s="234"/>
      <c r="H507" s="234"/>
      <c r="I507" s="234"/>
      <c r="J507" s="234"/>
      <c r="K507" s="234"/>
      <c r="L507" s="234"/>
      <c r="M507" s="234"/>
      <c r="N507" s="234"/>
      <c r="O507" s="234"/>
      <c r="P507" s="234"/>
      <c r="Q507" s="234"/>
      <c r="R507" s="234"/>
      <c r="S507" s="234"/>
      <c r="T507" s="234"/>
      <c r="U507" s="234"/>
      <c r="V507" s="234"/>
      <c r="W507" s="234"/>
      <c r="X507" s="234"/>
    </row>
    <row r="508" spans="1:24" ht="16.5" customHeight="1" x14ac:dyDescent="0.25">
      <c r="A508" s="234"/>
      <c r="B508" s="234"/>
      <c r="C508" s="234"/>
      <c r="D508" s="234"/>
      <c r="E508" s="234"/>
      <c r="F508" s="234"/>
      <c r="G508" s="234"/>
      <c r="H508" s="234"/>
      <c r="I508" s="234"/>
      <c r="J508" s="234"/>
      <c r="K508" s="234"/>
      <c r="L508" s="234"/>
      <c r="M508" s="234"/>
      <c r="N508" s="234"/>
      <c r="O508" s="234"/>
      <c r="P508" s="234"/>
      <c r="Q508" s="234"/>
      <c r="R508" s="234"/>
      <c r="S508" s="234"/>
      <c r="T508" s="234"/>
      <c r="U508" s="234"/>
      <c r="V508" s="234"/>
      <c r="W508" s="234"/>
      <c r="X508" s="234"/>
    </row>
    <row r="509" spans="1:24" ht="16.5" customHeight="1" x14ac:dyDescent="0.25">
      <c r="A509" s="234"/>
      <c r="B509" s="234"/>
      <c r="C509" s="234"/>
      <c r="D509" s="234"/>
      <c r="E509" s="234"/>
      <c r="F509" s="234"/>
      <c r="G509" s="234"/>
      <c r="H509" s="234"/>
      <c r="I509" s="234"/>
      <c r="J509" s="234"/>
      <c r="K509" s="234"/>
      <c r="L509" s="234"/>
      <c r="M509" s="234"/>
      <c r="N509" s="234"/>
      <c r="O509" s="234"/>
      <c r="P509" s="234"/>
      <c r="Q509" s="234"/>
      <c r="R509" s="234"/>
      <c r="S509" s="234"/>
      <c r="T509" s="234"/>
      <c r="U509" s="234"/>
      <c r="V509" s="234"/>
      <c r="W509" s="234"/>
      <c r="X509" s="234"/>
    </row>
    <row r="510" spans="1:24" ht="16.5" customHeight="1" x14ac:dyDescent="0.25">
      <c r="A510" s="234"/>
      <c r="B510" s="234"/>
      <c r="C510" s="234"/>
      <c r="D510" s="234"/>
      <c r="E510" s="234"/>
      <c r="F510" s="234"/>
      <c r="G510" s="234"/>
      <c r="H510" s="234"/>
      <c r="I510" s="234"/>
      <c r="J510" s="234"/>
      <c r="K510" s="234"/>
      <c r="L510" s="234"/>
      <c r="M510" s="234"/>
      <c r="N510" s="234"/>
      <c r="O510" s="234"/>
      <c r="P510" s="234"/>
      <c r="Q510" s="234"/>
      <c r="R510" s="234"/>
      <c r="S510" s="234"/>
      <c r="T510" s="234"/>
      <c r="U510" s="234"/>
      <c r="V510" s="234"/>
      <c r="W510" s="234"/>
      <c r="X510" s="234"/>
    </row>
    <row r="511" spans="1:24" ht="16.5" customHeight="1" x14ac:dyDescent="0.25">
      <c r="A511" s="234"/>
      <c r="B511" s="234"/>
      <c r="C511" s="234"/>
      <c r="D511" s="234"/>
      <c r="E511" s="234"/>
      <c r="F511" s="234"/>
      <c r="G511" s="234"/>
      <c r="H511" s="234"/>
      <c r="I511" s="234"/>
      <c r="J511" s="234"/>
      <c r="K511" s="234"/>
      <c r="L511" s="234"/>
      <c r="M511" s="234"/>
      <c r="N511" s="234"/>
      <c r="O511" s="234"/>
      <c r="P511" s="234"/>
      <c r="Q511" s="234"/>
      <c r="R511" s="234"/>
      <c r="S511" s="234"/>
      <c r="T511" s="234"/>
      <c r="U511" s="234"/>
      <c r="V511" s="234"/>
      <c r="W511" s="234"/>
      <c r="X511" s="234"/>
    </row>
    <row r="512" spans="1:24" ht="16.5" customHeight="1" x14ac:dyDescent="0.25">
      <c r="A512" s="234"/>
      <c r="B512" s="234"/>
      <c r="C512" s="234"/>
      <c r="D512" s="234"/>
      <c r="E512" s="234"/>
      <c r="F512" s="234"/>
      <c r="G512" s="234"/>
      <c r="H512" s="234"/>
      <c r="I512" s="234"/>
      <c r="J512" s="234"/>
      <c r="K512" s="234"/>
      <c r="L512" s="234"/>
      <c r="M512" s="234"/>
      <c r="N512" s="234"/>
      <c r="O512" s="234"/>
      <c r="P512" s="234"/>
      <c r="Q512" s="234"/>
      <c r="R512" s="234"/>
      <c r="S512" s="234"/>
      <c r="T512" s="234"/>
      <c r="U512" s="234"/>
      <c r="V512" s="234"/>
      <c r="W512" s="234"/>
      <c r="X512" s="234"/>
    </row>
    <row r="513" spans="1:24" ht="16.5" customHeight="1" x14ac:dyDescent="0.25">
      <c r="A513" s="234"/>
      <c r="B513" s="234"/>
      <c r="C513" s="234"/>
      <c r="D513" s="234"/>
      <c r="E513" s="234"/>
      <c r="F513" s="234"/>
      <c r="G513" s="234"/>
      <c r="H513" s="234"/>
      <c r="I513" s="234"/>
      <c r="J513" s="234"/>
      <c r="K513" s="234"/>
      <c r="L513" s="234"/>
      <c r="M513" s="234"/>
      <c r="N513" s="234"/>
      <c r="O513" s="234"/>
      <c r="P513" s="234"/>
      <c r="Q513" s="234"/>
      <c r="R513" s="234"/>
      <c r="S513" s="234"/>
      <c r="T513" s="234"/>
      <c r="U513" s="234"/>
      <c r="V513" s="234"/>
      <c r="W513" s="234"/>
      <c r="X513" s="234"/>
    </row>
    <row r="514" spans="1:24" ht="16.5" customHeight="1" x14ac:dyDescent="0.25">
      <c r="A514" s="234"/>
      <c r="B514" s="234"/>
      <c r="C514" s="234"/>
      <c r="D514" s="234"/>
      <c r="E514" s="234"/>
      <c r="F514" s="234"/>
      <c r="G514" s="234"/>
      <c r="H514" s="234"/>
      <c r="I514" s="234"/>
      <c r="J514" s="234"/>
      <c r="K514" s="234"/>
      <c r="L514" s="234"/>
      <c r="M514" s="234"/>
      <c r="N514" s="234"/>
      <c r="O514" s="234"/>
      <c r="P514" s="234"/>
      <c r="Q514" s="234"/>
      <c r="R514" s="234"/>
      <c r="S514" s="234"/>
      <c r="T514" s="234"/>
      <c r="U514" s="234"/>
      <c r="V514" s="234"/>
      <c r="W514" s="234"/>
      <c r="X514" s="234"/>
    </row>
    <row r="515" spans="1:24" ht="16.5" customHeight="1" x14ac:dyDescent="0.25">
      <c r="A515" s="234"/>
      <c r="B515" s="234"/>
      <c r="C515" s="234"/>
      <c r="D515" s="234"/>
      <c r="E515" s="234"/>
      <c r="F515" s="234"/>
      <c r="G515" s="234"/>
      <c r="H515" s="234"/>
      <c r="I515" s="234"/>
      <c r="J515" s="234"/>
      <c r="K515" s="234"/>
      <c r="L515" s="234"/>
      <c r="M515" s="234"/>
      <c r="N515" s="234"/>
      <c r="O515" s="234"/>
      <c r="P515" s="234"/>
      <c r="Q515" s="234"/>
      <c r="R515" s="234"/>
      <c r="S515" s="234"/>
      <c r="T515" s="234"/>
      <c r="U515" s="234"/>
      <c r="V515" s="234"/>
      <c r="W515" s="234"/>
      <c r="X515" s="234"/>
    </row>
    <row r="516" spans="1:24" ht="16.5" customHeight="1" x14ac:dyDescent="0.25">
      <c r="A516" s="234"/>
      <c r="B516" s="234"/>
      <c r="C516" s="234"/>
      <c r="D516" s="234"/>
      <c r="E516" s="234"/>
      <c r="F516" s="234"/>
      <c r="G516" s="234"/>
      <c r="H516" s="234"/>
      <c r="I516" s="234"/>
      <c r="J516" s="234"/>
      <c r="K516" s="234"/>
      <c r="L516" s="234"/>
      <c r="M516" s="234"/>
      <c r="N516" s="234"/>
      <c r="O516" s="234"/>
      <c r="P516" s="234"/>
      <c r="Q516" s="234"/>
      <c r="R516" s="234"/>
      <c r="S516" s="234"/>
      <c r="T516" s="234"/>
      <c r="U516" s="234"/>
      <c r="V516" s="234"/>
      <c r="W516" s="234"/>
      <c r="X516" s="234"/>
    </row>
    <row r="517" spans="1:24" ht="16.5" customHeight="1" x14ac:dyDescent="0.25">
      <c r="A517" s="234"/>
      <c r="B517" s="234"/>
      <c r="C517" s="234"/>
      <c r="D517" s="234"/>
      <c r="E517" s="234"/>
      <c r="F517" s="234"/>
      <c r="G517" s="234"/>
      <c r="H517" s="234"/>
      <c r="I517" s="234"/>
      <c r="J517" s="234"/>
      <c r="K517" s="234"/>
      <c r="L517" s="234"/>
      <c r="M517" s="234"/>
      <c r="N517" s="234"/>
      <c r="O517" s="234"/>
      <c r="P517" s="234"/>
      <c r="Q517" s="234"/>
      <c r="R517" s="234"/>
      <c r="S517" s="234"/>
      <c r="T517" s="234"/>
      <c r="U517" s="234"/>
      <c r="V517" s="234"/>
      <c r="W517" s="234"/>
      <c r="X517" s="234"/>
    </row>
    <row r="518" spans="1:24" ht="16.5" customHeight="1" x14ac:dyDescent="0.25">
      <c r="A518" s="234"/>
      <c r="B518" s="234"/>
      <c r="C518" s="234"/>
      <c r="D518" s="234"/>
      <c r="E518" s="234"/>
      <c r="F518" s="234"/>
      <c r="G518" s="234"/>
      <c r="H518" s="234"/>
      <c r="I518" s="234"/>
      <c r="J518" s="234"/>
      <c r="K518" s="234"/>
      <c r="L518" s="234"/>
      <c r="M518" s="234"/>
      <c r="N518" s="234"/>
      <c r="O518" s="234"/>
      <c r="P518" s="234"/>
      <c r="Q518" s="234"/>
      <c r="R518" s="234"/>
      <c r="S518" s="234"/>
      <c r="T518" s="234"/>
      <c r="U518" s="234"/>
      <c r="V518" s="234"/>
      <c r="W518" s="234"/>
      <c r="X518" s="234"/>
    </row>
    <row r="519" spans="1:24" ht="16.5" customHeight="1" x14ac:dyDescent="0.25">
      <c r="A519" s="234"/>
      <c r="B519" s="234"/>
      <c r="C519" s="234"/>
      <c r="D519" s="234"/>
      <c r="E519" s="234"/>
      <c r="F519" s="234"/>
      <c r="G519" s="234"/>
      <c r="H519" s="234"/>
      <c r="I519" s="234"/>
      <c r="J519" s="234"/>
      <c r="K519" s="234"/>
      <c r="L519" s="234"/>
      <c r="M519" s="234"/>
      <c r="N519" s="234"/>
      <c r="O519" s="234"/>
      <c r="P519" s="234"/>
      <c r="Q519" s="234"/>
      <c r="R519" s="234"/>
      <c r="S519" s="234"/>
      <c r="T519" s="234"/>
      <c r="U519" s="234"/>
      <c r="V519" s="234"/>
      <c r="W519" s="234"/>
      <c r="X519" s="234"/>
    </row>
    <row r="520" spans="1:24" ht="16.5" customHeight="1" x14ac:dyDescent="0.25">
      <c r="A520" s="234"/>
      <c r="B520" s="234"/>
      <c r="C520" s="234"/>
      <c r="D520" s="234"/>
      <c r="E520" s="234"/>
      <c r="F520" s="234"/>
      <c r="G520" s="234"/>
      <c r="H520" s="234"/>
      <c r="I520" s="234"/>
      <c r="J520" s="234"/>
      <c r="K520" s="234"/>
      <c r="L520" s="234"/>
      <c r="M520" s="234"/>
      <c r="N520" s="234"/>
      <c r="O520" s="234"/>
      <c r="P520" s="234"/>
      <c r="Q520" s="234"/>
      <c r="R520" s="234"/>
      <c r="S520" s="234"/>
      <c r="T520" s="234"/>
      <c r="U520" s="234"/>
      <c r="V520" s="234"/>
      <c r="W520" s="234"/>
      <c r="X520" s="234"/>
    </row>
    <row r="521" spans="1:24" ht="16.5" customHeight="1" x14ac:dyDescent="0.25">
      <c r="A521" s="234"/>
      <c r="B521" s="234"/>
      <c r="C521" s="234"/>
      <c r="D521" s="234"/>
      <c r="E521" s="234"/>
      <c r="F521" s="234"/>
      <c r="G521" s="234"/>
      <c r="H521" s="234"/>
      <c r="I521" s="234"/>
      <c r="J521" s="234"/>
      <c r="K521" s="234"/>
      <c r="L521" s="234"/>
      <c r="M521" s="234"/>
      <c r="N521" s="234"/>
      <c r="O521" s="234"/>
      <c r="P521" s="234"/>
      <c r="Q521" s="234"/>
      <c r="R521" s="234"/>
      <c r="S521" s="234"/>
      <c r="T521" s="234"/>
      <c r="U521" s="234"/>
      <c r="V521" s="234"/>
      <c r="W521" s="234"/>
      <c r="X521" s="234"/>
    </row>
    <row r="522" spans="1:24" ht="16.5" customHeight="1" x14ac:dyDescent="0.25">
      <c r="A522" s="234"/>
      <c r="B522" s="234"/>
      <c r="C522" s="234"/>
      <c r="D522" s="234"/>
      <c r="E522" s="234"/>
      <c r="F522" s="234"/>
      <c r="G522" s="234"/>
      <c r="H522" s="234"/>
      <c r="I522" s="234"/>
      <c r="J522" s="234"/>
      <c r="K522" s="234"/>
      <c r="L522" s="234"/>
      <c r="M522" s="234"/>
      <c r="N522" s="234"/>
      <c r="O522" s="234"/>
      <c r="P522" s="234"/>
      <c r="Q522" s="234"/>
      <c r="R522" s="234"/>
      <c r="S522" s="234"/>
      <c r="T522" s="234"/>
      <c r="U522" s="234"/>
      <c r="V522" s="234"/>
      <c r="W522" s="234"/>
      <c r="X522" s="234"/>
    </row>
    <row r="523" spans="1:24" ht="16.5" customHeight="1" x14ac:dyDescent="0.25">
      <c r="A523" s="234"/>
      <c r="B523" s="234"/>
      <c r="C523" s="234"/>
      <c r="D523" s="234"/>
      <c r="E523" s="234"/>
      <c r="F523" s="234"/>
      <c r="G523" s="234"/>
      <c r="H523" s="234"/>
      <c r="I523" s="234"/>
      <c r="J523" s="234"/>
      <c r="K523" s="234"/>
      <c r="L523" s="234"/>
      <c r="M523" s="234"/>
      <c r="N523" s="234"/>
      <c r="O523" s="234"/>
      <c r="P523" s="234"/>
      <c r="Q523" s="234"/>
      <c r="R523" s="234"/>
      <c r="S523" s="234"/>
      <c r="T523" s="234"/>
      <c r="U523" s="234"/>
      <c r="V523" s="234"/>
      <c r="W523" s="234"/>
      <c r="X523" s="234"/>
    </row>
    <row r="524" spans="1:24" ht="16.5" customHeight="1" x14ac:dyDescent="0.25">
      <c r="A524" s="234"/>
      <c r="B524" s="234"/>
      <c r="C524" s="234"/>
      <c r="D524" s="234"/>
      <c r="E524" s="234"/>
      <c r="F524" s="234"/>
      <c r="G524" s="234"/>
      <c r="H524" s="234"/>
      <c r="I524" s="234"/>
      <c r="J524" s="234"/>
      <c r="K524" s="234"/>
      <c r="L524" s="234"/>
      <c r="M524" s="234"/>
      <c r="N524" s="234"/>
      <c r="O524" s="234"/>
      <c r="P524" s="234"/>
      <c r="Q524" s="234"/>
      <c r="R524" s="234"/>
      <c r="S524" s="234"/>
      <c r="T524" s="234"/>
      <c r="U524" s="234"/>
      <c r="V524" s="234"/>
      <c r="W524" s="234"/>
      <c r="X524" s="234"/>
    </row>
    <row r="525" spans="1:24" ht="16.5" customHeight="1" x14ac:dyDescent="0.25">
      <c r="A525" s="234"/>
      <c r="B525" s="234"/>
      <c r="C525" s="234"/>
      <c r="D525" s="234"/>
      <c r="E525" s="234"/>
      <c r="F525" s="234"/>
      <c r="G525" s="234"/>
      <c r="H525" s="234"/>
      <c r="I525" s="234"/>
      <c r="J525" s="234"/>
      <c r="K525" s="234"/>
      <c r="L525" s="234"/>
      <c r="M525" s="234"/>
      <c r="N525" s="234"/>
      <c r="O525" s="234"/>
      <c r="P525" s="234"/>
      <c r="Q525" s="234"/>
      <c r="R525" s="234"/>
      <c r="S525" s="234"/>
      <c r="T525" s="234"/>
      <c r="U525" s="234"/>
      <c r="V525" s="234"/>
      <c r="W525" s="234"/>
      <c r="X525" s="234"/>
    </row>
    <row r="526" spans="1:24" ht="16.5" customHeight="1" x14ac:dyDescent="0.25">
      <c r="A526" s="234"/>
      <c r="B526" s="234"/>
      <c r="C526" s="234"/>
      <c r="D526" s="234"/>
      <c r="E526" s="234"/>
      <c r="F526" s="234"/>
      <c r="G526" s="234"/>
      <c r="H526" s="234"/>
      <c r="I526" s="234"/>
      <c r="J526" s="234"/>
      <c r="K526" s="234"/>
      <c r="L526" s="234"/>
      <c r="M526" s="234"/>
      <c r="N526" s="234"/>
      <c r="O526" s="234"/>
      <c r="P526" s="234"/>
      <c r="Q526" s="234"/>
      <c r="R526" s="234"/>
      <c r="S526" s="234"/>
      <c r="T526" s="234"/>
      <c r="U526" s="234"/>
      <c r="V526" s="234"/>
      <c r="W526" s="234"/>
      <c r="X526" s="234"/>
    </row>
    <row r="527" spans="1:24" ht="16.5" customHeight="1" x14ac:dyDescent="0.25">
      <c r="A527" s="234"/>
      <c r="B527" s="234"/>
      <c r="C527" s="234"/>
      <c r="D527" s="234"/>
      <c r="E527" s="234"/>
      <c r="F527" s="234"/>
      <c r="G527" s="234"/>
      <c r="H527" s="234"/>
      <c r="I527" s="234"/>
      <c r="J527" s="234"/>
      <c r="K527" s="234"/>
      <c r="L527" s="234"/>
      <c r="M527" s="234"/>
      <c r="N527" s="234"/>
      <c r="O527" s="234"/>
      <c r="P527" s="234"/>
      <c r="Q527" s="234"/>
      <c r="R527" s="234"/>
      <c r="S527" s="234"/>
      <c r="T527" s="234"/>
      <c r="U527" s="234"/>
      <c r="V527" s="234"/>
      <c r="W527" s="234"/>
      <c r="X527" s="234"/>
    </row>
    <row r="528" spans="1:24" ht="16.5" customHeight="1" x14ac:dyDescent="0.25">
      <c r="A528" s="234"/>
      <c r="B528" s="234"/>
      <c r="C528" s="234"/>
      <c r="D528" s="234"/>
      <c r="E528" s="234"/>
      <c r="F528" s="234"/>
      <c r="G528" s="234"/>
      <c r="H528" s="234"/>
      <c r="I528" s="234"/>
      <c r="J528" s="234"/>
      <c r="K528" s="234"/>
      <c r="L528" s="234"/>
      <c r="M528" s="234"/>
      <c r="N528" s="234"/>
      <c r="O528" s="234"/>
      <c r="P528" s="234"/>
      <c r="Q528" s="234"/>
      <c r="R528" s="234"/>
      <c r="S528" s="234"/>
      <c r="T528" s="234"/>
      <c r="U528" s="234"/>
      <c r="V528" s="234"/>
      <c r="W528" s="234"/>
      <c r="X528" s="234"/>
    </row>
    <row r="529" spans="1:24" ht="16.5" customHeight="1" x14ac:dyDescent="0.25">
      <c r="A529" s="234"/>
      <c r="B529" s="234"/>
      <c r="C529" s="234"/>
      <c r="D529" s="234"/>
      <c r="E529" s="234"/>
      <c r="F529" s="234"/>
      <c r="G529" s="234"/>
      <c r="H529" s="234"/>
      <c r="I529" s="234"/>
      <c r="J529" s="234"/>
      <c r="K529" s="234"/>
      <c r="L529" s="234"/>
      <c r="M529" s="234"/>
      <c r="N529" s="234"/>
      <c r="O529" s="234"/>
      <c r="P529" s="234"/>
      <c r="Q529" s="234"/>
      <c r="R529" s="234"/>
      <c r="S529" s="234"/>
      <c r="T529" s="234"/>
      <c r="U529" s="234"/>
      <c r="V529" s="234"/>
      <c r="W529" s="234"/>
      <c r="X529" s="234"/>
    </row>
    <row r="530" spans="1:24" ht="16.5" customHeight="1" x14ac:dyDescent="0.25">
      <c r="A530" s="234"/>
      <c r="B530" s="234"/>
      <c r="C530" s="234"/>
      <c r="D530" s="234"/>
      <c r="E530" s="234"/>
      <c r="F530" s="234"/>
      <c r="G530" s="234"/>
      <c r="H530" s="234"/>
      <c r="I530" s="234"/>
      <c r="J530" s="234"/>
      <c r="K530" s="234"/>
      <c r="L530" s="234"/>
      <c r="M530" s="234"/>
      <c r="N530" s="234"/>
      <c r="O530" s="234"/>
      <c r="P530" s="234"/>
      <c r="Q530" s="234"/>
      <c r="R530" s="234"/>
      <c r="S530" s="234"/>
      <c r="T530" s="234"/>
      <c r="U530" s="234"/>
      <c r="V530" s="234"/>
      <c r="W530" s="234"/>
      <c r="X530" s="234"/>
    </row>
    <row r="531" spans="1:24" ht="16.5" customHeight="1" x14ac:dyDescent="0.25">
      <c r="A531" s="234"/>
      <c r="B531" s="234"/>
      <c r="C531" s="234"/>
      <c r="D531" s="234"/>
      <c r="E531" s="234"/>
      <c r="F531" s="234"/>
      <c r="G531" s="234"/>
      <c r="H531" s="234"/>
      <c r="I531" s="234"/>
      <c r="J531" s="234"/>
      <c r="K531" s="234"/>
      <c r="L531" s="234"/>
      <c r="M531" s="234"/>
      <c r="N531" s="234"/>
      <c r="O531" s="234"/>
      <c r="P531" s="234"/>
      <c r="Q531" s="234"/>
      <c r="R531" s="234"/>
      <c r="S531" s="234"/>
      <c r="T531" s="234"/>
      <c r="U531" s="234"/>
      <c r="V531" s="234"/>
      <c r="W531" s="234"/>
      <c r="X531" s="234"/>
    </row>
    <row r="532" spans="1:24" ht="16.5" customHeight="1" x14ac:dyDescent="0.25">
      <c r="A532" s="234"/>
      <c r="B532" s="234"/>
      <c r="C532" s="234"/>
      <c r="D532" s="234"/>
      <c r="E532" s="234"/>
      <c r="F532" s="234"/>
      <c r="G532" s="234"/>
      <c r="H532" s="234"/>
      <c r="I532" s="234"/>
      <c r="J532" s="234"/>
      <c r="K532" s="234"/>
      <c r="L532" s="234"/>
      <c r="M532" s="234"/>
      <c r="N532" s="234"/>
      <c r="O532" s="234"/>
      <c r="P532" s="234"/>
      <c r="Q532" s="234"/>
      <c r="R532" s="234"/>
      <c r="S532" s="234"/>
      <c r="T532" s="234"/>
      <c r="U532" s="234"/>
      <c r="V532" s="234"/>
      <c r="W532" s="234"/>
      <c r="X532" s="234"/>
    </row>
    <row r="533" spans="1:24" ht="16.5" customHeight="1" x14ac:dyDescent="0.25">
      <c r="A533" s="234"/>
      <c r="B533" s="234"/>
      <c r="C533" s="234"/>
      <c r="D533" s="234"/>
      <c r="E533" s="234"/>
      <c r="F533" s="234"/>
      <c r="G533" s="234"/>
      <c r="H533" s="234"/>
      <c r="I533" s="234"/>
      <c r="J533" s="234"/>
      <c r="K533" s="234"/>
      <c r="L533" s="234"/>
      <c r="M533" s="234"/>
      <c r="N533" s="234"/>
      <c r="O533" s="234"/>
      <c r="P533" s="234"/>
      <c r="Q533" s="234"/>
      <c r="R533" s="234"/>
      <c r="S533" s="234"/>
      <c r="T533" s="234"/>
      <c r="U533" s="234"/>
      <c r="V533" s="234"/>
      <c r="W533" s="234"/>
      <c r="X533" s="234"/>
    </row>
    <row r="534" spans="1:24" ht="16.5" customHeight="1" x14ac:dyDescent="0.25">
      <c r="A534" s="234"/>
      <c r="B534" s="234"/>
      <c r="C534" s="234"/>
      <c r="D534" s="234"/>
      <c r="E534" s="234"/>
      <c r="F534" s="234"/>
      <c r="G534" s="234"/>
      <c r="H534" s="234"/>
      <c r="I534" s="234"/>
      <c r="J534" s="234"/>
      <c r="K534" s="234"/>
      <c r="L534" s="234"/>
      <c r="M534" s="234"/>
      <c r="N534" s="234"/>
      <c r="O534" s="234"/>
      <c r="P534" s="234"/>
      <c r="Q534" s="234"/>
      <c r="R534" s="234"/>
      <c r="S534" s="234"/>
      <c r="T534" s="234"/>
      <c r="U534" s="234"/>
      <c r="V534" s="234"/>
      <c r="W534" s="234"/>
      <c r="X534" s="234"/>
    </row>
    <row r="535" spans="1:24" ht="16.5" customHeight="1" x14ac:dyDescent="0.25">
      <c r="A535" s="234"/>
      <c r="B535" s="234"/>
      <c r="C535" s="234"/>
      <c r="D535" s="234"/>
      <c r="E535" s="234"/>
      <c r="F535" s="234"/>
      <c r="G535" s="234"/>
      <c r="H535" s="234"/>
      <c r="I535" s="234"/>
      <c r="J535" s="234"/>
      <c r="K535" s="234"/>
      <c r="L535" s="234"/>
      <c r="M535" s="234"/>
      <c r="N535" s="234"/>
      <c r="O535" s="234"/>
      <c r="P535" s="234"/>
      <c r="Q535" s="234"/>
      <c r="R535" s="234"/>
      <c r="S535" s="234"/>
      <c r="T535" s="234"/>
      <c r="U535" s="234"/>
      <c r="V535" s="234"/>
      <c r="W535" s="234"/>
      <c r="X535" s="234"/>
    </row>
    <row r="536" spans="1:24" ht="16.5" customHeight="1" x14ac:dyDescent="0.25">
      <c r="A536" s="234"/>
      <c r="B536" s="234"/>
      <c r="C536" s="234"/>
      <c r="D536" s="234"/>
      <c r="E536" s="234"/>
      <c r="F536" s="234"/>
      <c r="G536" s="234"/>
      <c r="H536" s="234"/>
      <c r="I536" s="234"/>
      <c r="J536" s="234"/>
      <c r="K536" s="234"/>
      <c r="L536" s="234"/>
      <c r="M536" s="234"/>
      <c r="N536" s="234"/>
      <c r="O536" s="234"/>
      <c r="P536" s="234"/>
      <c r="Q536" s="234"/>
      <c r="R536" s="234"/>
      <c r="S536" s="234"/>
      <c r="T536" s="234"/>
      <c r="U536" s="234"/>
      <c r="V536" s="234"/>
      <c r="W536" s="234"/>
      <c r="X536" s="234"/>
    </row>
    <row r="537" spans="1:24" ht="16.5" customHeight="1" x14ac:dyDescent="0.25">
      <c r="A537" s="234"/>
      <c r="B537" s="234"/>
      <c r="C537" s="234"/>
      <c r="D537" s="234"/>
      <c r="E537" s="234"/>
      <c r="F537" s="234"/>
      <c r="G537" s="234"/>
      <c r="H537" s="234"/>
      <c r="I537" s="234"/>
      <c r="J537" s="234"/>
      <c r="K537" s="234"/>
      <c r="L537" s="234"/>
      <c r="M537" s="234"/>
      <c r="N537" s="234"/>
      <c r="O537" s="234"/>
      <c r="P537" s="234"/>
      <c r="Q537" s="234"/>
      <c r="R537" s="234"/>
      <c r="S537" s="234"/>
      <c r="T537" s="234"/>
      <c r="U537" s="234"/>
      <c r="V537" s="234"/>
      <c r="W537" s="234"/>
      <c r="X537" s="234"/>
    </row>
    <row r="538" spans="1:24" ht="16.5" customHeight="1" x14ac:dyDescent="0.25">
      <c r="A538" s="234"/>
      <c r="B538" s="234"/>
      <c r="C538" s="234"/>
      <c r="D538" s="234"/>
      <c r="E538" s="234"/>
      <c r="F538" s="234"/>
      <c r="G538" s="234"/>
      <c r="H538" s="234"/>
      <c r="I538" s="234"/>
      <c r="J538" s="234"/>
      <c r="K538" s="234"/>
      <c r="L538" s="234"/>
      <c r="M538" s="234"/>
      <c r="N538" s="234"/>
      <c r="O538" s="234"/>
      <c r="P538" s="234"/>
      <c r="Q538" s="234"/>
      <c r="R538" s="234"/>
      <c r="S538" s="234"/>
      <c r="T538" s="234"/>
      <c r="U538" s="234"/>
      <c r="V538" s="234"/>
      <c r="W538" s="234"/>
      <c r="X538" s="234"/>
    </row>
    <row r="539" spans="1:24" ht="16.5" customHeight="1" x14ac:dyDescent="0.25">
      <c r="A539" s="234"/>
      <c r="B539" s="234"/>
      <c r="C539" s="234"/>
      <c r="D539" s="234"/>
      <c r="E539" s="234"/>
      <c r="F539" s="234"/>
      <c r="G539" s="234"/>
      <c r="H539" s="234"/>
      <c r="I539" s="234"/>
      <c r="J539" s="234"/>
      <c r="K539" s="234"/>
      <c r="L539" s="234"/>
      <c r="M539" s="234"/>
      <c r="N539" s="234"/>
      <c r="O539" s="234"/>
      <c r="P539" s="234"/>
      <c r="Q539" s="234"/>
      <c r="R539" s="234"/>
      <c r="S539" s="234"/>
      <c r="T539" s="234"/>
      <c r="U539" s="234"/>
      <c r="V539" s="234"/>
      <c r="W539" s="234"/>
      <c r="X539" s="234"/>
    </row>
    <row r="540" spans="1:24" ht="16.5" customHeight="1" x14ac:dyDescent="0.25">
      <c r="A540" s="234"/>
      <c r="B540" s="234"/>
      <c r="C540" s="234"/>
      <c r="D540" s="234"/>
      <c r="E540" s="234"/>
      <c r="F540" s="234"/>
      <c r="G540" s="234"/>
      <c r="H540" s="234"/>
      <c r="I540" s="234"/>
      <c r="J540" s="234"/>
      <c r="K540" s="234"/>
      <c r="L540" s="234"/>
      <c r="M540" s="234"/>
      <c r="N540" s="234"/>
      <c r="O540" s="234"/>
      <c r="P540" s="234"/>
      <c r="Q540" s="234"/>
      <c r="R540" s="234"/>
      <c r="S540" s="234"/>
      <c r="T540" s="234"/>
      <c r="U540" s="234"/>
      <c r="V540" s="234"/>
      <c r="W540" s="234"/>
      <c r="X540" s="234"/>
    </row>
    <row r="541" spans="1:24" ht="16.5" customHeight="1" x14ac:dyDescent="0.25">
      <c r="A541" s="234"/>
      <c r="B541" s="234"/>
      <c r="C541" s="234"/>
      <c r="D541" s="234"/>
      <c r="E541" s="234"/>
      <c r="F541" s="234"/>
      <c r="G541" s="234"/>
      <c r="H541" s="234"/>
      <c r="I541" s="234"/>
      <c r="J541" s="234"/>
      <c r="K541" s="234"/>
      <c r="L541" s="234"/>
      <c r="M541" s="234"/>
      <c r="N541" s="234"/>
      <c r="O541" s="234"/>
      <c r="P541" s="234"/>
      <c r="Q541" s="234"/>
      <c r="R541" s="234"/>
      <c r="S541" s="234"/>
      <c r="T541" s="234"/>
      <c r="U541" s="234"/>
      <c r="V541" s="234"/>
      <c r="W541" s="234"/>
      <c r="X541" s="234"/>
    </row>
    <row r="542" spans="1:24" ht="16.5" customHeight="1" x14ac:dyDescent="0.25">
      <c r="A542" s="234"/>
      <c r="B542" s="234"/>
      <c r="C542" s="234"/>
      <c r="D542" s="234"/>
      <c r="E542" s="234"/>
      <c r="F542" s="234"/>
      <c r="G542" s="234"/>
      <c r="H542" s="234"/>
      <c r="I542" s="234"/>
      <c r="J542" s="234"/>
      <c r="K542" s="234"/>
      <c r="L542" s="234"/>
      <c r="M542" s="234"/>
      <c r="N542" s="234"/>
      <c r="O542" s="234"/>
      <c r="P542" s="234"/>
      <c r="Q542" s="234"/>
      <c r="R542" s="234"/>
      <c r="S542" s="234"/>
      <c r="T542" s="234"/>
      <c r="U542" s="234"/>
      <c r="V542" s="234"/>
      <c r="W542" s="234"/>
      <c r="X542" s="234"/>
    </row>
    <row r="543" spans="1:24" ht="16.5" customHeight="1" x14ac:dyDescent="0.25">
      <c r="A543" s="234"/>
      <c r="B543" s="234"/>
      <c r="C543" s="234"/>
      <c r="D543" s="234"/>
      <c r="E543" s="234"/>
      <c r="F543" s="234"/>
      <c r="G543" s="234"/>
      <c r="H543" s="234"/>
      <c r="I543" s="234"/>
      <c r="J543" s="234"/>
      <c r="K543" s="234"/>
      <c r="L543" s="234"/>
      <c r="M543" s="234"/>
      <c r="N543" s="234"/>
      <c r="O543" s="234"/>
      <c r="P543" s="234"/>
      <c r="Q543" s="234"/>
      <c r="R543" s="234"/>
      <c r="S543" s="234"/>
      <c r="T543" s="234"/>
      <c r="U543" s="234"/>
      <c r="V543" s="234"/>
      <c r="W543" s="234"/>
      <c r="X543" s="234"/>
    </row>
    <row r="544" spans="1:24" ht="16.5" customHeight="1" x14ac:dyDescent="0.25">
      <c r="A544" s="234"/>
      <c r="B544" s="234"/>
      <c r="C544" s="234"/>
      <c r="D544" s="234"/>
      <c r="E544" s="234"/>
      <c r="F544" s="234"/>
      <c r="G544" s="234"/>
      <c r="H544" s="234"/>
      <c r="I544" s="234"/>
      <c r="J544" s="234"/>
      <c r="K544" s="234"/>
      <c r="L544" s="234"/>
      <c r="M544" s="234"/>
      <c r="N544" s="234"/>
      <c r="O544" s="234"/>
      <c r="P544" s="234"/>
      <c r="Q544" s="234"/>
      <c r="R544" s="234"/>
      <c r="S544" s="234"/>
      <c r="T544" s="234"/>
      <c r="U544" s="234"/>
      <c r="V544" s="234"/>
      <c r="W544" s="234"/>
      <c r="X544" s="234"/>
    </row>
    <row r="545" spans="1:24" ht="16.5" customHeight="1" x14ac:dyDescent="0.25">
      <c r="A545" s="234"/>
      <c r="B545" s="234"/>
      <c r="C545" s="234"/>
      <c r="D545" s="234"/>
      <c r="E545" s="234"/>
      <c r="F545" s="234"/>
      <c r="G545" s="234"/>
      <c r="H545" s="234"/>
      <c r="I545" s="234"/>
      <c r="J545" s="234"/>
      <c r="K545" s="234"/>
      <c r="L545" s="234"/>
      <c r="M545" s="234"/>
      <c r="N545" s="234"/>
      <c r="O545" s="234"/>
      <c r="P545" s="234"/>
      <c r="Q545" s="234"/>
      <c r="R545" s="234"/>
      <c r="S545" s="234"/>
      <c r="T545" s="234"/>
      <c r="U545" s="234"/>
      <c r="V545" s="234"/>
      <c r="W545" s="234"/>
      <c r="X545" s="234"/>
    </row>
    <row r="546" spans="1:24" ht="16.5" customHeight="1" x14ac:dyDescent="0.25">
      <c r="A546" s="234"/>
      <c r="B546" s="234"/>
      <c r="C546" s="234"/>
      <c r="D546" s="234"/>
      <c r="E546" s="234"/>
      <c r="F546" s="234"/>
      <c r="G546" s="234"/>
      <c r="H546" s="234"/>
      <c r="I546" s="234"/>
      <c r="J546" s="234"/>
      <c r="K546" s="234"/>
      <c r="L546" s="234"/>
      <c r="M546" s="234"/>
      <c r="N546" s="234"/>
      <c r="O546" s="234"/>
      <c r="P546" s="234"/>
      <c r="Q546" s="234"/>
      <c r="R546" s="234"/>
      <c r="S546" s="234"/>
      <c r="T546" s="234"/>
      <c r="U546" s="234"/>
      <c r="V546" s="234"/>
      <c r="W546" s="234"/>
      <c r="X546" s="234"/>
    </row>
    <row r="547" spans="1:24" ht="16.5" customHeight="1" x14ac:dyDescent="0.25">
      <c r="A547" s="234"/>
      <c r="B547" s="234"/>
      <c r="C547" s="234"/>
      <c r="D547" s="234"/>
      <c r="E547" s="234"/>
      <c r="F547" s="234"/>
      <c r="G547" s="234"/>
      <c r="H547" s="234"/>
      <c r="I547" s="234"/>
      <c r="J547" s="234"/>
      <c r="K547" s="234"/>
      <c r="L547" s="234"/>
      <c r="M547" s="234"/>
      <c r="N547" s="234"/>
      <c r="O547" s="234"/>
      <c r="P547" s="234"/>
      <c r="Q547" s="234"/>
      <c r="R547" s="234"/>
      <c r="S547" s="234"/>
      <c r="T547" s="234"/>
      <c r="U547" s="234"/>
      <c r="V547" s="234"/>
      <c r="W547" s="234"/>
      <c r="X547" s="234"/>
    </row>
    <row r="548" spans="1:24" ht="16.5" customHeight="1" x14ac:dyDescent="0.25">
      <c r="A548" s="234"/>
      <c r="B548" s="234"/>
      <c r="C548" s="234"/>
      <c r="D548" s="234"/>
      <c r="E548" s="234"/>
      <c r="F548" s="234"/>
      <c r="G548" s="234"/>
      <c r="H548" s="234"/>
      <c r="I548" s="234"/>
      <c r="J548" s="234"/>
      <c r="K548" s="234"/>
      <c r="L548" s="234"/>
      <c r="M548" s="234"/>
      <c r="N548" s="234"/>
      <c r="O548" s="234"/>
      <c r="P548" s="234"/>
      <c r="Q548" s="234"/>
      <c r="R548" s="234"/>
      <c r="S548" s="234"/>
      <c r="T548" s="234"/>
      <c r="U548" s="234"/>
      <c r="V548" s="234"/>
      <c r="W548" s="234"/>
      <c r="X548" s="234"/>
    </row>
    <row r="549" spans="1:24" ht="16.5" customHeight="1" x14ac:dyDescent="0.25">
      <c r="A549" s="234"/>
      <c r="B549" s="234"/>
      <c r="C549" s="234"/>
      <c r="D549" s="234"/>
      <c r="E549" s="234"/>
      <c r="F549" s="234"/>
      <c r="G549" s="234"/>
      <c r="H549" s="234"/>
      <c r="I549" s="234"/>
      <c r="J549" s="234"/>
      <c r="K549" s="234"/>
      <c r="L549" s="234"/>
      <c r="M549" s="234"/>
      <c r="N549" s="234"/>
      <c r="O549" s="234"/>
      <c r="P549" s="234"/>
      <c r="Q549" s="234"/>
      <c r="R549" s="234"/>
      <c r="S549" s="234"/>
      <c r="T549" s="234"/>
      <c r="U549" s="234"/>
      <c r="V549" s="234"/>
      <c r="W549" s="234"/>
      <c r="X549" s="234"/>
    </row>
    <row r="550" spans="1:24" ht="16.5" customHeight="1" x14ac:dyDescent="0.25">
      <c r="A550" s="234"/>
      <c r="B550" s="234"/>
      <c r="C550" s="234"/>
      <c r="D550" s="234"/>
      <c r="E550" s="234"/>
      <c r="F550" s="234"/>
      <c r="G550" s="234"/>
      <c r="H550" s="234"/>
      <c r="I550" s="234"/>
      <c r="J550" s="234"/>
      <c r="K550" s="234"/>
      <c r="L550" s="234"/>
      <c r="M550" s="234"/>
      <c r="N550" s="234"/>
      <c r="O550" s="234"/>
      <c r="P550" s="234"/>
      <c r="Q550" s="234"/>
      <c r="R550" s="234"/>
      <c r="S550" s="234"/>
      <c r="T550" s="234"/>
      <c r="U550" s="234"/>
      <c r="V550" s="234"/>
      <c r="W550" s="234"/>
      <c r="X550" s="234"/>
    </row>
    <row r="551" spans="1:24" ht="16.5" customHeight="1" x14ac:dyDescent="0.25">
      <c r="A551" s="234"/>
      <c r="B551" s="234"/>
      <c r="C551" s="234"/>
      <c r="D551" s="234"/>
      <c r="E551" s="234"/>
      <c r="F551" s="234"/>
      <c r="G551" s="234"/>
      <c r="H551" s="234"/>
      <c r="I551" s="234"/>
      <c r="J551" s="234"/>
      <c r="K551" s="234"/>
      <c r="L551" s="234"/>
      <c r="M551" s="234"/>
      <c r="N551" s="234"/>
      <c r="O551" s="234"/>
      <c r="P551" s="234"/>
      <c r="Q551" s="234"/>
      <c r="R551" s="234"/>
      <c r="S551" s="234"/>
      <c r="T551" s="234"/>
      <c r="U551" s="234"/>
      <c r="V551" s="234"/>
      <c r="W551" s="234"/>
      <c r="X551" s="234"/>
    </row>
    <row r="552" spans="1:24" ht="16.5" customHeight="1" x14ac:dyDescent="0.25">
      <c r="A552" s="234"/>
      <c r="B552" s="234"/>
      <c r="C552" s="234"/>
      <c r="D552" s="234"/>
      <c r="E552" s="234"/>
      <c r="F552" s="234"/>
      <c r="G552" s="234"/>
      <c r="H552" s="234"/>
      <c r="I552" s="234"/>
      <c r="J552" s="234"/>
      <c r="K552" s="234"/>
      <c r="L552" s="234"/>
      <c r="M552" s="234"/>
      <c r="N552" s="234"/>
      <c r="O552" s="234"/>
      <c r="P552" s="234"/>
      <c r="Q552" s="234"/>
      <c r="R552" s="234"/>
      <c r="S552" s="234"/>
      <c r="T552" s="234"/>
      <c r="U552" s="234"/>
      <c r="V552" s="234"/>
      <c r="W552" s="234"/>
      <c r="X552" s="234"/>
    </row>
    <row r="553" spans="1:24" ht="16.5" customHeight="1" x14ac:dyDescent="0.25">
      <c r="A553" s="234"/>
      <c r="B553" s="234"/>
      <c r="C553" s="234"/>
      <c r="D553" s="234"/>
      <c r="E553" s="234"/>
      <c r="F553" s="234"/>
      <c r="G553" s="234"/>
      <c r="H553" s="234"/>
      <c r="I553" s="234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</row>
    <row r="554" spans="1:24" ht="16.5" customHeight="1" x14ac:dyDescent="0.25">
      <c r="A554" s="234"/>
      <c r="B554" s="234"/>
      <c r="C554" s="234"/>
      <c r="D554" s="234"/>
      <c r="E554" s="234"/>
      <c r="F554" s="234"/>
      <c r="G554" s="234"/>
      <c r="H554" s="234"/>
      <c r="I554" s="234"/>
      <c r="J554" s="234"/>
      <c r="K554" s="234"/>
      <c r="L554" s="234"/>
      <c r="M554" s="234"/>
      <c r="N554" s="234"/>
      <c r="O554" s="234"/>
      <c r="P554" s="234"/>
      <c r="Q554" s="234"/>
      <c r="R554" s="234"/>
      <c r="S554" s="234"/>
      <c r="T554" s="234"/>
      <c r="U554" s="234"/>
      <c r="V554" s="234"/>
      <c r="W554" s="234"/>
      <c r="X554" s="234"/>
    </row>
    <row r="555" spans="1:24" ht="16.5" customHeight="1" x14ac:dyDescent="0.25">
      <c r="A555" s="234"/>
      <c r="B555" s="234"/>
      <c r="C555" s="234"/>
      <c r="D555" s="234"/>
      <c r="E555" s="234"/>
      <c r="F555" s="234"/>
      <c r="G555" s="234"/>
      <c r="H555" s="234"/>
      <c r="I555" s="234"/>
      <c r="J555" s="234"/>
      <c r="K555" s="234"/>
      <c r="L555" s="234"/>
      <c r="M555" s="234"/>
      <c r="N555" s="234"/>
      <c r="O555" s="234"/>
      <c r="P555" s="234"/>
      <c r="Q555" s="234"/>
      <c r="R555" s="234"/>
      <c r="S555" s="234"/>
      <c r="T555" s="234"/>
      <c r="U555" s="234"/>
      <c r="V555" s="234"/>
      <c r="W555" s="234"/>
      <c r="X555" s="234"/>
    </row>
    <row r="556" spans="1:24" ht="16.5" customHeight="1" x14ac:dyDescent="0.25">
      <c r="A556" s="234"/>
      <c r="B556" s="234"/>
      <c r="C556" s="234"/>
      <c r="D556" s="234"/>
      <c r="E556" s="234"/>
      <c r="F556" s="234"/>
      <c r="G556" s="234"/>
      <c r="H556" s="234"/>
      <c r="I556" s="234"/>
      <c r="J556" s="234"/>
      <c r="K556" s="234"/>
      <c r="L556" s="234"/>
      <c r="M556" s="234"/>
      <c r="N556" s="234"/>
      <c r="O556" s="234"/>
      <c r="P556" s="234"/>
      <c r="Q556" s="234"/>
      <c r="R556" s="234"/>
      <c r="S556" s="234"/>
      <c r="T556" s="234"/>
      <c r="U556" s="234"/>
      <c r="V556" s="234"/>
      <c r="W556" s="234"/>
      <c r="X556" s="234"/>
    </row>
    <row r="557" spans="1:24" ht="16.5" customHeight="1" x14ac:dyDescent="0.25">
      <c r="A557" s="234"/>
      <c r="B557" s="234"/>
      <c r="C557" s="234"/>
      <c r="D557" s="234"/>
      <c r="E557" s="234"/>
      <c r="F557" s="234"/>
      <c r="G557" s="234"/>
      <c r="H557" s="234"/>
      <c r="I557" s="234"/>
      <c r="J557" s="234"/>
      <c r="K557" s="234"/>
      <c r="L557" s="234"/>
      <c r="M557" s="234"/>
      <c r="N557" s="234"/>
      <c r="O557" s="234"/>
      <c r="P557" s="234"/>
      <c r="Q557" s="234"/>
      <c r="R557" s="234"/>
      <c r="S557" s="234"/>
      <c r="T557" s="234"/>
      <c r="U557" s="234"/>
      <c r="V557" s="234"/>
      <c r="W557" s="234"/>
      <c r="X557" s="234"/>
    </row>
    <row r="558" spans="1:24" ht="16.5" customHeight="1" x14ac:dyDescent="0.25">
      <c r="A558" s="234"/>
      <c r="B558" s="234"/>
      <c r="C558" s="234"/>
      <c r="D558" s="234"/>
      <c r="E558" s="234"/>
      <c r="F558" s="234"/>
      <c r="G558" s="234"/>
      <c r="H558" s="234"/>
      <c r="I558" s="234"/>
      <c r="J558" s="234"/>
      <c r="K558" s="234"/>
      <c r="L558" s="234"/>
      <c r="M558" s="234"/>
      <c r="N558" s="234"/>
      <c r="O558" s="234"/>
      <c r="P558" s="234"/>
      <c r="Q558" s="234"/>
      <c r="R558" s="234"/>
      <c r="S558" s="234"/>
      <c r="T558" s="234"/>
      <c r="U558" s="234"/>
      <c r="V558" s="234"/>
      <c r="W558" s="234"/>
      <c r="X558" s="234"/>
    </row>
    <row r="559" spans="1:24" ht="16.5" customHeight="1" x14ac:dyDescent="0.25">
      <c r="A559" s="234"/>
      <c r="B559" s="234"/>
      <c r="C559" s="234"/>
      <c r="D559" s="234"/>
      <c r="E559" s="234"/>
      <c r="F559" s="234"/>
      <c r="G559" s="234"/>
      <c r="H559" s="234"/>
      <c r="I559" s="234"/>
      <c r="J559" s="234"/>
      <c r="K559" s="234"/>
      <c r="L559" s="234"/>
      <c r="M559" s="234"/>
      <c r="N559" s="234"/>
      <c r="O559" s="234"/>
      <c r="P559" s="234"/>
      <c r="Q559" s="234"/>
      <c r="R559" s="234"/>
      <c r="S559" s="234"/>
      <c r="T559" s="234"/>
      <c r="U559" s="234"/>
      <c r="V559" s="234"/>
      <c r="W559" s="234"/>
      <c r="X559" s="234"/>
    </row>
    <row r="560" spans="1:24" ht="16.5" customHeight="1" x14ac:dyDescent="0.25">
      <c r="A560" s="234"/>
      <c r="B560" s="234"/>
      <c r="C560" s="234"/>
      <c r="D560" s="234"/>
      <c r="E560" s="234"/>
      <c r="F560" s="234"/>
      <c r="G560" s="234"/>
      <c r="H560" s="234"/>
      <c r="I560" s="234"/>
      <c r="J560" s="234"/>
      <c r="K560" s="234"/>
      <c r="L560" s="234"/>
      <c r="M560" s="234"/>
      <c r="N560" s="234"/>
      <c r="O560" s="234"/>
      <c r="P560" s="234"/>
      <c r="Q560" s="234"/>
      <c r="R560" s="234"/>
      <c r="S560" s="234"/>
      <c r="T560" s="234"/>
      <c r="U560" s="234"/>
      <c r="V560" s="234"/>
      <c r="W560" s="234"/>
      <c r="X560" s="234"/>
    </row>
    <row r="561" spans="1:24" ht="16.5" customHeight="1" x14ac:dyDescent="0.25">
      <c r="A561" s="234"/>
      <c r="B561" s="234"/>
      <c r="C561" s="234"/>
      <c r="D561" s="234"/>
      <c r="E561" s="234"/>
      <c r="F561" s="234"/>
      <c r="G561" s="234"/>
      <c r="H561" s="234"/>
      <c r="I561" s="234"/>
      <c r="J561" s="234"/>
      <c r="K561" s="234"/>
      <c r="L561" s="234"/>
      <c r="M561" s="234"/>
      <c r="N561" s="234"/>
      <c r="O561" s="234"/>
      <c r="P561" s="234"/>
      <c r="Q561" s="234"/>
      <c r="R561" s="234"/>
      <c r="S561" s="234"/>
      <c r="T561" s="234"/>
      <c r="U561" s="234"/>
      <c r="V561" s="234"/>
      <c r="W561" s="234"/>
      <c r="X561" s="234"/>
    </row>
    <row r="562" spans="1:24" ht="16.5" customHeight="1" x14ac:dyDescent="0.25">
      <c r="A562" s="234"/>
      <c r="B562" s="234"/>
      <c r="C562" s="234"/>
      <c r="D562" s="234"/>
      <c r="E562" s="234"/>
      <c r="F562" s="234"/>
      <c r="G562" s="234"/>
      <c r="H562" s="234"/>
      <c r="I562" s="234"/>
      <c r="J562" s="234"/>
      <c r="K562" s="234"/>
      <c r="L562" s="234"/>
      <c r="M562" s="234"/>
      <c r="N562" s="234"/>
      <c r="O562" s="234"/>
      <c r="P562" s="234"/>
      <c r="Q562" s="234"/>
      <c r="R562" s="234"/>
      <c r="S562" s="234"/>
      <c r="T562" s="234"/>
      <c r="U562" s="234"/>
      <c r="V562" s="234"/>
      <c r="W562" s="234"/>
      <c r="X562" s="234"/>
    </row>
    <row r="563" spans="1:24" ht="16.5" customHeight="1" x14ac:dyDescent="0.25">
      <c r="A563" s="234"/>
      <c r="B563" s="234"/>
      <c r="C563" s="234"/>
      <c r="D563" s="234"/>
      <c r="E563" s="234"/>
      <c r="F563" s="234"/>
      <c r="G563" s="234"/>
      <c r="H563" s="234"/>
      <c r="I563" s="234"/>
      <c r="J563" s="234"/>
      <c r="K563" s="234"/>
      <c r="L563" s="234"/>
      <c r="M563" s="234"/>
      <c r="N563" s="234"/>
      <c r="O563" s="234"/>
      <c r="P563" s="234"/>
      <c r="Q563" s="234"/>
      <c r="R563" s="234"/>
      <c r="S563" s="234"/>
      <c r="T563" s="234"/>
      <c r="U563" s="234"/>
      <c r="V563" s="234"/>
      <c r="W563" s="234"/>
      <c r="X563" s="234"/>
    </row>
    <row r="564" spans="1:24" ht="16.5" customHeight="1" x14ac:dyDescent="0.25">
      <c r="A564" s="234"/>
      <c r="B564" s="234"/>
      <c r="C564" s="234"/>
      <c r="D564" s="234"/>
      <c r="E564" s="234"/>
      <c r="F564" s="234"/>
      <c r="G564" s="234"/>
      <c r="H564" s="234"/>
      <c r="I564" s="234"/>
      <c r="J564" s="234"/>
      <c r="K564" s="234"/>
      <c r="L564" s="234"/>
      <c r="M564" s="234"/>
      <c r="N564" s="234"/>
      <c r="O564" s="234"/>
      <c r="P564" s="234"/>
      <c r="Q564" s="234"/>
      <c r="R564" s="234"/>
      <c r="S564" s="234"/>
      <c r="T564" s="234"/>
      <c r="U564" s="234"/>
      <c r="V564" s="234"/>
      <c r="W564" s="234"/>
      <c r="X564" s="234"/>
    </row>
    <row r="565" spans="1:24" ht="16.5" customHeight="1" x14ac:dyDescent="0.25">
      <c r="A565" s="234"/>
      <c r="B565" s="234"/>
      <c r="C565" s="234"/>
      <c r="D565" s="234"/>
      <c r="E565" s="234"/>
      <c r="F565" s="234"/>
      <c r="G565" s="234"/>
      <c r="H565" s="234"/>
      <c r="I565" s="234"/>
      <c r="J565" s="234"/>
      <c r="K565" s="234"/>
      <c r="L565" s="234"/>
      <c r="M565" s="234"/>
      <c r="N565" s="234"/>
      <c r="O565" s="234"/>
      <c r="P565" s="234"/>
      <c r="Q565" s="234"/>
      <c r="R565" s="234"/>
      <c r="S565" s="234"/>
      <c r="T565" s="234"/>
      <c r="U565" s="234"/>
      <c r="V565" s="234"/>
      <c r="W565" s="234"/>
      <c r="X565" s="234"/>
    </row>
    <row r="566" spans="1:24" ht="16.5" customHeight="1" x14ac:dyDescent="0.25">
      <c r="A566" s="234"/>
      <c r="B566" s="234"/>
      <c r="C566" s="234"/>
      <c r="D566" s="234"/>
      <c r="E566" s="234"/>
      <c r="F566" s="234"/>
      <c r="G566" s="234"/>
      <c r="H566" s="234"/>
      <c r="I566" s="234"/>
      <c r="J566" s="234"/>
      <c r="K566" s="234"/>
      <c r="L566" s="234"/>
      <c r="M566" s="234"/>
      <c r="N566" s="234"/>
      <c r="O566" s="234"/>
      <c r="P566" s="234"/>
      <c r="Q566" s="234"/>
      <c r="R566" s="234"/>
      <c r="S566" s="234"/>
      <c r="T566" s="234"/>
      <c r="U566" s="234"/>
      <c r="V566" s="234"/>
      <c r="W566" s="234"/>
      <c r="X566" s="234"/>
    </row>
    <row r="567" spans="1:24" ht="16.5" customHeight="1" x14ac:dyDescent="0.25">
      <c r="A567" s="234"/>
      <c r="B567" s="234"/>
      <c r="C567" s="234"/>
      <c r="D567" s="234"/>
      <c r="E567" s="234"/>
      <c r="F567" s="234"/>
      <c r="G567" s="234"/>
      <c r="H567" s="234"/>
      <c r="I567" s="234"/>
      <c r="J567" s="234"/>
      <c r="K567" s="234"/>
      <c r="L567" s="234"/>
      <c r="M567" s="234"/>
      <c r="N567" s="234"/>
      <c r="O567" s="234"/>
      <c r="P567" s="234"/>
      <c r="Q567" s="234"/>
      <c r="R567" s="234"/>
      <c r="S567" s="234"/>
      <c r="T567" s="234"/>
      <c r="U567" s="234"/>
      <c r="V567" s="234"/>
      <c r="W567" s="234"/>
      <c r="X567" s="234"/>
    </row>
    <row r="568" spans="1:24" ht="16.5" customHeight="1" x14ac:dyDescent="0.25">
      <c r="A568" s="234"/>
      <c r="B568" s="234"/>
      <c r="C568" s="234"/>
      <c r="D568" s="234"/>
      <c r="E568" s="234"/>
      <c r="F568" s="234"/>
      <c r="G568" s="234"/>
      <c r="H568" s="234"/>
      <c r="I568" s="234"/>
      <c r="J568" s="234"/>
      <c r="K568" s="234"/>
      <c r="L568" s="234"/>
      <c r="M568" s="234"/>
      <c r="N568" s="234"/>
      <c r="O568" s="234"/>
      <c r="P568" s="234"/>
      <c r="Q568" s="234"/>
      <c r="R568" s="234"/>
      <c r="S568" s="234"/>
      <c r="T568" s="234"/>
      <c r="U568" s="234"/>
      <c r="V568" s="234"/>
      <c r="W568" s="234"/>
      <c r="X568" s="234"/>
    </row>
    <row r="569" spans="1:24" ht="16.5" customHeight="1" x14ac:dyDescent="0.25">
      <c r="A569" s="1"/>
      <c r="B569" s="1"/>
      <c r="C569" s="82"/>
      <c r="D569" s="1"/>
      <c r="E569" s="1"/>
      <c r="F569" s="1"/>
      <c r="G569" s="1"/>
      <c r="H569" s="1"/>
      <c r="I569" s="1"/>
      <c r="J569" s="294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6.5" customHeight="1" x14ac:dyDescent="0.25">
      <c r="A570" s="1"/>
      <c r="B570" s="1"/>
      <c r="C570" s="82"/>
      <c r="D570" s="1"/>
      <c r="E570" s="1"/>
      <c r="F570" s="1"/>
      <c r="G570" s="1"/>
      <c r="H570" s="1"/>
      <c r="I570" s="1"/>
      <c r="J570" s="294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6.5" customHeight="1" x14ac:dyDescent="0.25">
      <c r="A571" s="1"/>
      <c r="B571" s="1"/>
      <c r="C571" s="82"/>
      <c r="D571" s="1"/>
      <c r="E571" s="1"/>
      <c r="F571" s="1"/>
      <c r="G571" s="1"/>
      <c r="H571" s="1"/>
      <c r="I571" s="1"/>
      <c r="J571" s="294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6.5" customHeight="1" x14ac:dyDescent="0.25">
      <c r="A572" s="1"/>
      <c r="B572" s="1"/>
      <c r="C572" s="82"/>
      <c r="D572" s="1"/>
      <c r="E572" s="1"/>
      <c r="F572" s="1"/>
      <c r="G572" s="1"/>
      <c r="H572" s="1"/>
      <c r="I572" s="1"/>
      <c r="J572" s="294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6.5" customHeight="1" x14ac:dyDescent="0.25">
      <c r="A573" s="1"/>
      <c r="B573" s="1"/>
      <c r="C573" s="82"/>
      <c r="D573" s="1"/>
      <c r="E573" s="1"/>
      <c r="F573" s="1"/>
      <c r="G573" s="1"/>
      <c r="H573" s="1"/>
      <c r="I573" s="1"/>
      <c r="J573" s="294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6.5" customHeight="1" x14ac:dyDescent="0.25">
      <c r="A574" s="1"/>
      <c r="B574" s="1"/>
      <c r="C574" s="82"/>
      <c r="D574" s="1"/>
      <c r="E574" s="1"/>
      <c r="F574" s="1"/>
      <c r="G574" s="1"/>
      <c r="H574" s="1"/>
      <c r="I574" s="1"/>
      <c r="J574" s="294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6.5" customHeight="1" x14ac:dyDescent="0.25">
      <c r="A575" s="1"/>
      <c r="B575" s="1"/>
      <c r="C575" s="82"/>
      <c r="D575" s="1"/>
      <c r="E575" s="1"/>
      <c r="F575" s="1"/>
      <c r="G575" s="1"/>
      <c r="H575" s="1"/>
      <c r="I575" s="1"/>
      <c r="J575" s="294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6.5" customHeight="1" x14ac:dyDescent="0.25">
      <c r="A576" s="1"/>
      <c r="B576" s="1"/>
      <c r="C576" s="82"/>
      <c r="D576" s="1"/>
      <c r="E576" s="1"/>
      <c r="F576" s="1"/>
      <c r="G576" s="1"/>
      <c r="H576" s="1"/>
      <c r="I576" s="1"/>
      <c r="J576" s="294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6.5" customHeight="1" x14ac:dyDescent="0.25">
      <c r="A577" s="1"/>
      <c r="B577" s="1"/>
      <c r="C577" s="82"/>
      <c r="D577" s="1"/>
      <c r="E577" s="1"/>
      <c r="F577" s="1"/>
      <c r="G577" s="1"/>
      <c r="H577" s="1"/>
      <c r="I577" s="1"/>
      <c r="J577" s="294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6.5" customHeight="1" x14ac:dyDescent="0.25">
      <c r="A578" s="1"/>
      <c r="B578" s="1"/>
      <c r="C578" s="82"/>
      <c r="D578" s="1"/>
      <c r="E578" s="1"/>
      <c r="F578" s="1"/>
      <c r="G578" s="1"/>
      <c r="H578" s="1"/>
      <c r="I578" s="1"/>
      <c r="J578" s="294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6.5" customHeight="1" x14ac:dyDescent="0.25">
      <c r="A579" s="1"/>
      <c r="B579" s="1"/>
      <c r="C579" s="82"/>
      <c r="D579" s="1"/>
      <c r="E579" s="1"/>
      <c r="F579" s="1"/>
      <c r="G579" s="1"/>
      <c r="H579" s="1"/>
      <c r="I579" s="1"/>
      <c r="J579" s="294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6.5" customHeight="1" x14ac:dyDescent="0.25">
      <c r="A580" s="1"/>
      <c r="B580" s="1"/>
      <c r="C580" s="82"/>
      <c r="D580" s="1"/>
      <c r="E580" s="1"/>
      <c r="F580" s="1"/>
      <c r="G580" s="1"/>
      <c r="H580" s="1"/>
      <c r="I580" s="1"/>
      <c r="J580" s="294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6.5" customHeight="1" x14ac:dyDescent="0.25">
      <c r="A581" s="1"/>
      <c r="B581" s="1"/>
      <c r="C581" s="82"/>
      <c r="D581" s="1"/>
      <c r="E581" s="1"/>
      <c r="F581" s="1"/>
      <c r="G581" s="1"/>
      <c r="H581" s="1"/>
      <c r="I581" s="1"/>
      <c r="J581" s="294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6.5" customHeight="1" x14ac:dyDescent="0.25">
      <c r="A582" s="1"/>
      <c r="B582" s="1"/>
      <c r="C582" s="82"/>
      <c r="D582" s="1"/>
      <c r="E582" s="1"/>
      <c r="F582" s="1"/>
      <c r="G582" s="1"/>
      <c r="H582" s="1"/>
      <c r="I582" s="1"/>
      <c r="J582" s="294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6.5" customHeight="1" x14ac:dyDescent="0.25">
      <c r="A583" s="1"/>
      <c r="B583" s="1"/>
      <c r="C583" s="82"/>
      <c r="D583" s="1"/>
      <c r="E583" s="1"/>
      <c r="F583" s="1"/>
      <c r="G583" s="1"/>
      <c r="H583" s="1"/>
      <c r="I583" s="1"/>
      <c r="J583" s="294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6.5" customHeight="1" x14ac:dyDescent="0.25">
      <c r="A584" s="1"/>
      <c r="B584" s="1"/>
      <c r="C584" s="82"/>
      <c r="D584" s="1"/>
      <c r="E584" s="1"/>
      <c r="F584" s="1"/>
      <c r="G584" s="1"/>
      <c r="H584" s="1"/>
      <c r="I584" s="1"/>
      <c r="J584" s="294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6.5" customHeight="1" x14ac:dyDescent="0.25">
      <c r="A585" s="1"/>
      <c r="B585" s="1"/>
      <c r="C585" s="82"/>
      <c r="D585" s="1"/>
      <c r="E585" s="1"/>
      <c r="F585" s="1"/>
      <c r="G585" s="1"/>
      <c r="H585" s="1"/>
      <c r="I585" s="1"/>
      <c r="J585" s="294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6.5" customHeight="1" x14ac:dyDescent="0.25">
      <c r="A586" s="1"/>
      <c r="B586" s="1"/>
      <c r="C586" s="82"/>
      <c r="D586" s="1"/>
      <c r="E586" s="1"/>
      <c r="F586" s="1"/>
      <c r="G586" s="1"/>
      <c r="H586" s="1"/>
      <c r="I586" s="1"/>
      <c r="J586" s="294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6.5" customHeight="1" x14ac:dyDescent="0.25">
      <c r="A587" s="1"/>
      <c r="B587" s="1"/>
      <c r="C587" s="82"/>
      <c r="D587" s="1"/>
      <c r="E587" s="1"/>
      <c r="F587" s="1"/>
      <c r="G587" s="1"/>
      <c r="H587" s="1"/>
      <c r="I587" s="1"/>
      <c r="J587" s="294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6.5" customHeight="1" x14ac:dyDescent="0.25">
      <c r="A588" s="1"/>
      <c r="B588" s="1"/>
      <c r="C588" s="82"/>
      <c r="D588" s="1"/>
      <c r="E588" s="1"/>
      <c r="F588" s="1"/>
      <c r="G588" s="1"/>
      <c r="H588" s="1"/>
      <c r="I588" s="1"/>
      <c r="J588" s="294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6.5" customHeight="1" x14ac:dyDescent="0.25">
      <c r="A589" s="1"/>
      <c r="B589" s="1"/>
      <c r="C589" s="82"/>
      <c r="D589" s="1"/>
      <c r="E589" s="1"/>
      <c r="F589" s="1"/>
      <c r="G589" s="1"/>
      <c r="H589" s="1"/>
      <c r="I589" s="1"/>
      <c r="J589" s="294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6.5" customHeight="1" x14ac:dyDescent="0.25">
      <c r="A590" s="1"/>
      <c r="B590" s="1"/>
      <c r="C590" s="82"/>
      <c r="D590" s="1"/>
      <c r="E590" s="1"/>
      <c r="F590" s="1"/>
      <c r="G590" s="1"/>
      <c r="H590" s="1"/>
      <c r="I590" s="1"/>
      <c r="J590" s="294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6.5" customHeight="1" x14ac:dyDescent="0.25">
      <c r="A591" s="1"/>
      <c r="B591" s="1"/>
      <c r="C591" s="82"/>
      <c r="D591" s="1"/>
      <c r="E591" s="1"/>
      <c r="F591" s="1"/>
      <c r="G591" s="1"/>
      <c r="H591" s="1"/>
      <c r="I591" s="1"/>
      <c r="J591" s="294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6.5" customHeight="1" x14ac:dyDescent="0.25">
      <c r="A592" s="1"/>
      <c r="B592" s="1"/>
      <c r="C592" s="82"/>
      <c r="D592" s="1"/>
      <c r="E592" s="1"/>
      <c r="F592" s="1"/>
      <c r="G592" s="1"/>
      <c r="H592" s="1"/>
      <c r="I592" s="1"/>
      <c r="J592" s="294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6.5" customHeight="1" x14ac:dyDescent="0.25">
      <c r="A593" s="1"/>
      <c r="B593" s="1"/>
      <c r="C593" s="82"/>
      <c r="D593" s="1"/>
      <c r="E593" s="1"/>
      <c r="F593" s="1"/>
      <c r="G593" s="1"/>
      <c r="H593" s="1"/>
      <c r="I593" s="1"/>
      <c r="J593" s="294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6.5" customHeight="1" x14ac:dyDescent="0.25">
      <c r="A594" s="1"/>
      <c r="B594" s="1"/>
      <c r="C594" s="82"/>
      <c r="D594" s="1"/>
      <c r="E594" s="1"/>
      <c r="F594" s="1"/>
      <c r="G594" s="1"/>
      <c r="H594" s="1"/>
      <c r="I594" s="1"/>
      <c r="J594" s="294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6.5" customHeight="1" x14ac:dyDescent="0.25">
      <c r="A595" s="1"/>
      <c r="B595" s="1"/>
      <c r="C595" s="82"/>
      <c r="D595" s="1"/>
      <c r="E595" s="1"/>
      <c r="F595" s="1"/>
      <c r="G595" s="1"/>
      <c r="H595" s="1"/>
      <c r="I595" s="1"/>
      <c r="J595" s="294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6.5" customHeight="1" x14ac:dyDescent="0.25">
      <c r="A596" s="1"/>
      <c r="B596" s="1"/>
      <c r="C596" s="82"/>
      <c r="D596" s="1"/>
      <c r="E596" s="1"/>
      <c r="F596" s="1"/>
      <c r="G596" s="1"/>
      <c r="H596" s="1"/>
      <c r="I596" s="1"/>
      <c r="J596" s="294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6.5" customHeight="1" x14ac:dyDescent="0.25">
      <c r="A597" s="1"/>
      <c r="B597" s="1"/>
      <c r="C597" s="82"/>
      <c r="D597" s="1"/>
      <c r="E597" s="1"/>
      <c r="F597" s="1"/>
      <c r="G597" s="1"/>
      <c r="H597" s="1"/>
      <c r="I597" s="1"/>
      <c r="J597" s="294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6.5" customHeight="1" x14ac:dyDescent="0.25">
      <c r="A598" s="1"/>
      <c r="B598" s="1"/>
      <c r="C598" s="82"/>
      <c r="D598" s="1"/>
      <c r="E598" s="1"/>
      <c r="F598" s="1"/>
      <c r="G598" s="1"/>
      <c r="H598" s="1"/>
      <c r="I598" s="1"/>
      <c r="J598" s="294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6.5" customHeight="1" x14ac:dyDescent="0.25">
      <c r="A599" s="1"/>
      <c r="B599" s="1"/>
      <c r="C599" s="82"/>
      <c r="D599" s="1"/>
      <c r="E599" s="1"/>
      <c r="F599" s="1"/>
      <c r="G599" s="1"/>
      <c r="H599" s="1"/>
      <c r="I599" s="1"/>
      <c r="J599" s="294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6.5" customHeight="1" x14ac:dyDescent="0.25">
      <c r="A600" s="1"/>
      <c r="B600" s="1"/>
      <c r="C600" s="82"/>
      <c r="D600" s="1"/>
      <c r="E600" s="1"/>
      <c r="F600" s="1"/>
      <c r="G600" s="1"/>
      <c r="H600" s="1"/>
      <c r="I600" s="1"/>
      <c r="J600" s="294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6.5" customHeight="1" x14ac:dyDescent="0.25">
      <c r="A601" s="1"/>
      <c r="B601" s="1"/>
      <c r="C601" s="82"/>
      <c r="D601" s="1"/>
      <c r="E601" s="1"/>
      <c r="F601" s="1"/>
      <c r="G601" s="1"/>
      <c r="H601" s="1"/>
      <c r="I601" s="1"/>
      <c r="J601" s="294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6.5" customHeight="1" x14ac:dyDescent="0.25">
      <c r="A602" s="1"/>
      <c r="B602" s="1"/>
      <c r="C602" s="82"/>
      <c r="D602" s="1"/>
      <c r="E602" s="1"/>
      <c r="F602" s="1"/>
      <c r="G602" s="1"/>
      <c r="H602" s="1"/>
      <c r="I602" s="1"/>
      <c r="J602" s="294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6.5" customHeight="1" x14ac:dyDescent="0.25">
      <c r="A603" s="1"/>
      <c r="B603" s="1"/>
      <c r="C603" s="82"/>
      <c r="D603" s="1"/>
      <c r="E603" s="1"/>
      <c r="F603" s="1"/>
      <c r="G603" s="1"/>
      <c r="H603" s="1"/>
      <c r="I603" s="1"/>
      <c r="J603" s="294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6.5" customHeight="1" x14ac:dyDescent="0.25">
      <c r="A604" s="1"/>
      <c r="B604" s="1"/>
      <c r="C604" s="82"/>
      <c r="D604" s="1"/>
      <c r="E604" s="1"/>
      <c r="F604" s="1"/>
      <c r="G604" s="1"/>
      <c r="H604" s="1"/>
      <c r="I604" s="1"/>
      <c r="J604" s="294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6.5" customHeight="1" x14ac:dyDescent="0.25">
      <c r="A605" s="1"/>
      <c r="B605" s="1"/>
      <c r="C605" s="82"/>
      <c r="D605" s="1"/>
      <c r="E605" s="1"/>
      <c r="F605" s="1"/>
      <c r="G605" s="1"/>
      <c r="H605" s="1"/>
      <c r="I605" s="1"/>
      <c r="J605" s="294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6.5" customHeight="1" x14ac:dyDescent="0.25">
      <c r="A606" s="1"/>
      <c r="B606" s="1"/>
      <c r="C606" s="82"/>
      <c r="D606" s="1"/>
      <c r="E606" s="1"/>
      <c r="F606" s="1"/>
      <c r="G606" s="1"/>
      <c r="H606" s="1"/>
      <c r="I606" s="1"/>
      <c r="J606" s="294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6.5" customHeight="1" x14ac:dyDescent="0.25">
      <c r="A607" s="1"/>
      <c r="B607" s="1"/>
      <c r="C607" s="82"/>
      <c r="D607" s="1"/>
      <c r="E607" s="1"/>
      <c r="F607" s="1"/>
      <c r="G607" s="1"/>
      <c r="H607" s="1"/>
      <c r="I607" s="1"/>
      <c r="J607" s="294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6.5" customHeight="1" x14ac:dyDescent="0.25">
      <c r="A608" s="1"/>
      <c r="B608" s="1"/>
      <c r="C608" s="82"/>
      <c r="D608" s="1"/>
      <c r="E608" s="1"/>
      <c r="F608" s="1"/>
      <c r="G608" s="1"/>
      <c r="H608" s="1"/>
      <c r="I608" s="1"/>
      <c r="J608" s="294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6.5" customHeight="1" x14ac:dyDescent="0.25">
      <c r="A609" s="1"/>
      <c r="B609" s="1"/>
      <c r="C609" s="82"/>
      <c r="D609" s="1"/>
      <c r="E609" s="1"/>
      <c r="F609" s="1"/>
      <c r="G609" s="1"/>
      <c r="H609" s="1"/>
      <c r="I609" s="1"/>
      <c r="J609" s="294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6.5" customHeight="1" x14ac:dyDescent="0.25">
      <c r="A610" s="1"/>
      <c r="B610" s="1"/>
      <c r="C610" s="82"/>
      <c r="D610" s="1"/>
      <c r="E610" s="1"/>
      <c r="F610" s="1"/>
      <c r="G610" s="1"/>
      <c r="H610" s="1"/>
      <c r="I610" s="1"/>
      <c r="J610" s="294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6.5" customHeight="1" x14ac:dyDescent="0.25">
      <c r="A611" s="1"/>
      <c r="B611" s="1"/>
      <c r="C611" s="82"/>
      <c r="D611" s="1"/>
      <c r="E611" s="1"/>
      <c r="F611" s="1"/>
      <c r="G611" s="1"/>
      <c r="H611" s="1"/>
      <c r="I611" s="1"/>
      <c r="J611" s="294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6.5" customHeight="1" x14ac:dyDescent="0.25">
      <c r="A612" s="1"/>
      <c r="B612" s="1"/>
      <c r="C612" s="82"/>
      <c r="D612" s="1"/>
      <c r="E612" s="1"/>
      <c r="F612" s="1"/>
      <c r="G612" s="1"/>
      <c r="H612" s="1"/>
      <c r="I612" s="1"/>
      <c r="J612" s="294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6.5" customHeight="1" x14ac:dyDescent="0.25">
      <c r="A613" s="1"/>
      <c r="B613" s="1"/>
      <c r="C613" s="82"/>
      <c r="D613" s="1"/>
      <c r="E613" s="1"/>
      <c r="F613" s="1"/>
      <c r="G613" s="1"/>
      <c r="H613" s="1"/>
      <c r="I613" s="1"/>
      <c r="J613" s="294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6.5" customHeight="1" x14ac:dyDescent="0.25">
      <c r="A614" s="1"/>
      <c r="B614" s="1"/>
      <c r="C614" s="82"/>
      <c r="D614" s="1"/>
      <c r="E614" s="1"/>
      <c r="F614" s="1"/>
      <c r="G614" s="1"/>
      <c r="H614" s="1"/>
      <c r="I614" s="1"/>
      <c r="J614" s="294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6.5" customHeight="1" x14ac:dyDescent="0.25">
      <c r="A615" s="1"/>
      <c r="B615" s="1"/>
      <c r="C615" s="82"/>
      <c r="D615" s="1"/>
      <c r="E615" s="1"/>
      <c r="F615" s="1"/>
      <c r="G615" s="1"/>
      <c r="H615" s="1"/>
      <c r="I615" s="1"/>
      <c r="J615" s="294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6.5" customHeight="1" x14ac:dyDescent="0.25">
      <c r="A616" s="1"/>
      <c r="B616" s="1"/>
      <c r="C616" s="82"/>
      <c r="D616" s="1"/>
      <c r="E616" s="1"/>
      <c r="F616" s="1"/>
      <c r="G616" s="1"/>
      <c r="H616" s="1"/>
      <c r="I616" s="1"/>
      <c r="J616" s="294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6.5" customHeight="1" x14ac:dyDescent="0.25">
      <c r="A617" s="1"/>
      <c r="B617" s="1"/>
      <c r="C617" s="82"/>
      <c r="D617" s="1"/>
      <c r="E617" s="1"/>
      <c r="F617" s="1"/>
      <c r="G617" s="1"/>
      <c r="H617" s="1"/>
      <c r="I617" s="1"/>
      <c r="J617" s="294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6.5" customHeight="1" x14ac:dyDescent="0.25">
      <c r="A618" s="1"/>
      <c r="B618" s="1"/>
      <c r="C618" s="82"/>
      <c r="D618" s="1"/>
      <c r="E618" s="1"/>
      <c r="F618" s="1"/>
      <c r="G618" s="1"/>
      <c r="H618" s="1"/>
      <c r="I618" s="1"/>
      <c r="J618" s="294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6.5" customHeight="1" x14ac:dyDescent="0.25">
      <c r="A619" s="1"/>
      <c r="B619" s="1"/>
      <c r="C619" s="82"/>
      <c r="D619" s="1"/>
      <c r="E619" s="1"/>
      <c r="F619" s="1"/>
      <c r="G619" s="1"/>
      <c r="H619" s="1"/>
      <c r="I619" s="1"/>
      <c r="J619" s="294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6.5" customHeight="1" x14ac:dyDescent="0.25">
      <c r="A620" s="1"/>
      <c r="B620" s="1"/>
      <c r="C620" s="82"/>
      <c r="D620" s="1"/>
      <c r="E620" s="1"/>
      <c r="F620" s="1"/>
      <c r="G620" s="1"/>
      <c r="H620" s="1"/>
      <c r="I620" s="1"/>
      <c r="J620" s="294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6.5" customHeight="1" x14ac:dyDescent="0.25">
      <c r="A621" s="1"/>
      <c r="B621" s="1"/>
      <c r="C621" s="82"/>
      <c r="D621" s="1"/>
      <c r="E621" s="1"/>
      <c r="F621" s="1"/>
      <c r="G621" s="1"/>
      <c r="H621" s="1"/>
      <c r="I621" s="1"/>
      <c r="J621" s="294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6.5" customHeight="1" x14ac:dyDescent="0.25">
      <c r="A622" s="1"/>
      <c r="B622" s="1"/>
      <c r="C622" s="82"/>
      <c r="D622" s="1"/>
      <c r="E622" s="1"/>
      <c r="F622" s="1"/>
      <c r="G622" s="1"/>
      <c r="H622" s="1"/>
      <c r="I622" s="1"/>
      <c r="J622" s="294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6.5" customHeight="1" x14ac:dyDescent="0.25">
      <c r="A623" s="1"/>
      <c r="B623" s="1"/>
      <c r="C623" s="82"/>
      <c r="D623" s="1"/>
      <c r="E623" s="1"/>
      <c r="F623" s="1"/>
      <c r="G623" s="1"/>
      <c r="H623" s="1"/>
      <c r="I623" s="1"/>
      <c r="J623" s="294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6.5" customHeight="1" x14ac:dyDescent="0.25">
      <c r="A624" s="1"/>
      <c r="B624" s="1"/>
      <c r="C624" s="82"/>
      <c r="D624" s="1"/>
      <c r="E624" s="1"/>
      <c r="F624" s="1"/>
      <c r="G624" s="1"/>
      <c r="H624" s="1"/>
      <c r="I624" s="1"/>
      <c r="J624" s="294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6.5" customHeight="1" x14ac:dyDescent="0.25">
      <c r="A625" s="1"/>
      <c r="B625" s="1"/>
      <c r="C625" s="82"/>
      <c r="D625" s="1"/>
      <c r="E625" s="1"/>
      <c r="F625" s="1"/>
      <c r="G625" s="1"/>
      <c r="H625" s="1"/>
      <c r="I625" s="1"/>
      <c r="J625" s="294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6.5" customHeight="1" x14ac:dyDescent="0.25">
      <c r="A626" s="1"/>
      <c r="B626" s="1"/>
      <c r="C626" s="82"/>
      <c r="D626" s="1"/>
      <c r="E626" s="1"/>
      <c r="F626" s="1"/>
      <c r="G626" s="1"/>
      <c r="H626" s="1"/>
      <c r="I626" s="1"/>
      <c r="J626" s="294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6.5" customHeight="1" x14ac:dyDescent="0.25">
      <c r="A627" s="1"/>
      <c r="B627" s="1"/>
      <c r="C627" s="82"/>
      <c r="D627" s="1"/>
      <c r="E627" s="1"/>
      <c r="F627" s="1"/>
      <c r="G627" s="1"/>
      <c r="H627" s="1"/>
      <c r="I627" s="1"/>
      <c r="J627" s="294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6.5" customHeight="1" x14ac:dyDescent="0.25">
      <c r="A628" s="1"/>
      <c r="B628" s="1"/>
      <c r="C628" s="82"/>
      <c r="D628" s="1"/>
      <c r="E628" s="1"/>
      <c r="F628" s="1"/>
      <c r="G628" s="1"/>
      <c r="H628" s="1"/>
      <c r="I628" s="1"/>
      <c r="J628" s="294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6.5" customHeight="1" x14ac:dyDescent="0.25">
      <c r="A629" s="1"/>
      <c r="B629" s="1"/>
      <c r="C629" s="82"/>
      <c r="D629" s="1"/>
      <c r="E629" s="1"/>
      <c r="F629" s="1"/>
      <c r="G629" s="1"/>
      <c r="H629" s="1"/>
      <c r="I629" s="1"/>
      <c r="J629" s="294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6.5" customHeight="1" x14ac:dyDescent="0.25">
      <c r="A630" s="1"/>
      <c r="B630" s="1"/>
      <c r="C630" s="82"/>
      <c r="D630" s="1"/>
      <c r="E630" s="1"/>
      <c r="F630" s="1"/>
      <c r="G630" s="1"/>
      <c r="H630" s="1"/>
      <c r="I630" s="1"/>
      <c r="J630" s="294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6.5" customHeight="1" x14ac:dyDescent="0.25">
      <c r="A631" s="1"/>
      <c r="B631" s="1"/>
      <c r="C631" s="82"/>
      <c r="D631" s="1"/>
      <c r="E631" s="1"/>
      <c r="F631" s="1"/>
      <c r="G631" s="1"/>
      <c r="H631" s="1"/>
      <c r="I631" s="1"/>
      <c r="J631" s="294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6.5" customHeight="1" x14ac:dyDescent="0.25">
      <c r="A632" s="1"/>
      <c r="B632" s="1"/>
      <c r="C632" s="82"/>
      <c r="D632" s="1"/>
      <c r="E632" s="1"/>
      <c r="F632" s="1"/>
      <c r="G632" s="1"/>
      <c r="H632" s="1"/>
      <c r="I632" s="1"/>
      <c r="J632" s="294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6.5" customHeight="1" x14ac:dyDescent="0.25">
      <c r="A633" s="1"/>
      <c r="B633" s="1"/>
      <c r="C633" s="82"/>
      <c r="D633" s="1"/>
      <c r="E633" s="1"/>
      <c r="F633" s="1"/>
      <c r="G633" s="1"/>
      <c r="H633" s="1"/>
      <c r="I633" s="1"/>
      <c r="J633" s="294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6.5" customHeight="1" x14ac:dyDescent="0.25">
      <c r="A634" s="1"/>
      <c r="B634" s="1"/>
      <c r="C634" s="82"/>
      <c r="D634" s="1"/>
      <c r="E634" s="1"/>
      <c r="F634" s="1"/>
      <c r="G634" s="1"/>
      <c r="H634" s="1"/>
      <c r="I634" s="1"/>
      <c r="J634" s="294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6.5" customHeight="1" x14ac:dyDescent="0.25">
      <c r="A635" s="1"/>
      <c r="B635" s="1"/>
      <c r="C635" s="82"/>
      <c r="D635" s="1"/>
      <c r="E635" s="1"/>
      <c r="F635" s="1"/>
      <c r="G635" s="1"/>
      <c r="H635" s="1"/>
      <c r="I635" s="1"/>
      <c r="J635" s="294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6.5" customHeight="1" x14ac:dyDescent="0.25">
      <c r="A636" s="1"/>
      <c r="B636" s="1"/>
      <c r="C636" s="82"/>
      <c r="D636" s="1"/>
      <c r="E636" s="1"/>
      <c r="F636" s="1"/>
      <c r="G636" s="1"/>
      <c r="H636" s="1"/>
      <c r="I636" s="1"/>
      <c r="J636" s="294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6.5" customHeight="1" x14ac:dyDescent="0.25">
      <c r="A637" s="1"/>
      <c r="B637" s="1"/>
      <c r="C637" s="82"/>
      <c r="D637" s="1"/>
      <c r="E637" s="1"/>
      <c r="F637" s="1"/>
      <c r="G637" s="1"/>
      <c r="H637" s="1"/>
      <c r="I637" s="1"/>
      <c r="J637" s="294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6.5" customHeight="1" x14ac:dyDescent="0.25">
      <c r="A638" s="1"/>
      <c r="B638" s="1"/>
      <c r="C638" s="82"/>
      <c r="D638" s="1"/>
      <c r="E638" s="1"/>
      <c r="F638" s="1"/>
      <c r="G638" s="1"/>
      <c r="H638" s="1"/>
      <c r="I638" s="1"/>
      <c r="J638" s="294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6.5" customHeight="1" x14ac:dyDescent="0.25">
      <c r="A639" s="1"/>
      <c r="B639" s="1"/>
      <c r="C639" s="82"/>
      <c r="D639" s="1"/>
      <c r="E639" s="1"/>
      <c r="F639" s="1"/>
      <c r="G639" s="1"/>
      <c r="H639" s="1"/>
      <c r="I639" s="1"/>
      <c r="J639" s="294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6.5" customHeight="1" x14ac:dyDescent="0.25">
      <c r="A640" s="1"/>
      <c r="B640" s="1"/>
      <c r="C640" s="82"/>
      <c r="D640" s="1"/>
      <c r="E640" s="1"/>
      <c r="F640" s="1"/>
      <c r="G640" s="1"/>
      <c r="H640" s="1"/>
      <c r="I640" s="1"/>
      <c r="J640" s="294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6.5" customHeight="1" x14ac:dyDescent="0.25">
      <c r="A641" s="1"/>
      <c r="B641" s="1"/>
      <c r="C641" s="82"/>
      <c r="D641" s="1"/>
      <c r="E641" s="1"/>
      <c r="F641" s="1"/>
      <c r="G641" s="1"/>
      <c r="H641" s="1"/>
      <c r="I641" s="1"/>
      <c r="J641" s="294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6.5" customHeight="1" x14ac:dyDescent="0.25">
      <c r="A642" s="1"/>
      <c r="B642" s="1"/>
      <c r="C642" s="82"/>
      <c r="D642" s="1"/>
      <c r="E642" s="1"/>
      <c r="F642" s="1"/>
      <c r="G642" s="1"/>
      <c r="H642" s="1"/>
      <c r="I642" s="1"/>
      <c r="J642" s="294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6.5" customHeight="1" x14ac:dyDescent="0.25">
      <c r="A643" s="1"/>
      <c r="B643" s="1"/>
      <c r="C643" s="82"/>
      <c r="D643" s="1"/>
      <c r="E643" s="1"/>
      <c r="F643" s="1"/>
      <c r="G643" s="1"/>
      <c r="H643" s="1"/>
      <c r="I643" s="1"/>
      <c r="J643" s="294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6.5" customHeight="1" x14ac:dyDescent="0.25">
      <c r="A644" s="1"/>
      <c r="B644" s="1"/>
      <c r="C644" s="82"/>
      <c r="D644" s="1"/>
      <c r="E644" s="1"/>
      <c r="F644" s="1"/>
      <c r="G644" s="1"/>
      <c r="H644" s="1"/>
      <c r="I644" s="1"/>
      <c r="J644" s="294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6.5" customHeight="1" x14ac:dyDescent="0.25">
      <c r="A645" s="1"/>
      <c r="B645" s="1"/>
      <c r="C645" s="82"/>
      <c r="D645" s="1"/>
      <c r="E645" s="1"/>
      <c r="F645" s="1"/>
      <c r="G645" s="1"/>
      <c r="H645" s="1"/>
      <c r="I645" s="1"/>
      <c r="J645" s="294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6.5" customHeight="1" x14ac:dyDescent="0.25">
      <c r="A646" s="1"/>
      <c r="B646" s="1"/>
      <c r="C646" s="82"/>
      <c r="D646" s="1"/>
      <c r="E646" s="1"/>
      <c r="F646" s="1"/>
      <c r="G646" s="1"/>
      <c r="H646" s="1"/>
      <c r="I646" s="1"/>
      <c r="J646" s="294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6.5" customHeight="1" x14ac:dyDescent="0.25">
      <c r="A647" s="1"/>
      <c r="B647" s="1"/>
      <c r="C647" s="82"/>
      <c r="D647" s="1"/>
      <c r="E647" s="1"/>
      <c r="F647" s="1"/>
      <c r="G647" s="1"/>
      <c r="H647" s="1"/>
      <c r="I647" s="1"/>
      <c r="J647" s="294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6.5" customHeight="1" x14ac:dyDescent="0.25">
      <c r="A648" s="1"/>
      <c r="B648" s="1"/>
      <c r="C648" s="82"/>
      <c r="D648" s="1"/>
      <c r="E648" s="1"/>
      <c r="F648" s="1"/>
      <c r="G648" s="1"/>
      <c r="H648" s="1"/>
      <c r="I648" s="1"/>
      <c r="J648" s="294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6.5" customHeight="1" x14ac:dyDescent="0.25">
      <c r="A649" s="1"/>
      <c r="B649" s="1"/>
      <c r="C649" s="82"/>
      <c r="D649" s="1"/>
      <c r="E649" s="1"/>
      <c r="F649" s="1"/>
      <c r="G649" s="1"/>
      <c r="H649" s="1"/>
      <c r="I649" s="1"/>
      <c r="J649" s="294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6.5" customHeight="1" x14ac:dyDescent="0.25">
      <c r="A650" s="1"/>
      <c r="B650" s="1"/>
      <c r="C650" s="82"/>
      <c r="D650" s="1"/>
      <c r="E650" s="1"/>
      <c r="F650" s="1"/>
      <c r="G650" s="1"/>
      <c r="H650" s="1"/>
      <c r="I650" s="1"/>
      <c r="J650" s="294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6.5" customHeight="1" x14ac:dyDescent="0.25">
      <c r="A651" s="1"/>
      <c r="B651" s="1"/>
      <c r="C651" s="82"/>
      <c r="D651" s="1"/>
      <c r="E651" s="1"/>
      <c r="F651" s="1"/>
      <c r="G651" s="1"/>
      <c r="H651" s="1"/>
      <c r="I651" s="1"/>
      <c r="J651" s="294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6.5" customHeight="1" x14ac:dyDescent="0.25">
      <c r="A652" s="1"/>
      <c r="B652" s="1"/>
      <c r="C652" s="82"/>
      <c r="D652" s="1"/>
      <c r="E652" s="1"/>
      <c r="F652" s="1"/>
      <c r="G652" s="1"/>
      <c r="H652" s="1"/>
      <c r="I652" s="1"/>
      <c r="J652" s="294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6.5" customHeight="1" x14ac:dyDescent="0.25">
      <c r="A653" s="1"/>
      <c r="B653" s="1"/>
      <c r="C653" s="82"/>
      <c r="D653" s="1"/>
      <c r="E653" s="1"/>
      <c r="F653" s="1"/>
      <c r="G653" s="1"/>
      <c r="H653" s="1"/>
      <c r="I653" s="1"/>
      <c r="J653" s="294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6.5" customHeight="1" x14ac:dyDescent="0.25">
      <c r="A654" s="1"/>
      <c r="B654" s="1"/>
      <c r="C654" s="82"/>
      <c r="D654" s="1"/>
      <c r="E654" s="1"/>
      <c r="F654" s="1"/>
      <c r="G654" s="1"/>
      <c r="H654" s="1"/>
      <c r="I654" s="1"/>
      <c r="J654" s="294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6.5" customHeight="1" x14ac:dyDescent="0.25">
      <c r="A655" s="1"/>
      <c r="B655" s="1"/>
      <c r="C655" s="82"/>
      <c r="D655" s="1"/>
      <c r="E655" s="1"/>
      <c r="F655" s="1"/>
      <c r="G655" s="1"/>
      <c r="H655" s="1"/>
      <c r="I655" s="1"/>
      <c r="J655" s="294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6.5" customHeight="1" x14ac:dyDescent="0.25">
      <c r="A656" s="1"/>
      <c r="B656" s="1"/>
      <c r="C656" s="82"/>
      <c r="D656" s="1"/>
      <c r="E656" s="1"/>
      <c r="F656" s="1"/>
      <c r="G656" s="1"/>
      <c r="H656" s="1"/>
      <c r="I656" s="1"/>
      <c r="J656" s="294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6.5" customHeight="1" x14ac:dyDescent="0.25">
      <c r="A657" s="1"/>
      <c r="B657" s="1"/>
      <c r="C657" s="82"/>
      <c r="D657" s="1"/>
      <c r="E657" s="1"/>
      <c r="F657" s="1"/>
      <c r="G657" s="1"/>
      <c r="H657" s="1"/>
      <c r="I657" s="1"/>
      <c r="J657" s="294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6.5" customHeight="1" x14ac:dyDescent="0.25">
      <c r="A658" s="1"/>
      <c r="B658" s="1"/>
      <c r="C658" s="82"/>
      <c r="D658" s="1"/>
      <c r="E658" s="1"/>
      <c r="F658" s="1"/>
      <c r="G658" s="1"/>
      <c r="H658" s="1"/>
      <c r="I658" s="1"/>
      <c r="J658" s="294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6.5" customHeight="1" x14ac:dyDescent="0.25">
      <c r="A659" s="1"/>
      <c r="B659" s="1"/>
      <c r="C659" s="82"/>
      <c r="D659" s="1"/>
      <c r="E659" s="1"/>
      <c r="F659" s="1"/>
      <c r="G659" s="1"/>
      <c r="H659" s="1"/>
      <c r="I659" s="1"/>
      <c r="J659" s="294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6.5" customHeight="1" x14ac:dyDescent="0.25">
      <c r="A660" s="1"/>
      <c r="B660" s="1"/>
      <c r="C660" s="82"/>
      <c r="D660" s="1"/>
      <c r="E660" s="1"/>
      <c r="F660" s="1"/>
      <c r="G660" s="1"/>
      <c r="H660" s="1"/>
      <c r="I660" s="1"/>
      <c r="J660" s="294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6.5" customHeight="1" x14ac:dyDescent="0.25">
      <c r="A661" s="1"/>
      <c r="B661" s="1"/>
      <c r="C661" s="82"/>
      <c r="D661" s="1"/>
      <c r="E661" s="1"/>
      <c r="F661" s="1"/>
      <c r="G661" s="1"/>
      <c r="H661" s="1"/>
      <c r="I661" s="1"/>
      <c r="J661" s="294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6.5" customHeight="1" x14ac:dyDescent="0.25">
      <c r="A662" s="1"/>
      <c r="B662" s="1"/>
      <c r="C662" s="82"/>
      <c r="D662" s="1"/>
      <c r="E662" s="1"/>
      <c r="F662" s="1"/>
      <c r="G662" s="1"/>
      <c r="H662" s="1"/>
      <c r="I662" s="1"/>
      <c r="J662" s="294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6.5" customHeight="1" x14ac:dyDescent="0.25">
      <c r="A663" s="1"/>
      <c r="B663" s="1"/>
      <c r="C663" s="82"/>
      <c r="D663" s="1"/>
      <c r="E663" s="1"/>
      <c r="F663" s="1"/>
      <c r="G663" s="1"/>
      <c r="H663" s="1"/>
      <c r="I663" s="1"/>
      <c r="J663" s="294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6.5" customHeight="1" x14ac:dyDescent="0.25">
      <c r="A664" s="1"/>
      <c r="B664" s="1"/>
      <c r="C664" s="82"/>
      <c r="D664" s="1"/>
      <c r="E664" s="1"/>
      <c r="F664" s="1"/>
      <c r="G664" s="1"/>
      <c r="H664" s="1"/>
      <c r="I664" s="1"/>
      <c r="J664" s="294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6.5" customHeight="1" x14ac:dyDescent="0.25">
      <c r="A665" s="1"/>
      <c r="B665" s="1"/>
      <c r="C665" s="82"/>
      <c r="D665" s="1"/>
      <c r="E665" s="1"/>
      <c r="F665" s="1"/>
      <c r="G665" s="1"/>
      <c r="H665" s="1"/>
      <c r="I665" s="1"/>
      <c r="J665" s="294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6.5" customHeight="1" x14ac:dyDescent="0.25">
      <c r="A666" s="1"/>
      <c r="B666" s="1"/>
      <c r="C666" s="82"/>
      <c r="D666" s="1"/>
      <c r="E666" s="1"/>
      <c r="F666" s="1"/>
      <c r="G666" s="1"/>
      <c r="H666" s="1"/>
      <c r="I666" s="1"/>
      <c r="J666" s="294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6.5" customHeight="1" x14ac:dyDescent="0.25">
      <c r="A667" s="1"/>
      <c r="B667" s="1"/>
      <c r="C667" s="82"/>
      <c r="D667" s="1"/>
      <c r="E667" s="1"/>
      <c r="F667" s="1"/>
      <c r="G667" s="1"/>
      <c r="H667" s="1"/>
      <c r="I667" s="1"/>
      <c r="J667" s="294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6.5" customHeight="1" x14ac:dyDescent="0.25">
      <c r="A668" s="1"/>
      <c r="B668" s="1"/>
      <c r="C668" s="82"/>
      <c r="D668" s="1"/>
      <c r="E668" s="1"/>
      <c r="F668" s="1"/>
      <c r="G668" s="1"/>
      <c r="H668" s="1"/>
      <c r="I668" s="1"/>
      <c r="J668" s="294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6.5" customHeight="1" x14ac:dyDescent="0.25">
      <c r="A669" s="1"/>
      <c r="B669" s="1"/>
      <c r="C669" s="82"/>
      <c r="D669" s="1"/>
      <c r="E669" s="1"/>
      <c r="F669" s="1"/>
      <c r="G669" s="1"/>
      <c r="H669" s="1"/>
      <c r="I669" s="1"/>
      <c r="J669" s="294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6.5" customHeight="1" x14ac:dyDescent="0.25">
      <c r="A670" s="1"/>
      <c r="B670" s="1"/>
      <c r="C670" s="82"/>
      <c r="D670" s="1"/>
      <c r="E670" s="1"/>
      <c r="F670" s="1"/>
      <c r="G670" s="1"/>
      <c r="H670" s="1"/>
      <c r="I670" s="1"/>
      <c r="J670" s="294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6.5" customHeight="1" x14ac:dyDescent="0.25">
      <c r="A671" s="1"/>
      <c r="B671" s="1"/>
      <c r="C671" s="82"/>
      <c r="D671" s="1"/>
      <c r="E671" s="1"/>
      <c r="F671" s="1"/>
      <c r="G671" s="1"/>
      <c r="H671" s="1"/>
      <c r="I671" s="1"/>
      <c r="J671" s="294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6.5" customHeight="1" x14ac:dyDescent="0.25">
      <c r="A672" s="1"/>
      <c r="B672" s="1"/>
      <c r="C672" s="82"/>
      <c r="D672" s="1"/>
      <c r="E672" s="1"/>
      <c r="F672" s="1"/>
      <c r="G672" s="1"/>
      <c r="H672" s="1"/>
      <c r="I672" s="1"/>
      <c r="J672" s="294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6.5" customHeight="1" x14ac:dyDescent="0.25">
      <c r="A673" s="1"/>
      <c r="B673" s="1"/>
      <c r="C673" s="82"/>
      <c r="D673" s="1"/>
      <c r="E673" s="1"/>
      <c r="F673" s="1"/>
      <c r="G673" s="1"/>
      <c r="H673" s="1"/>
      <c r="I673" s="1"/>
      <c r="J673" s="294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6.5" customHeight="1" x14ac:dyDescent="0.25">
      <c r="A674" s="1"/>
      <c r="B674" s="1"/>
      <c r="C674" s="82"/>
      <c r="D674" s="1"/>
      <c r="E674" s="1"/>
      <c r="F674" s="1"/>
      <c r="G674" s="1"/>
      <c r="H674" s="1"/>
      <c r="I674" s="1"/>
      <c r="J674" s="294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6.5" customHeight="1" x14ac:dyDescent="0.25">
      <c r="A675" s="1"/>
      <c r="B675" s="1"/>
      <c r="C675" s="82"/>
      <c r="D675" s="1"/>
      <c r="E675" s="1"/>
      <c r="F675" s="1"/>
      <c r="G675" s="1"/>
      <c r="H675" s="1"/>
      <c r="I675" s="1"/>
      <c r="J675" s="294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6.5" customHeight="1" x14ac:dyDescent="0.25">
      <c r="A676" s="1"/>
      <c r="B676" s="1"/>
      <c r="C676" s="82"/>
      <c r="D676" s="1"/>
      <c r="E676" s="1"/>
      <c r="F676" s="1"/>
      <c r="G676" s="1"/>
      <c r="H676" s="1"/>
      <c r="I676" s="1"/>
      <c r="J676" s="294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6.5" customHeight="1" x14ac:dyDescent="0.25">
      <c r="A677" s="1"/>
      <c r="B677" s="1"/>
      <c r="C677" s="82"/>
      <c r="D677" s="1"/>
      <c r="E677" s="1"/>
      <c r="F677" s="1"/>
      <c r="G677" s="1"/>
      <c r="H677" s="1"/>
      <c r="I677" s="1"/>
      <c r="J677" s="294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6.5" customHeight="1" x14ac:dyDescent="0.25">
      <c r="A678" s="1"/>
      <c r="B678" s="1"/>
      <c r="C678" s="82"/>
      <c r="D678" s="1"/>
      <c r="E678" s="1"/>
      <c r="F678" s="1"/>
      <c r="G678" s="1"/>
      <c r="H678" s="1"/>
      <c r="I678" s="1"/>
      <c r="J678" s="294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6.5" customHeight="1" x14ac:dyDescent="0.25">
      <c r="A679" s="1"/>
      <c r="B679" s="1"/>
      <c r="C679" s="82"/>
      <c r="D679" s="1"/>
      <c r="E679" s="1"/>
      <c r="F679" s="1"/>
      <c r="G679" s="1"/>
      <c r="H679" s="1"/>
      <c r="I679" s="1"/>
      <c r="J679" s="294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6.5" customHeight="1" x14ac:dyDescent="0.25">
      <c r="A680" s="1"/>
      <c r="B680" s="1"/>
      <c r="C680" s="82"/>
      <c r="D680" s="1"/>
      <c r="E680" s="1"/>
      <c r="F680" s="1"/>
      <c r="G680" s="1"/>
      <c r="H680" s="1"/>
      <c r="I680" s="1"/>
      <c r="J680" s="294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6.5" customHeight="1" x14ac:dyDescent="0.25">
      <c r="A681" s="1"/>
      <c r="B681" s="1"/>
      <c r="C681" s="82"/>
      <c r="D681" s="1"/>
      <c r="E681" s="1"/>
      <c r="F681" s="1"/>
      <c r="G681" s="1"/>
      <c r="H681" s="1"/>
      <c r="I681" s="1"/>
      <c r="J681" s="294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6.5" customHeight="1" x14ac:dyDescent="0.25">
      <c r="A682" s="1"/>
      <c r="B682" s="1"/>
      <c r="C682" s="82"/>
      <c r="D682" s="1"/>
      <c r="E682" s="1"/>
      <c r="F682" s="1"/>
      <c r="G682" s="1"/>
      <c r="H682" s="1"/>
      <c r="I682" s="1"/>
      <c r="J682" s="294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6.5" customHeight="1" x14ac:dyDescent="0.25">
      <c r="A683" s="1"/>
      <c r="B683" s="1"/>
      <c r="C683" s="82"/>
      <c r="D683" s="1"/>
      <c r="E683" s="1"/>
      <c r="F683" s="1"/>
      <c r="G683" s="1"/>
      <c r="H683" s="1"/>
      <c r="I683" s="1"/>
      <c r="J683" s="294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6.5" customHeight="1" x14ac:dyDescent="0.25">
      <c r="A684" s="1"/>
      <c r="B684" s="1"/>
      <c r="C684" s="82"/>
      <c r="D684" s="1"/>
      <c r="E684" s="1"/>
      <c r="F684" s="1"/>
      <c r="G684" s="1"/>
      <c r="H684" s="1"/>
      <c r="I684" s="1"/>
      <c r="J684" s="294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6.5" customHeight="1" x14ac:dyDescent="0.25">
      <c r="A685" s="1"/>
      <c r="B685" s="1"/>
      <c r="C685" s="82"/>
      <c r="D685" s="1"/>
      <c r="E685" s="1"/>
      <c r="F685" s="1"/>
      <c r="G685" s="1"/>
      <c r="H685" s="1"/>
      <c r="I685" s="1"/>
      <c r="J685" s="294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6.5" customHeight="1" x14ac:dyDescent="0.25">
      <c r="A686" s="1"/>
      <c r="B686" s="1"/>
      <c r="C686" s="82"/>
      <c r="D686" s="1"/>
      <c r="E686" s="1"/>
      <c r="F686" s="1"/>
      <c r="G686" s="1"/>
      <c r="H686" s="1"/>
      <c r="I686" s="1"/>
      <c r="J686" s="294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6.5" customHeight="1" x14ac:dyDescent="0.25">
      <c r="A687" s="1"/>
      <c r="B687" s="1"/>
      <c r="C687" s="82"/>
      <c r="D687" s="1"/>
      <c r="E687" s="1"/>
      <c r="F687" s="1"/>
      <c r="G687" s="1"/>
      <c r="H687" s="1"/>
      <c r="I687" s="1"/>
      <c r="J687" s="294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6.5" customHeight="1" x14ac:dyDescent="0.25">
      <c r="A688" s="1"/>
      <c r="B688" s="1"/>
      <c r="C688" s="82"/>
      <c r="D688" s="1"/>
      <c r="E688" s="1"/>
      <c r="F688" s="1"/>
      <c r="G688" s="1"/>
      <c r="H688" s="1"/>
      <c r="I688" s="1"/>
      <c r="J688" s="294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6.5" customHeight="1" x14ac:dyDescent="0.25">
      <c r="A689" s="1"/>
      <c r="B689" s="1"/>
      <c r="C689" s="82"/>
      <c r="D689" s="1"/>
      <c r="E689" s="1"/>
      <c r="F689" s="1"/>
      <c r="G689" s="1"/>
      <c r="H689" s="1"/>
      <c r="I689" s="1"/>
      <c r="J689" s="294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6.5" customHeight="1" x14ac:dyDescent="0.25">
      <c r="A690" s="1"/>
      <c r="B690" s="1"/>
      <c r="C690" s="82"/>
      <c r="D690" s="1"/>
      <c r="E690" s="1"/>
      <c r="F690" s="1"/>
      <c r="G690" s="1"/>
      <c r="H690" s="1"/>
      <c r="I690" s="1"/>
      <c r="J690" s="294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6.5" customHeight="1" x14ac:dyDescent="0.25">
      <c r="A691" s="1"/>
      <c r="B691" s="1"/>
      <c r="C691" s="82"/>
      <c r="D691" s="1"/>
      <c r="E691" s="1"/>
      <c r="F691" s="1"/>
      <c r="G691" s="1"/>
      <c r="H691" s="1"/>
      <c r="I691" s="1"/>
      <c r="J691" s="294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6.5" customHeight="1" x14ac:dyDescent="0.25">
      <c r="A692" s="1"/>
      <c r="B692" s="1"/>
      <c r="C692" s="82"/>
      <c r="D692" s="1"/>
      <c r="E692" s="1"/>
      <c r="F692" s="1"/>
      <c r="G692" s="1"/>
      <c r="H692" s="1"/>
      <c r="I692" s="1"/>
      <c r="J692" s="294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6.5" customHeight="1" x14ac:dyDescent="0.25">
      <c r="A693" s="1"/>
      <c r="B693" s="1"/>
      <c r="C693" s="82"/>
      <c r="D693" s="1"/>
      <c r="E693" s="1"/>
      <c r="F693" s="1"/>
      <c r="G693" s="1"/>
      <c r="H693" s="1"/>
      <c r="I693" s="1"/>
      <c r="J693" s="294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6.5" customHeight="1" x14ac:dyDescent="0.25">
      <c r="A694" s="1"/>
      <c r="B694" s="1"/>
      <c r="C694" s="82"/>
      <c r="D694" s="1"/>
      <c r="E694" s="1"/>
      <c r="F694" s="1"/>
      <c r="G694" s="1"/>
      <c r="H694" s="1"/>
      <c r="I694" s="1"/>
      <c r="J694" s="294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6.5" customHeight="1" x14ac:dyDescent="0.25">
      <c r="A695" s="1"/>
      <c r="B695" s="1"/>
      <c r="C695" s="82"/>
      <c r="D695" s="1"/>
      <c r="E695" s="1"/>
      <c r="F695" s="1"/>
      <c r="G695" s="1"/>
      <c r="H695" s="1"/>
      <c r="I695" s="1"/>
      <c r="J695" s="294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6.5" customHeight="1" x14ac:dyDescent="0.25">
      <c r="A696" s="1"/>
      <c r="B696" s="1"/>
      <c r="C696" s="82"/>
      <c r="D696" s="1"/>
      <c r="E696" s="1"/>
      <c r="F696" s="1"/>
      <c r="G696" s="1"/>
      <c r="H696" s="1"/>
      <c r="I696" s="1"/>
      <c r="J696" s="294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6.5" customHeight="1" x14ac:dyDescent="0.25">
      <c r="A697" s="1"/>
      <c r="B697" s="1"/>
      <c r="C697" s="82"/>
      <c r="D697" s="1"/>
      <c r="E697" s="1"/>
      <c r="F697" s="1"/>
      <c r="G697" s="1"/>
      <c r="H697" s="1"/>
      <c r="I697" s="1"/>
      <c r="J697" s="294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6.5" customHeight="1" x14ac:dyDescent="0.25">
      <c r="A698" s="1"/>
      <c r="B698" s="1"/>
      <c r="C698" s="82"/>
      <c r="D698" s="1"/>
      <c r="E698" s="1"/>
      <c r="F698" s="1"/>
      <c r="G698" s="1"/>
      <c r="H698" s="1"/>
      <c r="I698" s="1"/>
      <c r="J698" s="294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6.5" customHeight="1" x14ac:dyDescent="0.25">
      <c r="A699" s="1"/>
      <c r="B699" s="1"/>
      <c r="C699" s="82"/>
      <c r="D699" s="1"/>
      <c r="E699" s="1"/>
      <c r="F699" s="1"/>
      <c r="G699" s="1"/>
      <c r="H699" s="1"/>
      <c r="I699" s="1"/>
      <c r="J699" s="294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6.5" customHeight="1" x14ac:dyDescent="0.25">
      <c r="A700" s="1"/>
      <c r="B700" s="1"/>
      <c r="C700" s="82"/>
      <c r="D700" s="1"/>
      <c r="E700" s="1"/>
      <c r="F700" s="1"/>
      <c r="G700" s="1"/>
      <c r="H700" s="1"/>
      <c r="I700" s="1"/>
      <c r="J700" s="294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6.5" customHeight="1" x14ac:dyDescent="0.25">
      <c r="A701" s="1"/>
      <c r="B701" s="1"/>
      <c r="C701" s="82"/>
      <c r="D701" s="1"/>
      <c r="E701" s="1"/>
      <c r="F701" s="1"/>
      <c r="G701" s="1"/>
      <c r="H701" s="1"/>
      <c r="I701" s="1"/>
      <c r="J701" s="294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6.5" customHeight="1" x14ac:dyDescent="0.25">
      <c r="A702" s="1"/>
      <c r="B702" s="1"/>
      <c r="C702" s="82"/>
      <c r="D702" s="1"/>
      <c r="E702" s="1"/>
      <c r="F702" s="1"/>
      <c r="G702" s="1"/>
      <c r="H702" s="1"/>
      <c r="I702" s="1"/>
      <c r="J702" s="294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6.5" customHeight="1" x14ac:dyDescent="0.25">
      <c r="A703" s="1"/>
      <c r="B703" s="1"/>
      <c r="C703" s="82"/>
      <c r="D703" s="1"/>
      <c r="E703" s="1"/>
      <c r="F703" s="1"/>
      <c r="G703" s="1"/>
      <c r="H703" s="1"/>
      <c r="I703" s="1"/>
      <c r="J703" s="294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6.5" customHeight="1" x14ac:dyDescent="0.25">
      <c r="A704" s="1"/>
      <c r="B704" s="1"/>
      <c r="C704" s="82"/>
      <c r="D704" s="1"/>
      <c r="E704" s="1"/>
      <c r="F704" s="1"/>
      <c r="G704" s="1"/>
      <c r="H704" s="1"/>
      <c r="I704" s="1"/>
      <c r="J704" s="294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6.5" customHeight="1" x14ac:dyDescent="0.25">
      <c r="A705" s="1"/>
      <c r="B705" s="1"/>
      <c r="C705" s="82"/>
      <c r="D705" s="1"/>
      <c r="E705" s="1"/>
      <c r="F705" s="1"/>
      <c r="G705" s="1"/>
      <c r="H705" s="1"/>
      <c r="I705" s="1"/>
      <c r="J705" s="294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6.5" customHeight="1" x14ac:dyDescent="0.25">
      <c r="A706" s="1"/>
      <c r="B706" s="1"/>
      <c r="C706" s="82"/>
      <c r="D706" s="1"/>
      <c r="E706" s="1"/>
      <c r="F706" s="1"/>
      <c r="G706" s="1"/>
      <c r="H706" s="1"/>
      <c r="I706" s="1"/>
      <c r="J706" s="294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6.5" customHeight="1" x14ac:dyDescent="0.25">
      <c r="A707" s="1"/>
      <c r="B707" s="1"/>
      <c r="C707" s="82"/>
      <c r="D707" s="1"/>
      <c r="E707" s="1"/>
      <c r="F707" s="1"/>
      <c r="G707" s="1"/>
      <c r="H707" s="1"/>
      <c r="I707" s="1"/>
      <c r="J707" s="294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6.5" customHeight="1" x14ac:dyDescent="0.25">
      <c r="A708" s="1"/>
      <c r="B708" s="1"/>
      <c r="C708" s="82"/>
      <c r="D708" s="1"/>
      <c r="E708" s="1"/>
      <c r="F708" s="1"/>
      <c r="G708" s="1"/>
      <c r="H708" s="1"/>
      <c r="I708" s="1"/>
      <c r="J708" s="294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6.5" customHeight="1" x14ac:dyDescent="0.25">
      <c r="A709" s="1"/>
      <c r="B709" s="1"/>
      <c r="C709" s="82"/>
      <c r="D709" s="1"/>
      <c r="E709" s="1"/>
      <c r="F709" s="1"/>
      <c r="G709" s="1"/>
      <c r="H709" s="1"/>
      <c r="I709" s="1"/>
      <c r="J709" s="294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6.5" customHeight="1" x14ac:dyDescent="0.25">
      <c r="A710" s="1"/>
      <c r="B710" s="1"/>
      <c r="C710" s="82"/>
      <c r="D710" s="1"/>
      <c r="E710" s="1"/>
      <c r="F710" s="1"/>
      <c r="G710" s="1"/>
      <c r="H710" s="1"/>
      <c r="I710" s="1"/>
      <c r="J710" s="294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6.5" customHeight="1" x14ac:dyDescent="0.25">
      <c r="A711" s="1"/>
      <c r="B711" s="1"/>
      <c r="C711" s="82"/>
      <c r="D711" s="1"/>
      <c r="E711" s="1"/>
      <c r="F711" s="1"/>
      <c r="G711" s="1"/>
      <c r="H711" s="1"/>
      <c r="I711" s="1"/>
      <c r="J711" s="294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6.5" customHeight="1" x14ac:dyDescent="0.25">
      <c r="A712" s="1"/>
      <c r="B712" s="1"/>
      <c r="C712" s="82"/>
      <c r="D712" s="1"/>
      <c r="E712" s="1"/>
      <c r="F712" s="1"/>
      <c r="G712" s="1"/>
      <c r="H712" s="1"/>
      <c r="I712" s="1"/>
      <c r="J712" s="294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6.5" customHeight="1" x14ac:dyDescent="0.25">
      <c r="A713" s="1"/>
      <c r="B713" s="1"/>
      <c r="C713" s="82"/>
      <c r="D713" s="1"/>
      <c r="E713" s="1"/>
      <c r="F713" s="1"/>
      <c r="G713" s="1"/>
      <c r="H713" s="1"/>
      <c r="I713" s="1"/>
      <c r="J713" s="294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6.5" customHeight="1" x14ac:dyDescent="0.25">
      <c r="A714" s="1"/>
      <c r="B714" s="1"/>
      <c r="C714" s="82"/>
      <c r="D714" s="1"/>
      <c r="E714" s="1"/>
      <c r="F714" s="1"/>
      <c r="G714" s="1"/>
      <c r="H714" s="1"/>
      <c r="I714" s="1"/>
      <c r="J714" s="294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6.5" customHeight="1" x14ac:dyDescent="0.25">
      <c r="A715" s="1"/>
      <c r="B715" s="1"/>
      <c r="C715" s="82"/>
      <c r="D715" s="1"/>
      <c r="E715" s="1"/>
      <c r="F715" s="1"/>
      <c r="G715" s="1"/>
      <c r="H715" s="1"/>
      <c r="I715" s="1"/>
      <c r="J715" s="294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6.5" customHeight="1" x14ac:dyDescent="0.25">
      <c r="A716" s="1"/>
      <c r="B716" s="1"/>
      <c r="C716" s="82"/>
      <c r="D716" s="1"/>
      <c r="E716" s="1"/>
      <c r="F716" s="1"/>
      <c r="G716" s="1"/>
      <c r="H716" s="1"/>
      <c r="I716" s="1"/>
      <c r="J716" s="294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6.5" customHeight="1" x14ac:dyDescent="0.25">
      <c r="A717" s="1"/>
      <c r="B717" s="1"/>
      <c r="C717" s="82"/>
      <c r="D717" s="1"/>
      <c r="E717" s="1"/>
      <c r="F717" s="1"/>
      <c r="G717" s="1"/>
      <c r="H717" s="1"/>
      <c r="I717" s="1"/>
      <c r="J717" s="294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6.5" customHeight="1" x14ac:dyDescent="0.25">
      <c r="A718" s="1"/>
      <c r="B718" s="1"/>
      <c r="C718" s="82"/>
      <c r="D718" s="1"/>
      <c r="E718" s="1"/>
      <c r="F718" s="1"/>
      <c r="G718" s="1"/>
      <c r="H718" s="1"/>
      <c r="I718" s="1"/>
      <c r="J718" s="294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6.5" customHeight="1" x14ac:dyDescent="0.25">
      <c r="A719" s="1"/>
      <c r="B719" s="1"/>
      <c r="C719" s="82"/>
      <c r="D719" s="1"/>
      <c r="E719" s="1"/>
      <c r="F719" s="1"/>
      <c r="G719" s="1"/>
      <c r="H719" s="1"/>
      <c r="I719" s="1"/>
      <c r="J719" s="294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6.5" customHeight="1" x14ac:dyDescent="0.25">
      <c r="A720" s="1"/>
      <c r="B720" s="1"/>
      <c r="C720" s="82"/>
      <c r="D720" s="1"/>
      <c r="E720" s="1"/>
      <c r="F720" s="1"/>
      <c r="G720" s="1"/>
      <c r="H720" s="1"/>
      <c r="I720" s="1"/>
      <c r="J720" s="294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6.5" customHeight="1" x14ac:dyDescent="0.25">
      <c r="A721" s="1"/>
      <c r="B721" s="1"/>
      <c r="C721" s="82"/>
      <c r="D721" s="1"/>
      <c r="E721" s="1"/>
      <c r="F721" s="1"/>
      <c r="G721" s="1"/>
      <c r="H721" s="1"/>
      <c r="I721" s="1"/>
      <c r="J721" s="294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6.5" customHeight="1" x14ac:dyDescent="0.25">
      <c r="A722" s="1"/>
      <c r="B722" s="1"/>
      <c r="C722" s="82"/>
      <c r="D722" s="1"/>
      <c r="E722" s="1"/>
      <c r="F722" s="1"/>
      <c r="G722" s="1"/>
      <c r="H722" s="1"/>
      <c r="I722" s="1"/>
      <c r="J722" s="294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6.5" customHeight="1" x14ac:dyDescent="0.25">
      <c r="A723" s="1"/>
      <c r="B723" s="1"/>
      <c r="C723" s="82"/>
      <c r="D723" s="1"/>
      <c r="E723" s="1"/>
      <c r="F723" s="1"/>
      <c r="G723" s="1"/>
      <c r="H723" s="1"/>
      <c r="I723" s="1"/>
      <c r="J723" s="294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6.5" customHeight="1" x14ac:dyDescent="0.25">
      <c r="A724" s="1"/>
      <c r="B724" s="1"/>
      <c r="C724" s="82"/>
      <c r="D724" s="1"/>
      <c r="E724" s="1"/>
      <c r="F724" s="1"/>
      <c r="G724" s="1"/>
      <c r="H724" s="1"/>
      <c r="I724" s="1"/>
      <c r="J724" s="294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6.5" customHeight="1" x14ac:dyDescent="0.25">
      <c r="A725" s="1"/>
      <c r="B725" s="1"/>
      <c r="C725" s="82"/>
      <c r="D725" s="1"/>
      <c r="E725" s="1"/>
      <c r="F725" s="1"/>
      <c r="G725" s="1"/>
      <c r="H725" s="1"/>
      <c r="I725" s="1"/>
      <c r="J725" s="294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6.5" customHeight="1" x14ac:dyDescent="0.25">
      <c r="A726" s="1"/>
      <c r="B726" s="1"/>
      <c r="C726" s="82"/>
      <c r="D726" s="1"/>
      <c r="E726" s="1"/>
      <c r="F726" s="1"/>
      <c r="G726" s="1"/>
      <c r="H726" s="1"/>
      <c r="I726" s="1"/>
      <c r="J726" s="294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6.5" customHeight="1" x14ac:dyDescent="0.25">
      <c r="A727" s="1"/>
      <c r="B727" s="1"/>
      <c r="C727" s="82"/>
      <c r="D727" s="1"/>
      <c r="E727" s="1"/>
      <c r="F727" s="1"/>
      <c r="G727" s="1"/>
      <c r="H727" s="1"/>
      <c r="I727" s="1"/>
      <c r="J727" s="294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6.5" customHeight="1" x14ac:dyDescent="0.25">
      <c r="A728" s="1"/>
      <c r="B728" s="1"/>
      <c r="C728" s="82"/>
      <c r="D728" s="1"/>
      <c r="E728" s="1"/>
      <c r="F728" s="1"/>
      <c r="G728" s="1"/>
      <c r="H728" s="1"/>
      <c r="I728" s="1"/>
      <c r="J728" s="294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6.5" customHeight="1" x14ac:dyDescent="0.25">
      <c r="A729" s="1"/>
      <c r="B729" s="1"/>
      <c r="C729" s="82"/>
      <c r="D729" s="1"/>
      <c r="E729" s="1"/>
      <c r="F729" s="1"/>
      <c r="G729" s="1"/>
      <c r="H729" s="1"/>
      <c r="I729" s="1"/>
      <c r="J729" s="294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6.5" customHeight="1" x14ac:dyDescent="0.25">
      <c r="A730" s="1"/>
      <c r="B730" s="1"/>
      <c r="C730" s="82"/>
      <c r="D730" s="1"/>
      <c r="E730" s="1"/>
      <c r="F730" s="1"/>
      <c r="G730" s="1"/>
      <c r="H730" s="1"/>
      <c r="I730" s="1"/>
      <c r="J730" s="294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6.5" customHeight="1" x14ac:dyDescent="0.25">
      <c r="A731" s="1"/>
      <c r="B731" s="1"/>
      <c r="C731" s="82"/>
      <c r="D731" s="1"/>
      <c r="E731" s="1"/>
      <c r="F731" s="1"/>
      <c r="G731" s="1"/>
      <c r="H731" s="1"/>
      <c r="I731" s="1"/>
      <c r="J731" s="294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6.5" customHeight="1" x14ac:dyDescent="0.25">
      <c r="A732" s="1"/>
      <c r="B732" s="1"/>
      <c r="C732" s="82"/>
      <c r="D732" s="1"/>
      <c r="E732" s="1"/>
      <c r="F732" s="1"/>
      <c r="G732" s="1"/>
      <c r="H732" s="1"/>
      <c r="I732" s="1"/>
      <c r="J732" s="294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6.5" customHeight="1" x14ac:dyDescent="0.25">
      <c r="A733" s="1"/>
      <c r="B733" s="1"/>
      <c r="C733" s="82"/>
      <c r="D733" s="1"/>
      <c r="E733" s="1"/>
      <c r="F733" s="1"/>
      <c r="G733" s="1"/>
      <c r="H733" s="1"/>
      <c r="I733" s="1"/>
      <c r="J733" s="294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6.5" customHeight="1" x14ac:dyDescent="0.25">
      <c r="A734" s="1"/>
      <c r="B734" s="1"/>
      <c r="C734" s="82"/>
      <c r="D734" s="1"/>
      <c r="E734" s="1"/>
      <c r="F734" s="1"/>
      <c r="G734" s="1"/>
      <c r="H734" s="1"/>
      <c r="I734" s="1"/>
      <c r="J734" s="294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6.5" customHeight="1" x14ac:dyDescent="0.25">
      <c r="A735" s="1"/>
      <c r="B735" s="1"/>
      <c r="C735" s="82"/>
      <c r="D735" s="1"/>
      <c r="E735" s="1"/>
      <c r="F735" s="1"/>
      <c r="G735" s="1"/>
      <c r="H735" s="1"/>
      <c r="I735" s="1"/>
      <c r="J735" s="294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6.5" customHeight="1" x14ac:dyDescent="0.25">
      <c r="A736" s="1"/>
      <c r="B736" s="1"/>
      <c r="C736" s="82"/>
      <c r="D736" s="1"/>
      <c r="E736" s="1"/>
      <c r="F736" s="1"/>
      <c r="G736" s="1"/>
      <c r="H736" s="1"/>
      <c r="I736" s="1"/>
      <c r="J736" s="294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6.5" customHeight="1" x14ac:dyDescent="0.25">
      <c r="A737" s="1"/>
      <c r="B737" s="1"/>
      <c r="C737" s="82"/>
      <c r="D737" s="1"/>
      <c r="E737" s="1"/>
      <c r="F737" s="1"/>
      <c r="G737" s="1"/>
      <c r="H737" s="1"/>
      <c r="I737" s="1"/>
      <c r="J737" s="294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6.5" customHeight="1" x14ac:dyDescent="0.25">
      <c r="A738" s="1"/>
      <c r="B738" s="1"/>
      <c r="C738" s="82"/>
      <c r="D738" s="1"/>
      <c r="E738" s="1"/>
      <c r="F738" s="1"/>
      <c r="G738" s="1"/>
      <c r="H738" s="1"/>
      <c r="I738" s="1"/>
      <c r="J738" s="294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6.5" customHeight="1" x14ac:dyDescent="0.25">
      <c r="A739" s="1"/>
      <c r="B739" s="1"/>
      <c r="C739" s="82"/>
      <c r="D739" s="1"/>
      <c r="E739" s="1"/>
      <c r="F739" s="1"/>
      <c r="G739" s="1"/>
      <c r="H739" s="1"/>
      <c r="I739" s="1"/>
      <c r="J739" s="294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6.5" customHeight="1" x14ac:dyDescent="0.25">
      <c r="A740" s="1"/>
      <c r="B740" s="1"/>
      <c r="C740" s="82"/>
      <c r="D740" s="1"/>
      <c r="E740" s="1"/>
      <c r="F740" s="1"/>
      <c r="G740" s="1"/>
      <c r="H740" s="1"/>
      <c r="I740" s="1"/>
      <c r="J740" s="294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6.5" customHeight="1" x14ac:dyDescent="0.25">
      <c r="A741" s="1"/>
      <c r="B741" s="1"/>
      <c r="C741" s="82"/>
      <c r="D741" s="1"/>
      <c r="E741" s="1"/>
      <c r="F741" s="1"/>
      <c r="G741" s="1"/>
      <c r="H741" s="1"/>
      <c r="I741" s="1"/>
      <c r="J741" s="294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6.5" customHeight="1" x14ac:dyDescent="0.25">
      <c r="A742" s="1"/>
      <c r="B742" s="1"/>
      <c r="C742" s="82"/>
      <c r="D742" s="1"/>
      <c r="E742" s="1"/>
      <c r="F742" s="1"/>
      <c r="G742" s="1"/>
      <c r="H742" s="1"/>
      <c r="I742" s="1"/>
      <c r="J742" s="294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6.5" customHeight="1" x14ac:dyDescent="0.25">
      <c r="A743" s="1"/>
      <c r="B743" s="1"/>
      <c r="C743" s="82"/>
      <c r="D743" s="1"/>
      <c r="E743" s="1"/>
      <c r="F743" s="1"/>
      <c r="G743" s="1"/>
      <c r="H743" s="1"/>
      <c r="I743" s="1"/>
      <c r="J743" s="294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6.5" customHeight="1" x14ac:dyDescent="0.25">
      <c r="A744" s="1"/>
      <c r="B744" s="1"/>
      <c r="C744" s="82"/>
      <c r="D744" s="1"/>
      <c r="E744" s="1"/>
      <c r="F744" s="1"/>
      <c r="G744" s="1"/>
      <c r="H744" s="1"/>
      <c r="I744" s="1"/>
      <c r="J744" s="294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6.5" customHeight="1" x14ac:dyDescent="0.25">
      <c r="A745" s="1"/>
      <c r="B745" s="1"/>
      <c r="C745" s="82"/>
      <c r="D745" s="1"/>
      <c r="E745" s="1"/>
      <c r="F745" s="1"/>
      <c r="G745" s="1"/>
      <c r="H745" s="1"/>
      <c r="I745" s="1"/>
      <c r="J745" s="294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6.5" customHeight="1" x14ac:dyDescent="0.25">
      <c r="A746" s="1"/>
      <c r="B746" s="1"/>
      <c r="C746" s="82"/>
      <c r="D746" s="1"/>
      <c r="E746" s="1"/>
      <c r="F746" s="1"/>
      <c r="G746" s="1"/>
      <c r="H746" s="1"/>
      <c r="I746" s="1"/>
      <c r="J746" s="294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6.5" customHeight="1" x14ac:dyDescent="0.25">
      <c r="A747" s="1"/>
      <c r="B747" s="1"/>
      <c r="C747" s="82"/>
      <c r="D747" s="1"/>
      <c r="E747" s="1"/>
      <c r="F747" s="1"/>
      <c r="G747" s="1"/>
      <c r="H747" s="1"/>
      <c r="I747" s="1"/>
      <c r="J747" s="294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6.5" customHeight="1" x14ac:dyDescent="0.25">
      <c r="A748" s="1"/>
      <c r="B748" s="1"/>
      <c r="C748" s="82"/>
      <c r="D748" s="1"/>
      <c r="E748" s="1"/>
      <c r="F748" s="1"/>
      <c r="G748" s="1"/>
      <c r="H748" s="1"/>
      <c r="I748" s="1"/>
      <c r="J748" s="294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6.5" customHeight="1" x14ac:dyDescent="0.25">
      <c r="A749" s="1"/>
      <c r="B749" s="1"/>
      <c r="C749" s="82"/>
      <c r="D749" s="1"/>
      <c r="E749" s="1"/>
      <c r="F749" s="1"/>
      <c r="G749" s="1"/>
      <c r="H749" s="1"/>
      <c r="I749" s="1"/>
      <c r="J749" s="294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6.5" customHeight="1" x14ac:dyDescent="0.25">
      <c r="A750" s="1"/>
      <c r="B750" s="1"/>
      <c r="C750" s="82"/>
      <c r="D750" s="1"/>
      <c r="E750" s="1"/>
      <c r="F750" s="1"/>
      <c r="G750" s="1"/>
      <c r="H750" s="1"/>
      <c r="I750" s="1"/>
      <c r="J750" s="294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6.5" customHeight="1" x14ac:dyDescent="0.25">
      <c r="A751" s="1"/>
      <c r="B751" s="1"/>
      <c r="C751" s="82"/>
      <c r="D751" s="1"/>
      <c r="E751" s="1"/>
      <c r="F751" s="1"/>
      <c r="G751" s="1"/>
      <c r="H751" s="1"/>
      <c r="I751" s="1"/>
      <c r="J751" s="294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6.5" customHeight="1" x14ac:dyDescent="0.25">
      <c r="A752" s="1"/>
      <c r="B752" s="1"/>
      <c r="C752" s="82"/>
      <c r="D752" s="1"/>
      <c r="E752" s="1"/>
      <c r="F752" s="1"/>
      <c r="G752" s="1"/>
      <c r="H752" s="1"/>
      <c r="I752" s="1"/>
      <c r="J752" s="294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6.5" customHeight="1" x14ac:dyDescent="0.25">
      <c r="A753" s="1"/>
      <c r="B753" s="1"/>
      <c r="C753" s="82"/>
      <c r="D753" s="1"/>
      <c r="E753" s="1"/>
      <c r="F753" s="1"/>
      <c r="G753" s="1"/>
      <c r="H753" s="1"/>
      <c r="I753" s="1"/>
      <c r="J753" s="294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6.5" customHeight="1" x14ac:dyDescent="0.25">
      <c r="A754" s="1"/>
      <c r="B754" s="1"/>
      <c r="C754" s="82"/>
      <c r="D754" s="1"/>
      <c r="E754" s="1"/>
      <c r="F754" s="1"/>
      <c r="G754" s="1"/>
      <c r="H754" s="1"/>
      <c r="I754" s="1"/>
      <c r="J754" s="294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6.5" customHeight="1" x14ac:dyDescent="0.25">
      <c r="A755" s="1"/>
      <c r="B755" s="1"/>
      <c r="C755" s="82"/>
      <c r="D755" s="1"/>
      <c r="E755" s="1"/>
      <c r="F755" s="1"/>
      <c r="G755" s="1"/>
      <c r="H755" s="1"/>
      <c r="I755" s="1"/>
      <c r="J755" s="294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6.5" customHeight="1" x14ac:dyDescent="0.25">
      <c r="A756" s="1"/>
      <c r="B756" s="1"/>
      <c r="C756" s="82"/>
      <c r="D756" s="1"/>
      <c r="E756" s="1"/>
      <c r="F756" s="1"/>
      <c r="G756" s="1"/>
      <c r="H756" s="1"/>
      <c r="I756" s="1"/>
      <c r="J756" s="294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6.5" customHeight="1" x14ac:dyDescent="0.25">
      <c r="A757" s="1"/>
      <c r="B757" s="1"/>
      <c r="C757" s="82"/>
      <c r="D757" s="1"/>
      <c r="E757" s="1"/>
      <c r="F757" s="1"/>
      <c r="G757" s="1"/>
      <c r="H757" s="1"/>
      <c r="I757" s="1"/>
      <c r="J757" s="294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6.5" customHeight="1" x14ac:dyDescent="0.25">
      <c r="A758" s="1"/>
      <c r="B758" s="1"/>
      <c r="C758" s="82"/>
      <c r="D758" s="1"/>
      <c r="E758" s="1"/>
      <c r="F758" s="1"/>
      <c r="G758" s="1"/>
      <c r="H758" s="1"/>
      <c r="I758" s="1"/>
      <c r="J758" s="294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6.5" customHeight="1" x14ac:dyDescent="0.25">
      <c r="A759" s="1"/>
      <c r="B759" s="1"/>
      <c r="C759" s="82"/>
      <c r="D759" s="1"/>
      <c r="E759" s="1"/>
      <c r="F759" s="1"/>
      <c r="G759" s="1"/>
      <c r="H759" s="1"/>
      <c r="I759" s="1"/>
      <c r="J759" s="294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6.5" customHeight="1" x14ac:dyDescent="0.25">
      <c r="A760" s="1"/>
      <c r="B760" s="1"/>
      <c r="C760" s="82"/>
      <c r="D760" s="1"/>
      <c r="E760" s="1"/>
      <c r="F760" s="1"/>
      <c r="G760" s="1"/>
      <c r="H760" s="1"/>
      <c r="I760" s="1"/>
      <c r="J760" s="294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6.5" customHeight="1" x14ac:dyDescent="0.25">
      <c r="A761" s="1"/>
      <c r="B761" s="1"/>
      <c r="C761" s="82"/>
      <c r="D761" s="1"/>
      <c r="E761" s="1"/>
      <c r="F761" s="1"/>
      <c r="G761" s="1"/>
      <c r="H761" s="1"/>
      <c r="I761" s="1"/>
      <c r="J761" s="294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6.5" customHeight="1" x14ac:dyDescent="0.25">
      <c r="A762" s="1"/>
      <c r="B762" s="1"/>
      <c r="C762" s="82"/>
      <c r="D762" s="1"/>
      <c r="E762" s="1"/>
      <c r="F762" s="1"/>
      <c r="G762" s="1"/>
      <c r="H762" s="1"/>
      <c r="I762" s="1"/>
      <c r="J762" s="294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6.5" customHeight="1" x14ac:dyDescent="0.25">
      <c r="A763" s="1"/>
      <c r="B763" s="1"/>
      <c r="C763" s="82"/>
      <c r="D763" s="1"/>
      <c r="E763" s="1"/>
      <c r="F763" s="1"/>
      <c r="G763" s="1"/>
      <c r="H763" s="1"/>
      <c r="I763" s="1"/>
      <c r="J763" s="294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6.5" customHeight="1" x14ac:dyDescent="0.25">
      <c r="A764" s="1"/>
      <c r="B764" s="1"/>
      <c r="C764" s="82"/>
      <c r="D764" s="1"/>
      <c r="E764" s="1"/>
      <c r="F764" s="1"/>
      <c r="G764" s="1"/>
      <c r="H764" s="1"/>
      <c r="I764" s="1"/>
      <c r="J764" s="294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6.5" customHeight="1" x14ac:dyDescent="0.25">
      <c r="A765" s="1"/>
      <c r="B765" s="1"/>
      <c r="C765" s="82"/>
      <c r="D765" s="1"/>
      <c r="E765" s="1"/>
      <c r="F765" s="1"/>
      <c r="G765" s="1"/>
      <c r="H765" s="1"/>
      <c r="I765" s="1"/>
      <c r="J765" s="294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6.5" customHeight="1" x14ac:dyDescent="0.25">
      <c r="A766" s="1"/>
      <c r="B766" s="1"/>
      <c r="C766" s="82"/>
      <c r="D766" s="1"/>
      <c r="E766" s="1"/>
      <c r="F766" s="1"/>
      <c r="G766" s="1"/>
      <c r="H766" s="1"/>
      <c r="I766" s="1"/>
      <c r="J766" s="294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6.5" customHeight="1" x14ac:dyDescent="0.25">
      <c r="A767" s="1"/>
      <c r="B767" s="1"/>
      <c r="C767" s="82"/>
      <c r="D767" s="1"/>
      <c r="E767" s="1"/>
      <c r="F767" s="1"/>
      <c r="G767" s="1"/>
      <c r="H767" s="1"/>
      <c r="I767" s="1"/>
      <c r="J767" s="294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6.5" customHeight="1" x14ac:dyDescent="0.25">
      <c r="A768" s="1"/>
      <c r="B768" s="1"/>
      <c r="C768" s="82"/>
      <c r="D768" s="1"/>
      <c r="E768" s="1"/>
      <c r="F768" s="1"/>
      <c r="G768" s="1"/>
      <c r="H768" s="1"/>
      <c r="I768" s="1"/>
      <c r="J768" s="294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6.5" customHeight="1" x14ac:dyDescent="0.25">
      <c r="A769" s="1"/>
      <c r="B769" s="1"/>
      <c r="C769" s="82"/>
      <c r="D769" s="1"/>
      <c r="E769" s="1"/>
      <c r="F769" s="1"/>
      <c r="G769" s="1"/>
      <c r="H769" s="1"/>
      <c r="I769" s="1"/>
      <c r="J769" s="294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6.5" customHeight="1" x14ac:dyDescent="0.25">
      <c r="A770" s="1"/>
      <c r="B770" s="1"/>
      <c r="C770" s="82"/>
      <c r="D770" s="1"/>
      <c r="E770" s="1"/>
      <c r="F770" s="1"/>
      <c r="G770" s="1"/>
      <c r="H770" s="1"/>
      <c r="I770" s="1"/>
      <c r="J770" s="294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6.5" customHeight="1" x14ac:dyDescent="0.25">
      <c r="A771" s="1"/>
      <c r="B771" s="1"/>
      <c r="C771" s="82"/>
      <c r="D771" s="1"/>
      <c r="E771" s="1"/>
      <c r="F771" s="1"/>
      <c r="G771" s="1"/>
      <c r="H771" s="1"/>
      <c r="I771" s="1"/>
      <c r="J771" s="294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6.5" customHeight="1" x14ac:dyDescent="0.25">
      <c r="A772" s="1"/>
      <c r="B772" s="1"/>
      <c r="C772" s="82"/>
      <c r="D772" s="1"/>
      <c r="E772" s="1"/>
      <c r="F772" s="1"/>
      <c r="G772" s="1"/>
      <c r="H772" s="1"/>
      <c r="I772" s="1"/>
      <c r="J772" s="294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6.5" customHeight="1" x14ac:dyDescent="0.25">
      <c r="A773" s="1"/>
      <c r="B773" s="1"/>
      <c r="C773" s="82"/>
      <c r="D773" s="1"/>
      <c r="E773" s="1"/>
      <c r="F773" s="1"/>
      <c r="G773" s="1"/>
      <c r="H773" s="1"/>
      <c r="I773" s="1"/>
      <c r="J773" s="294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6.5" customHeight="1" x14ac:dyDescent="0.25">
      <c r="A774" s="1"/>
      <c r="B774" s="1"/>
      <c r="C774" s="82"/>
      <c r="D774" s="1"/>
      <c r="E774" s="1"/>
      <c r="F774" s="1"/>
      <c r="G774" s="1"/>
      <c r="H774" s="1"/>
      <c r="I774" s="1"/>
      <c r="J774" s="294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6.5" customHeight="1" x14ac:dyDescent="0.25">
      <c r="A775" s="1"/>
      <c r="B775" s="1"/>
      <c r="C775" s="82"/>
      <c r="D775" s="1"/>
      <c r="E775" s="1"/>
      <c r="F775" s="1"/>
      <c r="G775" s="1"/>
      <c r="H775" s="1"/>
      <c r="I775" s="1"/>
      <c r="J775" s="294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6.5" customHeight="1" x14ac:dyDescent="0.25">
      <c r="A776" s="1"/>
      <c r="B776" s="1"/>
      <c r="C776" s="82"/>
      <c r="D776" s="1"/>
      <c r="E776" s="1"/>
      <c r="F776" s="1"/>
      <c r="G776" s="1"/>
      <c r="H776" s="1"/>
      <c r="I776" s="1"/>
      <c r="J776" s="294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6.5" customHeight="1" x14ac:dyDescent="0.25">
      <c r="A777" s="1"/>
      <c r="B777" s="1"/>
      <c r="C777" s="82"/>
      <c r="D777" s="1"/>
      <c r="E777" s="1"/>
      <c r="F777" s="1"/>
      <c r="G777" s="1"/>
      <c r="H777" s="1"/>
      <c r="I777" s="1"/>
      <c r="J777" s="294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6.5" customHeight="1" x14ac:dyDescent="0.25">
      <c r="A778" s="1"/>
      <c r="B778" s="1"/>
      <c r="C778" s="82"/>
      <c r="D778" s="1"/>
      <c r="E778" s="1"/>
      <c r="F778" s="1"/>
      <c r="G778" s="1"/>
      <c r="H778" s="1"/>
      <c r="I778" s="1"/>
      <c r="J778" s="294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6.5" customHeight="1" x14ac:dyDescent="0.25">
      <c r="A779" s="1"/>
      <c r="B779" s="1"/>
      <c r="C779" s="82"/>
      <c r="D779" s="1"/>
      <c r="E779" s="1"/>
      <c r="F779" s="1"/>
      <c r="G779" s="1"/>
      <c r="H779" s="1"/>
      <c r="I779" s="1"/>
      <c r="J779" s="294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6.5" customHeight="1" x14ac:dyDescent="0.25">
      <c r="A780" s="1"/>
      <c r="B780" s="1"/>
      <c r="C780" s="82"/>
      <c r="D780" s="1"/>
      <c r="E780" s="1"/>
      <c r="F780" s="1"/>
      <c r="G780" s="1"/>
      <c r="H780" s="1"/>
      <c r="I780" s="1"/>
      <c r="J780" s="294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6.5" customHeight="1" x14ac:dyDescent="0.25">
      <c r="A781" s="1"/>
      <c r="B781" s="1"/>
      <c r="C781" s="82"/>
      <c r="D781" s="1"/>
      <c r="E781" s="1"/>
      <c r="F781" s="1"/>
      <c r="G781" s="1"/>
      <c r="H781" s="1"/>
      <c r="I781" s="1"/>
      <c r="J781" s="294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6.5" customHeight="1" x14ac:dyDescent="0.25">
      <c r="A782" s="1"/>
      <c r="B782" s="1"/>
      <c r="C782" s="82"/>
      <c r="D782" s="1"/>
      <c r="E782" s="1"/>
      <c r="F782" s="1"/>
      <c r="G782" s="1"/>
      <c r="H782" s="1"/>
      <c r="I782" s="1"/>
      <c r="J782" s="294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6.5" customHeight="1" x14ac:dyDescent="0.25">
      <c r="A783" s="1"/>
      <c r="B783" s="1"/>
      <c r="C783" s="82"/>
      <c r="D783" s="1"/>
      <c r="E783" s="1"/>
      <c r="F783" s="1"/>
      <c r="G783" s="1"/>
      <c r="H783" s="1"/>
      <c r="I783" s="1"/>
      <c r="J783" s="294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6.5" customHeight="1" x14ac:dyDescent="0.25">
      <c r="A784" s="1"/>
      <c r="B784" s="1"/>
      <c r="C784" s="82"/>
      <c r="D784" s="1"/>
      <c r="E784" s="1"/>
      <c r="F784" s="1"/>
      <c r="G784" s="1"/>
      <c r="H784" s="1"/>
      <c r="I784" s="1"/>
      <c r="J784" s="294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6.5" customHeight="1" x14ac:dyDescent="0.25">
      <c r="A785" s="1"/>
      <c r="B785" s="1"/>
      <c r="C785" s="82"/>
      <c r="D785" s="1"/>
      <c r="E785" s="1"/>
      <c r="F785" s="1"/>
      <c r="G785" s="1"/>
      <c r="H785" s="1"/>
      <c r="I785" s="1"/>
      <c r="J785" s="294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6.5" customHeight="1" x14ac:dyDescent="0.25">
      <c r="A786" s="1"/>
      <c r="B786" s="1"/>
      <c r="C786" s="82"/>
      <c r="D786" s="1"/>
      <c r="E786" s="1"/>
      <c r="F786" s="1"/>
      <c r="G786" s="1"/>
      <c r="H786" s="1"/>
      <c r="I786" s="1"/>
      <c r="J786" s="294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6.5" customHeight="1" x14ac:dyDescent="0.25">
      <c r="A787" s="1"/>
      <c r="B787" s="1"/>
      <c r="C787" s="82"/>
      <c r="D787" s="1"/>
      <c r="E787" s="1"/>
      <c r="F787" s="1"/>
      <c r="G787" s="1"/>
      <c r="H787" s="1"/>
      <c r="I787" s="1"/>
      <c r="J787" s="294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6.5" customHeight="1" x14ac:dyDescent="0.25">
      <c r="A788" s="1"/>
      <c r="B788" s="1"/>
      <c r="C788" s="82"/>
      <c r="D788" s="1"/>
      <c r="E788" s="1"/>
      <c r="F788" s="1"/>
      <c r="G788" s="1"/>
      <c r="H788" s="1"/>
      <c r="I788" s="1"/>
      <c r="J788" s="294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6.5" customHeight="1" x14ac:dyDescent="0.25">
      <c r="A789" s="1"/>
      <c r="B789" s="1"/>
      <c r="C789" s="82"/>
      <c r="D789" s="1"/>
      <c r="E789" s="1"/>
      <c r="F789" s="1"/>
      <c r="G789" s="1"/>
      <c r="H789" s="1"/>
      <c r="I789" s="1"/>
      <c r="J789" s="294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6.5" customHeight="1" x14ac:dyDescent="0.25">
      <c r="A790" s="1"/>
      <c r="B790" s="1"/>
      <c r="C790" s="82"/>
      <c r="D790" s="1"/>
      <c r="E790" s="1"/>
      <c r="F790" s="1"/>
      <c r="G790" s="1"/>
      <c r="H790" s="1"/>
      <c r="I790" s="1"/>
      <c r="J790" s="294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6.5" customHeight="1" x14ac:dyDescent="0.25">
      <c r="A791" s="1"/>
      <c r="B791" s="1"/>
      <c r="C791" s="82"/>
      <c r="D791" s="1"/>
      <c r="E791" s="1"/>
      <c r="F791" s="1"/>
      <c r="G791" s="1"/>
      <c r="H791" s="1"/>
      <c r="I791" s="1"/>
      <c r="J791" s="294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6.5" customHeight="1" x14ac:dyDescent="0.25">
      <c r="A792" s="1"/>
      <c r="B792" s="1"/>
      <c r="C792" s="82"/>
      <c r="D792" s="1"/>
      <c r="E792" s="1"/>
      <c r="F792" s="1"/>
      <c r="G792" s="1"/>
      <c r="H792" s="1"/>
      <c r="I792" s="1"/>
      <c r="J792" s="294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6.5" customHeight="1" x14ac:dyDescent="0.25">
      <c r="A793" s="1"/>
      <c r="B793" s="1"/>
      <c r="C793" s="82"/>
      <c r="D793" s="1"/>
      <c r="E793" s="1"/>
      <c r="F793" s="1"/>
      <c r="G793" s="1"/>
      <c r="H793" s="1"/>
      <c r="I793" s="1"/>
      <c r="J793" s="294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6.5" customHeight="1" x14ac:dyDescent="0.25">
      <c r="A794" s="1"/>
      <c r="B794" s="1"/>
      <c r="C794" s="82"/>
      <c r="D794" s="1"/>
      <c r="E794" s="1"/>
      <c r="F794" s="1"/>
      <c r="G794" s="1"/>
      <c r="H794" s="1"/>
      <c r="I794" s="1"/>
      <c r="J794" s="294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6.5" customHeight="1" x14ac:dyDescent="0.25">
      <c r="A795" s="1"/>
      <c r="B795" s="1"/>
      <c r="C795" s="82"/>
      <c r="D795" s="1"/>
      <c r="E795" s="1"/>
      <c r="F795" s="1"/>
      <c r="G795" s="1"/>
      <c r="H795" s="1"/>
      <c r="I795" s="1"/>
      <c r="J795" s="294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6.5" customHeight="1" x14ac:dyDescent="0.25">
      <c r="A796" s="1"/>
      <c r="B796" s="1"/>
      <c r="C796" s="82"/>
      <c r="D796" s="1"/>
      <c r="E796" s="1"/>
      <c r="F796" s="1"/>
      <c r="G796" s="1"/>
      <c r="H796" s="1"/>
      <c r="I796" s="1"/>
      <c r="J796" s="294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6.5" customHeight="1" x14ac:dyDescent="0.25">
      <c r="A797" s="1"/>
      <c r="B797" s="1"/>
      <c r="C797" s="82"/>
      <c r="D797" s="1"/>
      <c r="E797" s="1"/>
      <c r="F797" s="1"/>
      <c r="G797" s="1"/>
      <c r="H797" s="1"/>
      <c r="I797" s="1"/>
      <c r="J797" s="294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6.5" customHeight="1" x14ac:dyDescent="0.25">
      <c r="A798" s="1"/>
      <c r="B798" s="1"/>
      <c r="C798" s="82"/>
      <c r="D798" s="1"/>
      <c r="E798" s="1"/>
      <c r="F798" s="1"/>
      <c r="G798" s="1"/>
      <c r="H798" s="1"/>
      <c r="I798" s="1"/>
      <c r="J798" s="294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6.5" customHeight="1" x14ac:dyDescent="0.25">
      <c r="A799" s="1"/>
      <c r="B799" s="1"/>
      <c r="C799" s="82"/>
      <c r="D799" s="1"/>
      <c r="E799" s="1"/>
      <c r="F799" s="1"/>
      <c r="G799" s="1"/>
      <c r="H799" s="1"/>
      <c r="I799" s="1"/>
      <c r="J799" s="294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6.5" customHeight="1" x14ac:dyDescent="0.25">
      <c r="A800" s="1"/>
      <c r="B800" s="1"/>
      <c r="C800" s="82"/>
      <c r="D800" s="1"/>
      <c r="E800" s="1"/>
      <c r="F800" s="1"/>
      <c r="G800" s="1"/>
      <c r="H800" s="1"/>
      <c r="I800" s="1"/>
      <c r="J800" s="294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6.5" customHeight="1" x14ac:dyDescent="0.25">
      <c r="A801" s="1"/>
      <c r="B801" s="1"/>
      <c r="C801" s="82"/>
      <c r="D801" s="1"/>
      <c r="E801" s="1"/>
      <c r="F801" s="1"/>
      <c r="G801" s="1"/>
      <c r="H801" s="1"/>
      <c r="I801" s="1"/>
      <c r="J801" s="294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6.5" customHeight="1" x14ac:dyDescent="0.25">
      <c r="A802" s="1"/>
      <c r="B802" s="1"/>
      <c r="C802" s="82"/>
      <c r="D802" s="1"/>
      <c r="E802" s="1"/>
      <c r="F802" s="1"/>
      <c r="G802" s="1"/>
      <c r="H802" s="1"/>
      <c r="I802" s="1"/>
      <c r="J802" s="294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6.5" customHeight="1" x14ac:dyDescent="0.25">
      <c r="A803" s="1"/>
      <c r="B803" s="1"/>
      <c r="C803" s="82"/>
      <c r="D803" s="1"/>
      <c r="E803" s="1"/>
      <c r="F803" s="1"/>
      <c r="G803" s="1"/>
      <c r="H803" s="1"/>
      <c r="I803" s="1"/>
      <c r="J803" s="294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6.5" customHeight="1" x14ac:dyDescent="0.25">
      <c r="A804" s="1"/>
      <c r="B804" s="1"/>
      <c r="C804" s="82"/>
      <c r="D804" s="1"/>
      <c r="E804" s="1"/>
      <c r="F804" s="1"/>
      <c r="G804" s="1"/>
      <c r="H804" s="1"/>
      <c r="I804" s="1"/>
      <c r="J804" s="294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6.5" customHeight="1" x14ac:dyDescent="0.25">
      <c r="A805" s="1"/>
      <c r="B805" s="1"/>
      <c r="C805" s="82"/>
      <c r="D805" s="1"/>
      <c r="E805" s="1"/>
      <c r="F805" s="1"/>
      <c r="G805" s="1"/>
      <c r="H805" s="1"/>
      <c r="I805" s="1"/>
      <c r="J805" s="294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6.5" customHeight="1" x14ac:dyDescent="0.25">
      <c r="A806" s="1"/>
      <c r="B806" s="1"/>
      <c r="C806" s="82"/>
      <c r="D806" s="1"/>
      <c r="E806" s="1"/>
      <c r="F806" s="1"/>
      <c r="G806" s="1"/>
      <c r="H806" s="1"/>
      <c r="I806" s="1"/>
      <c r="J806" s="294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6.5" customHeight="1" x14ac:dyDescent="0.25">
      <c r="A807" s="1"/>
      <c r="B807" s="1"/>
      <c r="C807" s="82"/>
      <c r="D807" s="1"/>
      <c r="E807" s="1"/>
      <c r="F807" s="1"/>
      <c r="G807" s="1"/>
      <c r="H807" s="1"/>
      <c r="I807" s="1"/>
      <c r="J807" s="294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6.5" customHeight="1" x14ac:dyDescent="0.25">
      <c r="A808" s="1"/>
      <c r="B808" s="1"/>
      <c r="C808" s="82"/>
      <c r="D808" s="1"/>
      <c r="E808" s="1"/>
      <c r="F808" s="1"/>
      <c r="G808" s="1"/>
      <c r="H808" s="1"/>
      <c r="I808" s="1"/>
      <c r="J808" s="294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6.5" customHeight="1" x14ac:dyDescent="0.25">
      <c r="A809" s="1"/>
      <c r="B809" s="1"/>
      <c r="C809" s="82"/>
      <c r="D809" s="1"/>
      <c r="E809" s="1"/>
      <c r="F809" s="1"/>
      <c r="G809" s="1"/>
      <c r="H809" s="1"/>
      <c r="I809" s="1"/>
      <c r="J809" s="294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6.5" customHeight="1" x14ac:dyDescent="0.25">
      <c r="A810" s="1"/>
      <c r="B810" s="1"/>
      <c r="C810" s="82"/>
      <c r="D810" s="1"/>
      <c r="E810" s="1"/>
      <c r="F810" s="1"/>
      <c r="G810" s="1"/>
      <c r="H810" s="1"/>
      <c r="I810" s="1"/>
      <c r="J810" s="294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6.5" customHeight="1" x14ac:dyDescent="0.25">
      <c r="A811" s="1"/>
      <c r="B811" s="1"/>
      <c r="C811" s="82"/>
      <c r="D811" s="1"/>
      <c r="E811" s="1"/>
      <c r="F811" s="1"/>
      <c r="G811" s="1"/>
      <c r="H811" s="1"/>
      <c r="I811" s="1"/>
      <c r="J811" s="294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6.5" customHeight="1" x14ac:dyDescent="0.25">
      <c r="A812" s="1"/>
      <c r="B812" s="1"/>
      <c r="C812" s="82"/>
      <c r="D812" s="1"/>
      <c r="E812" s="1"/>
      <c r="F812" s="1"/>
      <c r="G812" s="1"/>
      <c r="H812" s="1"/>
      <c r="I812" s="1"/>
      <c r="J812" s="294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6.5" customHeight="1" x14ac:dyDescent="0.25">
      <c r="A813" s="1"/>
      <c r="B813" s="1"/>
      <c r="C813" s="82"/>
      <c r="D813" s="1"/>
      <c r="E813" s="1"/>
      <c r="F813" s="1"/>
      <c r="G813" s="1"/>
      <c r="H813" s="1"/>
      <c r="I813" s="1"/>
      <c r="J813" s="294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6.5" customHeight="1" x14ac:dyDescent="0.25">
      <c r="A814" s="1"/>
      <c r="B814" s="1"/>
      <c r="C814" s="82"/>
      <c r="D814" s="1"/>
      <c r="E814" s="1"/>
      <c r="F814" s="1"/>
      <c r="G814" s="1"/>
      <c r="H814" s="1"/>
      <c r="I814" s="1"/>
      <c r="J814" s="294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6.5" customHeight="1" x14ac:dyDescent="0.25">
      <c r="A815" s="1"/>
      <c r="B815" s="1"/>
      <c r="C815" s="82"/>
      <c r="D815" s="1"/>
      <c r="E815" s="1"/>
      <c r="F815" s="1"/>
      <c r="G815" s="1"/>
      <c r="H815" s="1"/>
      <c r="I815" s="1"/>
      <c r="J815" s="294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6.5" customHeight="1" x14ac:dyDescent="0.25">
      <c r="A816" s="1"/>
      <c r="B816" s="1"/>
      <c r="C816" s="82"/>
      <c r="D816" s="1"/>
      <c r="E816" s="1"/>
      <c r="F816" s="1"/>
      <c r="G816" s="1"/>
      <c r="H816" s="1"/>
      <c r="I816" s="1"/>
      <c r="J816" s="294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6.5" customHeight="1" x14ac:dyDescent="0.25">
      <c r="A817" s="1"/>
      <c r="B817" s="1"/>
      <c r="C817" s="82"/>
      <c r="D817" s="1"/>
      <c r="E817" s="1"/>
      <c r="F817" s="1"/>
      <c r="G817" s="1"/>
      <c r="H817" s="1"/>
      <c r="I817" s="1"/>
      <c r="J817" s="294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6.5" customHeight="1" x14ac:dyDescent="0.25">
      <c r="A818" s="1"/>
      <c r="B818" s="1"/>
      <c r="C818" s="82"/>
      <c r="D818" s="1"/>
      <c r="E818" s="1"/>
      <c r="F818" s="1"/>
      <c r="G818" s="1"/>
      <c r="H818" s="1"/>
      <c r="I818" s="1"/>
      <c r="J818" s="294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6.5" customHeight="1" x14ac:dyDescent="0.25">
      <c r="A819" s="1"/>
      <c r="B819" s="1"/>
      <c r="C819" s="82"/>
      <c r="D819" s="1"/>
      <c r="E819" s="1"/>
      <c r="F819" s="1"/>
      <c r="G819" s="1"/>
      <c r="H819" s="1"/>
      <c r="I819" s="1"/>
      <c r="J819" s="294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6.5" customHeight="1" x14ac:dyDescent="0.25">
      <c r="A820" s="1"/>
      <c r="B820" s="1"/>
      <c r="C820" s="82"/>
      <c r="D820" s="1"/>
      <c r="E820" s="1"/>
      <c r="F820" s="1"/>
      <c r="G820" s="1"/>
      <c r="H820" s="1"/>
      <c r="I820" s="1"/>
      <c r="J820" s="294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6.5" customHeight="1" x14ac:dyDescent="0.25">
      <c r="A821" s="1"/>
      <c r="B821" s="1"/>
      <c r="C821" s="82"/>
      <c r="D821" s="1"/>
      <c r="E821" s="1"/>
      <c r="F821" s="1"/>
      <c r="G821" s="1"/>
      <c r="H821" s="1"/>
      <c r="I821" s="1"/>
      <c r="J821" s="294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6.5" customHeight="1" x14ac:dyDescent="0.25">
      <c r="A822" s="1"/>
      <c r="B822" s="1"/>
      <c r="C822" s="82"/>
      <c r="D822" s="1"/>
      <c r="E822" s="1"/>
      <c r="F822" s="1"/>
      <c r="G822" s="1"/>
      <c r="H822" s="1"/>
      <c r="I822" s="1"/>
      <c r="J822" s="294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6.5" customHeight="1" x14ac:dyDescent="0.25">
      <c r="A823" s="1"/>
      <c r="B823" s="1"/>
      <c r="C823" s="82"/>
      <c r="D823" s="1"/>
      <c r="E823" s="1"/>
      <c r="F823" s="1"/>
      <c r="G823" s="1"/>
      <c r="H823" s="1"/>
      <c r="I823" s="1"/>
      <c r="J823" s="294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6.5" customHeight="1" x14ac:dyDescent="0.25">
      <c r="A824" s="1"/>
      <c r="B824" s="1"/>
      <c r="C824" s="82"/>
      <c r="D824" s="1"/>
      <c r="E824" s="1"/>
      <c r="F824" s="1"/>
      <c r="G824" s="1"/>
      <c r="H824" s="1"/>
      <c r="I824" s="1"/>
      <c r="J824" s="294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6.5" customHeight="1" x14ac:dyDescent="0.25">
      <c r="A825" s="1"/>
      <c r="B825" s="1"/>
      <c r="C825" s="82"/>
      <c r="D825" s="1"/>
      <c r="E825" s="1"/>
      <c r="F825" s="1"/>
      <c r="G825" s="1"/>
      <c r="H825" s="1"/>
      <c r="I825" s="1"/>
      <c r="J825" s="294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6.5" customHeight="1" x14ac:dyDescent="0.25">
      <c r="A826" s="1"/>
      <c r="B826" s="1"/>
      <c r="C826" s="82"/>
      <c r="D826" s="1"/>
      <c r="E826" s="1"/>
      <c r="F826" s="1"/>
      <c r="G826" s="1"/>
      <c r="H826" s="1"/>
      <c r="I826" s="1"/>
      <c r="J826" s="294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6.5" customHeight="1" x14ac:dyDescent="0.25">
      <c r="A827" s="1"/>
      <c r="B827" s="1"/>
      <c r="C827" s="82"/>
      <c r="D827" s="1"/>
      <c r="E827" s="1"/>
      <c r="F827" s="1"/>
      <c r="G827" s="1"/>
      <c r="H827" s="1"/>
      <c r="I827" s="1"/>
      <c r="J827" s="294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6.5" customHeight="1" x14ac:dyDescent="0.25">
      <c r="A828" s="1"/>
      <c r="B828" s="1"/>
      <c r="C828" s="82"/>
      <c r="D828" s="1"/>
      <c r="E828" s="1"/>
      <c r="F828" s="1"/>
      <c r="G828" s="1"/>
      <c r="H828" s="1"/>
      <c r="I828" s="1"/>
      <c r="J828" s="294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6.5" customHeight="1" x14ac:dyDescent="0.25">
      <c r="A829" s="1"/>
      <c r="B829" s="1"/>
      <c r="C829" s="82"/>
      <c r="D829" s="1"/>
      <c r="E829" s="1"/>
      <c r="F829" s="1"/>
      <c r="G829" s="1"/>
      <c r="H829" s="1"/>
      <c r="I829" s="1"/>
      <c r="J829" s="294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6.5" customHeight="1" x14ac:dyDescent="0.25">
      <c r="A830" s="1"/>
      <c r="B830" s="1"/>
      <c r="C830" s="82"/>
      <c r="D830" s="1"/>
      <c r="E830" s="1"/>
      <c r="F830" s="1"/>
      <c r="G830" s="1"/>
      <c r="H830" s="1"/>
      <c r="I830" s="1"/>
      <c r="J830" s="294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6.5" customHeight="1" x14ac:dyDescent="0.25">
      <c r="A831" s="1"/>
      <c r="B831" s="1"/>
      <c r="C831" s="82"/>
      <c r="D831" s="1"/>
      <c r="E831" s="1"/>
      <c r="F831" s="1"/>
      <c r="G831" s="1"/>
      <c r="H831" s="1"/>
      <c r="I831" s="1"/>
      <c r="J831" s="294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6.5" customHeight="1" x14ac:dyDescent="0.25">
      <c r="A832" s="1"/>
      <c r="B832" s="1"/>
      <c r="C832" s="82"/>
      <c r="D832" s="1"/>
      <c r="E832" s="1"/>
      <c r="F832" s="1"/>
      <c r="G832" s="1"/>
      <c r="H832" s="1"/>
      <c r="I832" s="1"/>
      <c r="J832" s="294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6.5" customHeight="1" x14ac:dyDescent="0.25">
      <c r="A833" s="1"/>
      <c r="B833" s="1"/>
      <c r="C833" s="82"/>
      <c r="D833" s="1"/>
      <c r="E833" s="1"/>
      <c r="F833" s="1"/>
      <c r="G833" s="1"/>
      <c r="H833" s="1"/>
      <c r="I833" s="1"/>
      <c r="J833" s="294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6.5" customHeight="1" x14ac:dyDescent="0.25">
      <c r="A834" s="1"/>
      <c r="B834" s="1"/>
      <c r="C834" s="82"/>
      <c r="D834" s="1"/>
      <c r="E834" s="1"/>
      <c r="F834" s="1"/>
      <c r="G834" s="1"/>
      <c r="H834" s="1"/>
      <c r="I834" s="1"/>
      <c r="J834" s="294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6.5" customHeight="1" x14ac:dyDescent="0.25">
      <c r="A835" s="1"/>
      <c r="B835" s="1"/>
      <c r="C835" s="82"/>
      <c r="D835" s="1"/>
      <c r="E835" s="1"/>
      <c r="F835" s="1"/>
      <c r="G835" s="1"/>
      <c r="H835" s="1"/>
      <c r="I835" s="1"/>
      <c r="J835" s="294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6.5" customHeight="1" x14ac:dyDescent="0.25">
      <c r="A836" s="1"/>
      <c r="B836" s="1"/>
      <c r="C836" s="82"/>
      <c r="D836" s="1"/>
      <c r="E836" s="1"/>
      <c r="F836" s="1"/>
      <c r="G836" s="1"/>
      <c r="H836" s="1"/>
      <c r="I836" s="1"/>
      <c r="J836" s="294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6.5" customHeight="1" x14ac:dyDescent="0.25">
      <c r="A837" s="1"/>
      <c r="B837" s="1"/>
      <c r="C837" s="82"/>
      <c r="D837" s="1"/>
      <c r="E837" s="1"/>
      <c r="F837" s="1"/>
      <c r="G837" s="1"/>
      <c r="H837" s="1"/>
      <c r="I837" s="1"/>
      <c r="J837" s="294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6.5" customHeight="1" x14ac:dyDescent="0.25">
      <c r="A838" s="1"/>
      <c r="B838" s="1"/>
      <c r="C838" s="82"/>
      <c r="D838" s="1"/>
      <c r="E838" s="1"/>
      <c r="F838" s="1"/>
      <c r="G838" s="1"/>
      <c r="H838" s="1"/>
      <c r="I838" s="1"/>
      <c r="J838" s="294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6.5" customHeight="1" x14ac:dyDescent="0.25">
      <c r="A839" s="1"/>
      <c r="B839" s="1"/>
      <c r="C839" s="82"/>
      <c r="D839" s="1"/>
      <c r="E839" s="1"/>
      <c r="F839" s="1"/>
      <c r="G839" s="1"/>
      <c r="H839" s="1"/>
      <c r="I839" s="1"/>
      <c r="J839" s="294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6.5" customHeight="1" x14ac:dyDescent="0.25">
      <c r="A840" s="1"/>
      <c r="B840" s="1"/>
      <c r="C840" s="82"/>
      <c r="D840" s="1"/>
      <c r="E840" s="1"/>
      <c r="F840" s="1"/>
      <c r="G840" s="1"/>
      <c r="H840" s="1"/>
      <c r="I840" s="1"/>
      <c r="J840" s="294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6.5" customHeight="1" x14ac:dyDescent="0.25">
      <c r="A841" s="1"/>
      <c r="B841" s="1"/>
      <c r="C841" s="82"/>
      <c r="D841" s="1"/>
      <c r="E841" s="1"/>
      <c r="F841" s="1"/>
      <c r="G841" s="1"/>
      <c r="H841" s="1"/>
      <c r="I841" s="1"/>
      <c r="J841" s="294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6.5" customHeight="1" x14ac:dyDescent="0.25">
      <c r="A842" s="1"/>
      <c r="B842" s="1"/>
      <c r="C842" s="82"/>
      <c r="D842" s="1"/>
      <c r="E842" s="1"/>
      <c r="F842" s="1"/>
      <c r="G842" s="1"/>
      <c r="H842" s="1"/>
      <c r="I842" s="1"/>
      <c r="J842" s="294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6.5" customHeight="1" x14ac:dyDescent="0.25">
      <c r="A843" s="1"/>
      <c r="B843" s="1"/>
      <c r="C843" s="82"/>
      <c r="D843" s="1"/>
      <c r="E843" s="1"/>
      <c r="F843" s="1"/>
      <c r="G843" s="1"/>
      <c r="H843" s="1"/>
      <c r="I843" s="1"/>
      <c r="J843" s="294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6.5" customHeight="1" x14ac:dyDescent="0.25">
      <c r="A844" s="1"/>
      <c r="B844" s="1"/>
      <c r="C844" s="82"/>
      <c r="D844" s="1"/>
      <c r="E844" s="1"/>
      <c r="F844" s="1"/>
      <c r="G844" s="1"/>
      <c r="H844" s="1"/>
      <c r="I844" s="1"/>
      <c r="J844" s="294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6.5" customHeight="1" x14ac:dyDescent="0.25">
      <c r="A845" s="1"/>
      <c r="B845" s="1"/>
      <c r="C845" s="82"/>
      <c r="D845" s="1"/>
      <c r="E845" s="1"/>
      <c r="F845" s="1"/>
      <c r="G845" s="1"/>
      <c r="H845" s="1"/>
      <c r="I845" s="1"/>
      <c r="J845" s="294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6.5" customHeight="1" x14ac:dyDescent="0.25">
      <c r="A846" s="1"/>
      <c r="B846" s="1"/>
      <c r="C846" s="82"/>
      <c r="D846" s="1"/>
      <c r="E846" s="1"/>
      <c r="F846" s="1"/>
      <c r="G846" s="1"/>
      <c r="H846" s="1"/>
      <c r="I846" s="1"/>
      <c r="J846" s="294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6.5" customHeight="1" x14ac:dyDescent="0.25">
      <c r="A847" s="1"/>
      <c r="B847" s="1"/>
      <c r="C847" s="82"/>
      <c r="D847" s="1"/>
      <c r="E847" s="1"/>
      <c r="F847" s="1"/>
      <c r="G847" s="1"/>
      <c r="H847" s="1"/>
      <c r="I847" s="1"/>
      <c r="J847" s="294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6.5" customHeight="1" x14ac:dyDescent="0.25">
      <c r="A848" s="1"/>
      <c r="B848" s="1"/>
      <c r="C848" s="82"/>
      <c r="D848" s="1"/>
      <c r="E848" s="1"/>
      <c r="F848" s="1"/>
      <c r="G848" s="1"/>
      <c r="H848" s="1"/>
      <c r="I848" s="1"/>
      <c r="J848" s="294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6.5" customHeight="1" x14ac:dyDescent="0.25">
      <c r="A849" s="1"/>
      <c r="B849" s="1"/>
      <c r="C849" s="82"/>
      <c r="D849" s="1"/>
      <c r="E849" s="1"/>
      <c r="F849" s="1"/>
      <c r="G849" s="1"/>
      <c r="H849" s="1"/>
      <c r="I849" s="1"/>
      <c r="J849" s="294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6.5" customHeight="1" x14ac:dyDescent="0.25">
      <c r="A850" s="1"/>
      <c r="B850" s="1"/>
      <c r="C850" s="82"/>
      <c r="D850" s="1"/>
      <c r="E850" s="1"/>
      <c r="F850" s="1"/>
      <c r="G850" s="1"/>
      <c r="H850" s="1"/>
      <c r="I850" s="1"/>
      <c r="J850" s="294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6.5" customHeight="1" x14ac:dyDescent="0.25">
      <c r="A851" s="1"/>
      <c r="B851" s="1"/>
      <c r="C851" s="82"/>
      <c r="D851" s="1"/>
      <c r="E851" s="1"/>
      <c r="F851" s="1"/>
      <c r="G851" s="1"/>
      <c r="H851" s="1"/>
      <c r="I851" s="1"/>
      <c r="J851" s="294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6.5" customHeight="1" x14ac:dyDescent="0.25">
      <c r="A852" s="1"/>
      <c r="B852" s="1"/>
      <c r="C852" s="82"/>
      <c r="D852" s="1"/>
      <c r="E852" s="1"/>
      <c r="F852" s="1"/>
      <c r="G852" s="1"/>
      <c r="H852" s="1"/>
      <c r="I852" s="1"/>
      <c r="J852" s="294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6.5" customHeight="1" x14ac:dyDescent="0.25">
      <c r="A853" s="1"/>
      <c r="B853" s="1"/>
      <c r="C853" s="82"/>
      <c r="D853" s="1"/>
      <c r="E853" s="1"/>
      <c r="F853" s="1"/>
      <c r="G853" s="1"/>
      <c r="H853" s="1"/>
      <c r="I853" s="1"/>
      <c r="J853" s="294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6.5" customHeight="1" x14ac:dyDescent="0.25">
      <c r="A854" s="1"/>
      <c r="B854" s="1"/>
      <c r="C854" s="82"/>
      <c r="D854" s="1"/>
      <c r="E854" s="1"/>
      <c r="F854" s="1"/>
      <c r="G854" s="1"/>
      <c r="H854" s="1"/>
      <c r="I854" s="1"/>
      <c r="J854" s="294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6.5" customHeight="1" x14ac:dyDescent="0.25">
      <c r="A855" s="1"/>
      <c r="B855" s="1"/>
      <c r="C855" s="82"/>
      <c r="D855" s="1"/>
      <c r="E855" s="1"/>
      <c r="F855" s="1"/>
      <c r="G855" s="1"/>
      <c r="H855" s="1"/>
      <c r="I855" s="1"/>
      <c r="J855" s="294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6.5" customHeight="1" x14ac:dyDescent="0.25">
      <c r="A856" s="1"/>
      <c r="B856" s="1"/>
      <c r="C856" s="82"/>
      <c r="D856" s="1"/>
      <c r="E856" s="1"/>
      <c r="F856" s="1"/>
      <c r="G856" s="1"/>
      <c r="H856" s="1"/>
      <c r="I856" s="1"/>
      <c r="J856" s="294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6.5" customHeight="1" x14ac:dyDescent="0.25">
      <c r="A857" s="1"/>
      <c r="B857" s="1"/>
      <c r="C857" s="82"/>
      <c r="D857" s="1"/>
      <c r="E857" s="1"/>
      <c r="F857" s="1"/>
      <c r="G857" s="1"/>
      <c r="H857" s="1"/>
      <c r="I857" s="1"/>
      <c r="J857" s="294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6.5" customHeight="1" x14ac:dyDescent="0.25">
      <c r="A858" s="1"/>
      <c r="B858" s="1"/>
      <c r="C858" s="82"/>
      <c r="D858" s="1"/>
      <c r="E858" s="1"/>
      <c r="F858" s="1"/>
      <c r="G858" s="1"/>
      <c r="H858" s="1"/>
      <c r="I858" s="1"/>
      <c r="J858" s="294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6.5" customHeight="1" x14ac:dyDescent="0.25">
      <c r="A859" s="1"/>
      <c r="B859" s="1"/>
      <c r="C859" s="82"/>
      <c r="D859" s="1"/>
      <c r="E859" s="1"/>
      <c r="F859" s="1"/>
      <c r="G859" s="1"/>
      <c r="H859" s="1"/>
      <c r="I859" s="1"/>
      <c r="J859" s="294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6.5" customHeight="1" x14ac:dyDescent="0.25">
      <c r="A860" s="1"/>
      <c r="B860" s="1"/>
      <c r="C860" s="82"/>
      <c r="D860" s="1"/>
      <c r="E860" s="1"/>
      <c r="F860" s="1"/>
      <c r="G860" s="1"/>
      <c r="H860" s="1"/>
      <c r="I860" s="1"/>
      <c r="J860" s="294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6.5" customHeight="1" x14ac:dyDescent="0.25">
      <c r="A861" s="1"/>
      <c r="B861" s="1"/>
      <c r="C861" s="82"/>
      <c r="D861" s="1"/>
      <c r="E861" s="1"/>
      <c r="F861" s="1"/>
      <c r="G861" s="1"/>
      <c r="H861" s="1"/>
      <c r="I861" s="1"/>
      <c r="J861" s="294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6.5" customHeight="1" x14ac:dyDescent="0.25">
      <c r="A862" s="1"/>
      <c r="B862" s="1"/>
      <c r="C862" s="82"/>
      <c r="D862" s="1"/>
      <c r="E862" s="1"/>
      <c r="F862" s="1"/>
      <c r="G862" s="1"/>
      <c r="H862" s="1"/>
      <c r="I862" s="1"/>
      <c r="J862" s="294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6.5" customHeight="1" x14ac:dyDescent="0.25">
      <c r="A863" s="1"/>
      <c r="B863" s="1"/>
      <c r="C863" s="82"/>
      <c r="D863" s="1"/>
      <c r="E863" s="1"/>
      <c r="F863" s="1"/>
      <c r="G863" s="1"/>
      <c r="H863" s="1"/>
      <c r="I863" s="1"/>
      <c r="J863" s="294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6.5" customHeight="1" x14ac:dyDescent="0.25">
      <c r="A864" s="1"/>
      <c r="B864" s="1"/>
      <c r="C864" s="82"/>
      <c r="D864" s="1"/>
      <c r="E864" s="1"/>
      <c r="F864" s="1"/>
      <c r="G864" s="1"/>
      <c r="H864" s="1"/>
      <c r="I864" s="1"/>
      <c r="J864" s="294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6.5" customHeight="1" x14ac:dyDescent="0.25">
      <c r="A865" s="1"/>
      <c r="B865" s="1"/>
      <c r="C865" s="82"/>
      <c r="D865" s="1"/>
      <c r="E865" s="1"/>
      <c r="F865" s="1"/>
      <c r="G865" s="1"/>
      <c r="H865" s="1"/>
      <c r="I865" s="1"/>
      <c r="J865" s="294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6.5" customHeight="1" x14ac:dyDescent="0.25">
      <c r="A866" s="1"/>
      <c r="B866" s="1"/>
      <c r="C866" s="82"/>
      <c r="D866" s="1"/>
      <c r="E866" s="1"/>
      <c r="F866" s="1"/>
      <c r="G866" s="1"/>
      <c r="H866" s="1"/>
      <c r="I866" s="1"/>
      <c r="J866" s="294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6.5" customHeight="1" x14ac:dyDescent="0.25">
      <c r="A867" s="1"/>
      <c r="B867" s="1"/>
      <c r="C867" s="82"/>
      <c r="D867" s="1"/>
      <c r="E867" s="1"/>
      <c r="F867" s="1"/>
      <c r="G867" s="1"/>
      <c r="H867" s="1"/>
      <c r="I867" s="1"/>
      <c r="J867" s="294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6.5" customHeight="1" x14ac:dyDescent="0.25">
      <c r="A868" s="1"/>
      <c r="B868" s="1"/>
      <c r="C868" s="82"/>
      <c r="D868" s="1"/>
      <c r="E868" s="1"/>
      <c r="F868" s="1"/>
      <c r="G868" s="1"/>
      <c r="H868" s="1"/>
      <c r="I868" s="1"/>
      <c r="J868" s="294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6.5" customHeight="1" x14ac:dyDescent="0.25">
      <c r="A869" s="1"/>
      <c r="B869" s="1"/>
      <c r="C869" s="82"/>
      <c r="D869" s="1"/>
      <c r="E869" s="1"/>
      <c r="F869" s="1"/>
      <c r="G869" s="1"/>
      <c r="H869" s="1"/>
      <c r="I869" s="1"/>
      <c r="J869" s="294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6.5" customHeight="1" x14ac:dyDescent="0.25">
      <c r="A870" s="1"/>
      <c r="B870" s="1"/>
      <c r="C870" s="82"/>
      <c r="D870" s="1"/>
      <c r="E870" s="1"/>
      <c r="F870" s="1"/>
      <c r="G870" s="1"/>
      <c r="H870" s="1"/>
      <c r="I870" s="1"/>
      <c r="J870" s="294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6.5" customHeight="1" x14ac:dyDescent="0.25">
      <c r="A871" s="1"/>
      <c r="B871" s="1"/>
      <c r="C871" s="82"/>
      <c r="D871" s="1"/>
      <c r="E871" s="1"/>
      <c r="F871" s="1"/>
      <c r="G871" s="1"/>
      <c r="H871" s="1"/>
      <c r="I871" s="1"/>
      <c r="J871" s="294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6.5" customHeight="1" x14ac:dyDescent="0.25">
      <c r="A872" s="1"/>
      <c r="B872" s="1"/>
      <c r="C872" s="82"/>
      <c r="D872" s="1"/>
      <c r="E872" s="1"/>
      <c r="F872" s="1"/>
      <c r="G872" s="1"/>
      <c r="H872" s="1"/>
      <c r="I872" s="1"/>
      <c r="J872" s="294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6.5" customHeight="1" x14ac:dyDescent="0.25">
      <c r="A873" s="1"/>
      <c r="B873" s="1"/>
      <c r="C873" s="82"/>
      <c r="D873" s="1"/>
      <c r="E873" s="1"/>
      <c r="F873" s="1"/>
      <c r="G873" s="1"/>
      <c r="H873" s="1"/>
      <c r="I873" s="1"/>
      <c r="J873" s="294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6.5" customHeight="1" x14ac:dyDescent="0.25">
      <c r="A874" s="1"/>
      <c r="B874" s="1"/>
      <c r="C874" s="82"/>
      <c r="D874" s="1"/>
      <c r="E874" s="1"/>
      <c r="F874" s="1"/>
      <c r="G874" s="1"/>
      <c r="H874" s="1"/>
      <c r="I874" s="1"/>
      <c r="J874" s="294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6.5" customHeight="1" x14ac:dyDescent="0.25">
      <c r="A875" s="1"/>
      <c r="B875" s="1"/>
      <c r="C875" s="82"/>
      <c r="D875" s="1"/>
      <c r="E875" s="1"/>
      <c r="F875" s="1"/>
      <c r="G875" s="1"/>
      <c r="H875" s="1"/>
      <c r="I875" s="1"/>
      <c r="J875" s="294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6.5" customHeight="1" x14ac:dyDescent="0.25">
      <c r="A876" s="1"/>
      <c r="B876" s="1"/>
      <c r="C876" s="82"/>
      <c r="D876" s="1"/>
      <c r="E876" s="1"/>
      <c r="F876" s="1"/>
      <c r="G876" s="1"/>
      <c r="H876" s="1"/>
      <c r="I876" s="1"/>
      <c r="J876" s="294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6.5" customHeight="1" x14ac:dyDescent="0.25">
      <c r="A877" s="1"/>
      <c r="B877" s="1"/>
      <c r="C877" s="82"/>
      <c r="D877" s="1"/>
      <c r="E877" s="1"/>
      <c r="F877" s="1"/>
      <c r="G877" s="1"/>
      <c r="H877" s="1"/>
      <c r="I877" s="1"/>
      <c r="J877" s="294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6.5" customHeight="1" x14ac:dyDescent="0.25">
      <c r="A878" s="1"/>
      <c r="B878" s="1"/>
      <c r="C878" s="82"/>
      <c r="D878" s="1"/>
      <c r="E878" s="1"/>
      <c r="F878" s="1"/>
      <c r="G878" s="1"/>
      <c r="H878" s="1"/>
      <c r="I878" s="1"/>
      <c r="J878" s="294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6.5" customHeight="1" x14ac:dyDescent="0.25">
      <c r="A879" s="1"/>
      <c r="B879" s="1"/>
      <c r="C879" s="82"/>
      <c r="D879" s="1"/>
      <c r="E879" s="1"/>
      <c r="F879" s="1"/>
      <c r="G879" s="1"/>
      <c r="H879" s="1"/>
      <c r="I879" s="1"/>
      <c r="J879" s="294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6.5" customHeight="1" x14ac:dyDescent="0.25">
      <c r="A880" s="1"/>
      <c r="B880" s="1"/>
      <c r="C880" s="82"/>
      <c r="D880" s="1"/>
      <c r="E880" s="1"/>
      <c r="F880" s="1"/>
      <c r="G880" s="1"/>
      <c r="H880" s="1"/>
      <c r="I880" s="1"/>
      <c r="J880" s="294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6.5" customHeight="1" x14ac:dyDescent="0.25">
      <c r="A881" s="1"/>
      <c r="B881" s="1"/>
      <c r="C881" s="82"/>
      <c r="D881" s="1"/>
      <c r="E881" s="1"/>
      <c r="F881" s="1"/>
      <c r="G881" s="1"/>
      <c r="H881" s="1"/>
      <c r="I881" s="1"/>
      <c r="J881" s="294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6.5" customHeight="1" x14ac:dyDescent="0.25">
      <c r="A882" s="1"/>
      <c r="B882" s="1"/>
      <c r="C882" s="82"/>
      <c r="D882" s="1"/>
      <c r="E882" s="1"/>
      <c r="F882" s="1"/>
      <c r="G882" s="1"/>
      <c r="H882" s="1"/>
      <c r="I882" s="1"/>
      <c r="J882" s="294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6.5" customHeight="1" x14ac:dyDescent="0.25">
      <c r="A883" s="1"/>
      <c r="B883" s="1"/>
      <c r="C883" s="82"/>
      <c r="D883" s="1"/>
      <c r="E883" s="1"/>
      <c r="F883" s="1"/>
      <c r="G883" s="1"/>
      <c r="H883" s="1"/>
      <c r="I883" s="1"/>
      <c r="J883" s="294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6.5" customHeight="1" x14ac:dyDescent="0.25">
      <c r="A884" s="1"/>
      <c r="B884" s="1"/>
      <c r="C884" s="82"/>
      <c r="D884" s="1"/>
      <c r="E884" s="1"/>
      <c r="F884" s="1"/>
      <c r="G884" s="1"/>
      <c r="H884" s="1"/>
      <c r="I884" s="1"/>
      <c r="J884" s="294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6.5" customHeight="1" x14ac:dyDescent="0.25">
      <c r="A885" s="1"/>
      <c r="B885" s="1"/>
      <c r="C885" s="82"/>
      <c r="D885" s="1"/>
      <c r="E885" s="1"/>
      <c r="F885" s="1"/>
      <c r="G885" s="1"/>
      <c r="H885" s="1"/>
      <c r="I885" s="1"/>
      <c r="J885" s="294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6.5" customHeight="1" x14ac:dyDescent="0.25">
      <c r="A886" s="1"/>
      <c r="B886" s="1"/>
      <c r="C886" s="82"/>
      <c r="D886" s="1"/>
      <c r="E886" s="1"/>
      <c r="F886" s="1"/>
      <c r="G886" s="1"/>
      <c r="H886" s="1"/>
      <c r="I886" s="1"/>
      <c r="J886" s="294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6.5" customHeight="1" x14ac:dyDescent="0.25">
      <c r="A887" s="1"/>
      <c r="B887" s="1"/>
      <c r="C887" s="82"/>
      <c r="D887" s="1"/>
      <c r="E887" s="1"/>
      <c r="F887" s="1"/>
      <c r="G887" s="1"/>
      <c r="H887" s="1"/>
      <c r="I887" s="1"/>
      <c r="J887" s="294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6.5" customHeight="1" x14ac:dyDescent="0.25">
      <c r="A888" s="1"/>
      <c r="B888" s="1"/>
      <c r="C888" s="82"/>
      <c r="D888" s="1"/>
      <c r="E888" s="1"/>
      <c r="F888" s="1"/>
      <c r="G888" s="1"/>
      <c r="H888" s="1"/>
      <c r="I888" s="1"/>
      <c r="J888" s="294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6.5" customHeight="1" x14ac:dyDescent="0.25">
      <c r="A889" s="1"/>
      <c r="B889" s="1"/>
      <c r="C889" s="82"/>
      <c r="D889" s="1"/>
      <c r="E889" s="1"/>
      <c r="F889" s="1"/>
      <c r="G889" s="1"/>
      <c r="H889" s="1"/>
      <c r="I889" s="1"/>
      <c r="J889" s="294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6.5" customHeight="1" x14ac:dyDescent="0.25">
      <c r="A890" s="1"/>
      <c r="B890" s="1"/>
      <c r="C890" s="82"/>
      <c r="D890" s="1"/>
      <c r="E890" s="1"/>
      <c r="F890" s="1"/>
      <c r="G890" s="1"/>
      <c r="H890" s="1"/>
      <c r="I890" s="1"/>
      <c r="J890" s="294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6.5" customHeight="1" x14ac:dyDescent="0.25">
      <c r="A891" s="1"/>
      <c r="B891" s="1"/>
      <c r="C891" s="82"/>
      <c r="D891" s="1"/>
      <c r="E891" s="1"/>
      <c r="F891" s="1"/>
      <c r="G891" s="1"/>
      <c r="H891" s="1"/>
      <c r="I891" s="1"/>
      <c r="J891" s="294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6.5" customHeight="1" x14ac:dyDescent="0.25">
      <c r="A892" s="1"/>
      <c r="B892" s="1"/>
      <c r="C892" s="82"/>
      <c r="D892" s="1"/>
      <c r="E892" s="1"/>
      <c r="F892" s="1"/>
      <c r="G892" s="1"/>
      <c r="H892" s="1"/>
      <c r="I892" s="1"/>
      <c r="J892" s="294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6.5" customHeight="1" x14ac:dyDescent="0.25">
      <c r="A893" s="1"/>
      <c r="B893" s="1"/>
      <c r="C893" s="82"/>
      <c r="D893" s="1"/>
      <c r="E893" s="1"/>
      <c r="F893" s="1"/>
      <c r="G893" s="1"/>
      <c r="H893" s="1"/>
      <c r="I893" s="1"/>
      <c r="J893" s="294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6.5" customHeight="1" x14ac:dyDescent="0.25">
      <c r="A894" s="1"/>
      <c r="B894" s="1"/>
      <c r="C894" s="82"/>
      <c r="D894" s="1"/>
      <c r="E894" s="1"/>
      <c r="F894" s="1"/>
      <c r="G894" s="1"/>
      <c r="H894" s="1"/>
      <c r="I894" s="1"/>
      <c r="J894" s="294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6.5" customHeight="1" x14ac:dyDescent="0.25">
      <c r="A895" s="1"/>
      <c r="B895" s="1"/>
      <c r="C895" s="82"/>
      <c r="D895" s="1"/>
      <c r="E895" s="1"/>
      <c r="F895" s="1"/>
      <c r="G895" s="1"/>
      <c r="H895" s="1"/>
      <c r="I895" s="1"/>
      <c r="J895" s="294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6.5" customHeight="1" x14ac:dyDescent="0.25">
      <c r="A896" s="1"/>
      <c r="B896" s="1"/>
      <c r="C896" s="82"/>
      <c r="D896" s="1"/>
      <c r="E896" s="1"/>
      <c r="F896" s="1"/>
      <c r="G896" s="1"/>
      <c r="H896" s="1"/>
      <c r="I896" s="1"/>
      <c r="J896" s="294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6.5" customHeight="1" x14ac:dyDescent="0.25">
      <c r="A897" s="1"/>
      <c r="B897" s="1"/>
      <c r="C897" s="82"/>
      <c r="D897" s="1"/>
      <c r="E897" s="1"/>
      <c r="F897" s="1"/>
      <c r="G897" s="1"/>
      <c r="H897" s="1"/>
      <c r="I897" s="1"/>
      <c r="J897" s="294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6.5" customHeight="1" x14ac:dyDescent="0.25">
      <c r="A898" s="1"/>
      <c r="B898" s="1"/>
      <c r="C898" s="82"/>
      <c r="D898" s="1"/>
      <c r="E898" s="1"/>
      <c r="F898" s="1"/>
      <c r="G898" s="1"/>
      <c r="H898" s="1"/>
      <c r="I898" s="1"/>
      <c r="J898" s="294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6.5" customHeight="1" x14ac:dyDescent="0.25">
      <c r="A899" s="1"/>
      <c r="B899" s="1"/>
      <c r="C899" s="82"/>
      <c r="D899" s="1"/>
      <c r="E899" s="1"/>
      <c r="F899" s="1"/>
      <c r="G899" s="1"/>
      <c r="H899" s="1"/>
      <c r="I899" s="1"/>
      <c r="J899" s="294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6.5" customHeight="1" x14ac:dyDescent="0.25">
      <c r="A900" s="1"/>
      <c r="B900" s="1"/>
      <c r="C900" s="82"/>
      <c r="D900" s="1"/>
      <c r="E900" s="1"/>
      <c r="F900" s="1"/>
      <c r="G900" s="1"/>
      <c r="H900" s="1"/>
      <c r="I900" s="1"/>
      <c r="J900" s="294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6.5" customHeight="1" x14ac:dyDescent="0.25">
      <c r="A901" s="1"/>
      <c r="B901" s="1"/>
      <c r="C901" s="82"/>
      <c r="D901" s="1"/>
      <c r="E901" s="1"/>
      <c r="F901" s="1"/>
      <c r="G901" s="1"/>
      <c r="H901" s="1"/>
      <c r="I901" s="1"/>
      <c r="J901" s="294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6.5" customHeight="1" x14ac:dyDescent="0.25">
      <c r="A902" s="1"/>
      <c r="B902" s="1"/>
      <c r="C902" s="82"/>
      <c r="D902" s="1"/>
      <c r="E902" s="1"/>
      <c r="F902" s="1"/>
      <c r="G902" s="1"/>
      <c r="H902" s="1"/>
      <c r="I902" s="1"/>
      <c r="J902" s="294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6.5" customHeight="1" x14ac:dyDescent="0.25">
      <c r="A903" s="1"/>
      <c r="B903" s="1"/>
      <c r="C903" s="82"/>
      <c r="D903" s="1"/>
      <c r="E903" s="1"/>
      <c r="F903" s="1"/>
      <c r="G903" s="1"/>
      <c r="H903" s="1"/>
      <c r="I903" s="1"/>
      <c r="J903" s="294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6.5" customHeight="1" x14ac:dyDescent="0.25">
      <c r="A904" s="1"/>
      <c r="B904" s="1"/>
      <c r="C904" s="82"/>
      <c r="D904" s="1"/>
      <c r="E904" s="1"/>
      <c r="F904" s="1"/>
      <c r="G904" s="1"/>
      <c r="H904" s="1"/>
      <c r="I904" s="1"/>
      <c r="J904" s="294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6.5" customHeight="1" x14ac:dyDescent="0.25">
      <c r="A905" s="1"/>
      <c r="B905" s="1"/>
      <c r="C905" s="82"/>
      <c r="D905" s="1"/>
      <c r="E905" s="1"/>
      <c r="F905" s="1"/>
      <c r="G905" s="1"/>
      <c r="H905" s="1"/>
      <c r="I905" s="1"/>
      <c r="J905" s="294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6.5" customHeight="1" x14ac:dyDescent="0.25">
      <c r="A906" s="1"/>
      <c r="B906" s="1"/>
      <c r="C906" s="82"/>
      <c r="D906" s="1"/>
      <c r="E906" s="1"/>
      <c r="F906" s="1"/>
      <c r="G906" s="1"/>
      <c r="H906" s="1"/>
      <c r="I906" s="1"/>
      <c r="J906" s="294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6.5" customHeight="1" x14ac:dyDescent="0.25">
      <c r="A907" s="1"/>
      <c r="B907" s="1"/>
      <c r="C907" s="82"/>
      <c r="D907" s="1"/>
      <c r="E907" s="1"/>
      <c r="F907" s="1"/>
      <c r="G907" s="1"/>
      <c r="H907" s="1"/>
      <c r="I907" s="1"/>
      <c r="J907" s="294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6.5" customHeight="1" x14ac:dyDescent="0.25">
      <c r="A908" s="1"/>
      <c r="B908" s="1"/>
      <c r="C908" s="82"/>
      <c r="D908" s="1"/>
      <c r="E908" s="1"/>
      <c r="F908" s="1"/>
      <c r="G908" s="1"/>
      <c r="H908" s="1"/>
      <c r="I908" s="1"/>
      <c r="J908" s="294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6.5" customHeight="1" x14ac:dyDescent="0.25">
      <c r="A909" s="1"/>
      <c r="B909" s="1"/>
      <c r="C909" s="82"/>
      <c r="D909" s="1"/>
      <c r="E909" s="1"/>
      <c r="F909" s="1"/>
      <c r="G909" s="1"/>
      <c r="H909" s="1"/>
      <c r="I909" s="1"/>
      <c r="J909" s="294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6.5" customHeight="1" x14ac:dyDescent="0.25">
      <c r="A910" s="1"/>
      <c r="B910" s="1"/>
      <c r="C910" s="82"/>
      <c r="D910" s="1"/>
      <c r="E910" s="1"/>
      <c r="F910" s="1"/>
      <c r="G910" s="1"/>
      <c r="H910" s="1"/>
      <c r="I910" s="1"/>
      <c r="J910" s="294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6.5" customHeight="1" x14ac:dyDescent="0.25">
      <c r="A911" s="1"/>
      <c r="B911" s="1"/>
      <c r="C911" s="82"/>
      <c r="D911" s="1"/>
      <c r="E911" s="1"/>
      <c r="F911" s="1"/>
      <c r="G911" s="1"/>
      <c r="H911" s="1"/>
      <c r="I911" s="1"/>
      <c r="J911" s="294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6.5" customHeight="1" x14ac:dyDescent="0.25">
      <c r="A912" s="1"/>
      <c r="B912" s="1"/>
      <c r="C912" s="82"/>
      <c r="D912" s="1"/>
      <c r="E912" s="1"/>
      <c r="F912" s="1"/>
      <c r="G912" s="1"/>
      <c r="H912" s="1"/>
      <c r="I912" s="1"/>
      <c r="J912" s="294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6.5" customHeight="1" x14ac:dyDescent="0.25">
      <c r="A913" s="1"/>
      <c r="B913" s="1"/>
      <c r="C913" s="82"/>
      <c r="D913" s="1"/>
      <c r="E913" s="1"/>
      <c r="F913" s="1"/>
      <c r="G913" s="1"/>
      <c r="H913" s="1"/>
      <c r="I913" s="1"/>
      <c r="J913" s="294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6.5" customHeight="1" x14ac:dyDescent="0.25">
      <c r="A914" s="1"/>
      <c r="B914" s="1"/>
      <c r="C914" s="82"/>
      <c r="D914" s="1"/>
      <c r="E914" s="1"/>
      <c r="F914" s="1"/>
      <c r="G914" s="1"/>
      <c r="H914" s="1"/>
      <c r="I914" s="1"/>
      <c r="J914" s="294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6.5" customHeight="1" x14ac:dyDescent="0.25">
      <c r="A915" s="1"/>
      <c r="B915" s="1"/>
      <c r="C915" s="82"/>
      <c r="D915" s="1"/>
      <c r="E915" s="1"/>
      <c r="F915" s="1"/>
      <c r="G915" s="1"/>
      <c r="H915" s="1"/>
      <c r="I915" s="1"/>
      <c r="J915" s="294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6.5" customHeight="1" x14ac:dyDescent="0.25">
      <c r="A916" s="1"/>
      <c r="B916" s="1"/>
      <c r="C916" s="82"/>
      <c r="D916" s="1"/>
      <c r="E916" s="1"/>
      <c r="F916" s="1"/>
      <c r="G916" s="1"/>
      <c r="H916" s="1"/>
      <c r="I916" s="1"/>
      <c r="J916" s="294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6.5" customHeight="1" x14ac:dyDescent="0.25">
      <c r="A917" s="1"/>
      <c r="B917" s="1"/>
      <c r="C917" s="82"/>
      <c r="D917" s="1"/>
      <c r="E917" s="1"/>
      <c r="F917" s="1"/>
      <c r="G917" s="1"/>
      <c r="H917" s="1"/>
      <c r="I917" s="1"/>
      <c r="J917" s="294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6.5" customHeight="1" x14ac:dyDescent="0.25">
      <c r="A918" s="1"/>
      <c r="B918" s="1"/>
      <c r="C918" s="82"/>
      <c r="D918" s="1"/>
      <c r="E918" s="1"/>
      <c r="F918" s="1"/>
      <c r="G918" s="1"/>
      <c r="H918" s="1"/>
      <c r="I918" s="1"/>
      <c r="J918" s="294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6.5" customHeight="1" x14ac:dyDescent="0.25">
      <c r="A919" s="1"/>
      <c r="B919" s="1"/>
      <c r="C919" s="82"/>
      <c r="D919" s="1"/>
      <c r="E919" s="1"/>
      <c r="F919" s="1"/>
      <c r="G919" s="1"/>
      <c r="H919" s="1"/>
      <c r="I919" s="1"/>
      <c r="J919" s="294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6.5" customHeight="1" x14ac:dyDescent="0.25">
      <c r="A920" s="1"/>
      <c r="B920" s="1"/>
      <c r="C920" s="82"/>
      <c r="D920" s="1"/>
      <c r="E920" s="1"/>
      <c r="F920" s="1"/>
      <c r="G920" s="1"/>
      <c r="H920" s="1"/>
      <c r="I920" s="1"/>
      <c r="J920" s="294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6.5" customHeight="1" x14ac:dyDescent="0.25">
      <c r="A921" s="1"/>
      <c r="B921" s="1"/>
      <c r="C921" s="82"/>
      <c r="D921" s="1"/>
      <c r="E921" s="1"/>
      <c r="F921" s="1"/>
      <c r="G921" s="1"/>
      <c r="H921" s="1"/>
      <c r="I921" s="1"/>
      <c r="J921" s="294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6.5" customHeight="1" x14ac:dyDescent="0.25">
      <c r="A922" s="1"/>
      <c r="B922" s="1"/>
      <c r="C922" s="82"/>
      <c r="D922" s="1"/>
      <c r="E922" s="1"/>
      <c r="F922" s="1"/>
      <c r="G922" s="1"/>
      <c r="H922" s="1"/>
      <c r="I922" s="1"/>
      <c r="J922" s="294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6.5" customHeight="1" x14ac:dyDescent="0.25">
      <c r="A923" s="1"/>
      <c r="B923" s="1"/>
      <c r="C923" s="82"/>
      <c r="D923" s="1"/>
      <c r="E923" s="1"/>
      <c r="F923" s="1"/>
      <c r="G923" s="1"/>
      <c r="H923" s="1"/>
      <c r="I923" s="1"/>
      <c r="J923" s="294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6.5" customHeight="1" x14ac:dyDescent="0.25">
      <c r="A924" s="1"/>
      <c r="B924" s="1"/>
      <c r="C924" s="82"/>
      <c r="D924" s="1"/>
      <c r="E924" s="1"/>
      <c r="F924" s="1"/>
      <c r="G924" s="1"/>
      <c r="H924" s="1"/>
      <c r="I924" s="1"/>
      <c r="J924" s="294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6.5" customHeight="1" x14ac:dyDescent="0.25">
      <c r="A925" s="1"/>
      <c r="B925" s="1"/>
      <c r="C925" s="82"/>
      <c r="D925" s="1"/>
      <c r="E925" s="1"/>
      <c r="F925" s="1"/>
      <c r="G925" s="1"/>
      <c r="H925" s="1"/>
      <c r="I925" s="1"/>
      <c r="J925" s="294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6.5" customHeight="1" x14ac:dyDescent="0.25">
      <c r="A926" s="1"/>
      <c r="B926" s="1"/>
      <c r="C926" s="82"/>
      <c r="D926" s="1"/>
      <c r="E926" s="1"/>
      <c r="F926" s="1"/>
      <c r="G926" s="1"/>
      <c r="H926" s="1"/>
      <c r="I926" s="1"/>
      <c r="J926" s="294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6.5" customHeight="1" x14ac:dyDescent="0.25">
      <c r="A927" s="1"/>
      <c r="B927" s="1"/>
      <c r="C927" s="82"/>
      <c r="D927" s="1"/>
      <c r="E927" s="1"/>
      <c r="F927" s="1"/>
      <c r="G927" s="1"/>
      <c r="H927" s="1"/>
      <c r="I927" s="1"/>
      <c r="J927" s="294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6.5" customHeight="1" x14ac:dyDescent="0.25">
      <c r="A928" s="1"/>
      <c r="B928" s="1"/>
      <c r="C928" s="82"/>
      <c r="D928" s="1"/>
      <c r="E928" s="1"/>
      <c r="F928" s="1"/>
      <c r="G928" s="1"/>
      <c r="H928" s="1"/>
      <c r="I928" s="1"/>
      <c r="J928" s="294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6.5" customHeight="1" x14ac:dyDescent="0.25">
      <c r="A929" s="1"/>
      <c r="B929" s="1"/>
      <c r="C929" s="82"/>
      <c r="D929" s="1"/>
      <c r="E929" s="1"/>
      <c r="F929" s="1"/>
      <c r="G929" s="1"/>
      <c r="H929" s="1"/>
      <c r="I929" s="1"/>
      <c r="J929" s="294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6.5" customHeight="1" x14ac:dyDescent="0.25">
      <c r="A930" s="1"/>
      <c r="B930" s="1"/>
      <c r="C930" s="82"/>
      <c r="D930" s="1"/>
      <c r="E930" s="1"/>
      <c r="F930" s="1"/>
      <c r="G930" s="1"/>
      <c r="H930" s="1"/>
      <c r="I930" s="1"/>
      <c r="J930" s="294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6.5" customHeight="1" x14ac:dyDescent="0.25">
      <c r="A931" s="1"/>
      <c r="B931" s="1"/>
      <c r="C931" s="82"/>
      <c r="D931" s="1"/>
      <c r="E931" s="1"/>
      <c r="F931" s="1"/>
      <c r="G931" s="1"/>
      <c r="H931" s="1"/>
      <c r="I931" s="1"/>
      <c r="J931" s="294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6.5" customHeight="1" x14ac:dyDescent="0.25">
      <c r="A932" s="1"/>
      <c r="B932" s="1"/>
      <c r="C932" s="82"/>
      <c r="D932" s="1"/>
      <c r="E932" s="1"/>
      <c r="F932" s="1"/>
      <c r="G932" s="1"/>
      <c r="H932" s="1"/>
      <c r="I932" s="1"/>
      <c r="J932" s="294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6.5" customHeight="1" x14ac:dyDescent="0.25">
      <c r="A933" s="1"/>
      <c r="B933" s="1"/>
      <c r="C933" s="82"/>
      <c r="D933" s="1"/>
      <c r="E933" s="1"/>
      <c r="F933" s="1"/>
      <c r="G933" s="1"/>
      <c r="H933" s="1"/>
      <c r="I933" s="1"/>
      <c r="J933" s="294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6.5" customHeight="1" x14ac:dyDescent="0.25">
      <c r="A934" s="1"/>
      <c r="B934" s="1"/>
      <c r="C934" s="82"/>
      <c r="D934" s="1"/>
      <c r="E934" s="1"/>
      <c r="F934" s="1"/>
      <c r="G934" s="1"/>
      <c r="H934" s="1"/>
      <c r="I934" s="1"/>
      <c r="J934" s="294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6.5" customHeight="1" x14ac:dyDescent="0.25">
      <c r="A935" s="1"/>
      <c r="B935" s="1"/>
      <c r="C935" s="82"/>
      <c r="D935" s="1"/>
      <c r="E935" s="1"/>
      <c r="F935" s="1"/>
      <c r="G935" s="1"/>
      <c r="H935" s="1"/>
      <c r="I935" s="1"/>
      <c r="J935" s="294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6.5" customHeight="1" x14ac:dyDescent="0.25">
      <c r="A936" s="1"/>
      <c r="B936" s="1"/>
      <c r="C936" s="82"/>
      <c r="D936" s="1"/>
      <c r="E936" s="1"/>
      <c r="F936" s="1"/>
      <c r="G936" s="1"/>
      <c r="H936" s="1"/>
      <c r="I936" s="1"/>
      <c r="J936" s="294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6.5" customHeight="1" x14ac:dyDescent="0.25">
      <c r="A937" s="1"/>
      <c r="B937" s="1"/>
      <c r="C937" s="82"/>
      <c r="D937" s="1"/>
      <c r="E937" s="1"/>
      <c r="F937" s="1"/>
      <c r="G937" s="1"/>
      <c r="H937" s="1"/>
      <c r="I937" s="1"/>
      <c r="J937" s="294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6.5" customHeight="1" x14ac:dyDescent="0.25">
      <c r="A938" s="1"/>
      <c r="B938" s="1"/>
      <c r="C938" s="82"/>
      <c r="D938" s="1"/>
      <c r="E938" s="1"/>
      <c r="F938" s="1"/>
      <c r="G938" s="1"/>
      <c r="H938" s="1"/>
      <c r="I938" s="1"/>
      <c r="J938" s="294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6.5" customHeight="1" x14ac:dyDescent="0.25">
      <c r="A939" s="1"/>
      <c r="B939" s="1"/>
      <c r="C939" s="82"/>
      <c r="D939" s="1"/>
      <c r="E939" s="1"/>
      <c r="F939" s="1"/>
      <c r="G939" s="1"/>
      <c r="H939" s="1"/>
      <c r="I939" s="1"/>
      <c r="J939" s="294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6.5" customHeight="1" x14ac:dyDescent="0.25">
      <c r="A940" s="1"/>
      <c r="B940" s="1"/>
      <c r="C940" s="82"/>
      <c r="D940" s="1"/>
      <c r="E940" s="1"/>
      <c r="F940" s="1"/>
      <c r="G940" s="1"/>
      <c r="H940" s="1"/>
      <c r="I940" s="1"/>
      <c r="J940" s="294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6.5" customHeight="1" x14ac:dyDescent="0.25">
      <c r="A941" s="1"/>
      <c r="B941" s="1"/>
      <c r="C941" s="82"/>
      <c r="D941" s="1"/>
      <c r="E941" s="1"/>
      <c r="F941" s="1"/>
      <c r="G941" s="1"/>
      <c r="H941" s="1"/>
      <c r="I941" s="1"/>
      <c r="J941" s="294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6.5" customHeight="1" x14ac:dyDescent="0.25">
      <c r="A942" s="1"/>
      <c r="B942" s="1"/>
      <c r="C942" s="82"/>
      <c r="D942" s="1"/>
      <c r="E942" s="1"/>
      <c r="F942" s="1"/>
      <c r="G942" s="1"/>
      <c r="H942" s="1"/>
      <c r="I942" s="1"/>
      <c r="J942" s="294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6.5" customHeight="1" x14ac:dyDescent="0.25">
      <c r="A943" s="1"/>
      <c r="B943" s="1"/>
      <c r="C943" s="82"/>
      <c r="D943" s="1"/>
      <c r="E943" s="1"/>
      <c r="F943" s="1"/>
      <c r="G943" s="1"/>
      <c r="H943" s="1"/>
      <c r="I943" s="1"/>
      <c r="J943" s="294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6.5" customHeight="1" x14ac:dyDescent="0.25">
      <c r="A944" s="1"/>
      <c r="B944" s="1"/>
      <c r="C944" s="82"/>
      <c r="D944" s="1"/>
      <c r="E944" s="1"/>
      <c r="F944" s="1"/>
      <c r="G944" s="1"/>
      <c r="H944" s="1"/>
      <c r="I944" s="1"/>
      <c r="J944" s="294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6.5" customHeight="1" x14ac:dyDescent="0.25">
      <c r="A945" s="1"/>
      <c r="B945" s="1"/>
      <c r="C945" s="82"/>
      <c r="D945" s="1"/>
      <c r="E945" s="1"/>
      <c r="F945" s="1"/>
      <c r="G945" s="1"/>
      <c r="H945" s="1"/>
      <c r="I945" s="1"/>
      <c r="J945" s="294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6.5" customHeight="1" x14ac:dyDescent="0.25">
      <c r="A946" s="1"/>
      <c r="B946" s="1"/>
      <c r="C946" s="82"/>
      <c r="D946" s="1"/>
      <c r="E946" s="1"/>
      <c r="F946" s="1"/>
      <c r="G946" s="1"/>
      <c r="H946" s="1"/>
      <c r="I946" s="1"/>
      <c r="J946" s="294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6.5" customHeight="1" x14ac:dyDescent="0.25">
      <c r="A947" s="1"/>
      <c r="B947" s="1"/>
      <c r="C947" s="82"/>
      <c r="D947" s="1"/>
      <c r="E947" s="1"/>
      <c r="F947" s="1"/>
      <c r="G947" s="1"/>
      <c r="H947" s="1"/>
      <c r="I947" s="1"/>
      <c r="J947" s="294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6.5" customHeight="1" x14ac:dyDescent="0.25">
      <c r="A948" s="1"/>
      <c r="B948" s="1"/>
      <c r="C948" s="82"/>
      <c r="D948" s="1"/>
      <c r="E948" s="1"/>
      <c r="F948" s="1"/>
      <c r="G948" s="1"/>
      <c r="H948" s="1"/>
      <c r="I948" s="1"/>
      <c r="J948" s="294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6.5" customHeight="1" x14ac:dyDescent="0.25">
      <c r="A949" s="1"/>
      <c r="B949" s="1"/>
      <c r="C949" s="82"/>
      <c r="D949" s="1"/>
      <c r="E949" s="1"/>
      <c r="F949" s="1"/>
      <c r="G949" s="1"/>
      <c r="H949" s="1"/>
      <c r="I949" s="1"/>
      <c r="J949" s="294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6.5" customHeight="1" x14ac:dyDescent="0.25">
      <c r="A950" s="1"/>
      <c r="B950" s="1"/>
      <c r="C950" s="82"/>
      <c r="D950" s="1"/>
      <c r="E950" s="1"/>
      <c r="F950" s="1"/>
      <c r="G950" s="1"/>
      <c r="H950" s="1"/>
      <c r="I950" s="1"/>
      <c r="J950" s="294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6.5" customHeight="1" x14ac:dyDescent="0.25">
      <c r="A951" s="1"/>
      <c r="B951" s="1"/>
      <c r="C951" s="82"/>
      <c r="D951" s="1"/>
      <c r="E951" s="1"/>
      <c r="F951" s="1"/>
      <c r="G951" s="1"/>
      <c r="H951" s="1"/>
      <c r="I951" s="1"/>
      <c r="J951" s="294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6.5" customHeight="1" x14ac:dyDescent="0.25">
      <c r="A952" s="1"/>
      <c r="B952" s="1"/>
      <c r="C952" s="82"/>
      <c r="D952" s="1"/>
      <c r="E952" s="1"/>
      <c r="F952" s="1"/>
      <c r="G952" s="1"/>
      <c r="H952" s="1"/>
      <c r="I952" s="1"/>
      <c r="J952" s="294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6.5" customHeight="1" x14ac:dyDescent="0.25">
      <c r="A953" s="1"/>
      <c r="B953" s="1"/>
      <c r="C953" s="82"/>
      <c r="D953" s="1"/>
      <c r="E953" s="1"/>
      <c r="F953" s="1"/>
      <c r="G953" s="1"/>
      <c r="H953" s="1"/>
      <c r="I953" s="1"/>
      <c r="J953" s="294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6.5" customHeight="1" x14ac:dyDescent="0.25">
      <c r="A954" s="1"/>
      <c r="B954" s="1"/>
      <c r="C954" s="82"/>
      <c r="D954" s="1"/>
      <c r="E954" s="1"/>
      <c r="F954" s="1"/>
      <c r="G954" s="1"/>
      <c r="H954" s="1"/>
      <c r="I954" s="1"/>
      <c r="J954" s="294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6.5" customHeight="1" x14ac:dyDescent="0.25">
      <c r="A955" s="1"/>
      <c r="B955" s="1"/>
      <c r="C955" s="82"/>
      <c r="D955" s="1"/>
      <c r="E955" s="1"/>
      <c r="F955" s="1"/>
      <c r="G955" s="1"/>
      <c r="H955" s="1"/>
      <c r="I955" s="1"/>
      <c r="J955" s="294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6.5" customHeight="1" x14ac:dyDescent="0.25">
      <c r="A956" s="1"/>
      <c r="B956" s="1"/>
      <c r="C956" s="82"/>
      <c r="D956" s="1"/>
      <c r="E956" s="1"/>
      <c r="F956" s="1"/>
      <c r="G956" s="1"/>
      <c r="H956" s="1"/>
      <c r="I956" s="1"/>
      <c r="J956" s="294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6.5" customHeight="1" x14ac:dyDescent="0.25">
      <c r="A957" s="1"/>
      <c r="B957" s="1"/>
      <c r="C957" s="82"/>
      <c r="D957" s="1"/>
      <c r="E957" s="1"/>
      <c r="F957" s="1"/>
      <c r="G957" s="1"/>
      <c r="H957" s="1"/>
      <c r="I957" s="1"/>
      <c r="J957" s="294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6.5" customHeight="1" x14ac:dyDescent="0.25">
      <c r="A958" s="1"/>
      <c r="B958" s="1"/>
      <c r="C958" s="82"/>
      <c r="D958" s="1"/>
      <c r="E958" s="1"/>
      <c r="F958" s="1"/>
      <c r="G958" s="1"/>
      <c r="H958" s="1"/>
      <c r="I958" s="1"/>
      <c r="J958" s="294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6.5" customHeight="1" x14ac:dyDescent="0.25">
      <c r="A959" s="1"/>
      <c r="B959" s="1"/>
      <c r="C959" s="82"/>
      <c r="D959" s="1"/>
      <c r="E959" s="1"/>
      <c r="F959" s="1"/>
      <c r="G959" s="1"/>
      <c r="H959" s="1"/>
      <c r="I959" s="1"/>
      <c r="J959" s="294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6.5" customHeight="1" x14ac:dyDescent="0.25">
      <c r="A960" s="1"/>
      <c r="B960" s="1"/>
      <c r="C960" s="82"/>
      <c r="D960" s="1"/>
      <c r="E960" s="1"/>
      <c r="F960" s="1"/>
      <c r="G960" s="1"/>
      <c r="H960" s="1"/>
      <c r="I960" s="1"/>
      <c r="J960" s="294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6.5" customHeight="1" x14ac:dyDescent="0.25">
      <c r="A961" s="1"/>
      <c r="B961" s="1"/>
      <c r="C961" s="82"/>
      <c r="D961" s="1"/>
      <c r="E961" s="1"/>
      <c r="F961" s="1"/>
      <c r="G961" s="1"/>
      <c r="H961" s="1"/>
      <c r="I961" s="1"/>
      <c r="J961" s="294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6.5" customHeight="1" x14ac:dyDescent="0.25">
      <c r="A962" s="1"/>
      <c r="B962" s="1"/>
      <c r="C962" s="82"/>
      <c r="D962" s="1"/>
      <c r="E962" s="1"/>
      <c r="F962" s="1"/>
      <c r="G962" s="1"/>
      <c r="H962" s="1"/>
      <c r="I962" s="1"/>
      <c r="J962" s="294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6.5" customHeight="1" x14ac:dyDescent="0.25">
      <c r="A963" s="1"/>
      <c r="B963" s="1"/>
      <c r="C963" s="82"/>
      <c r="D963" s="1"/>
      <c r="E963" s="1"/>
      <c r="F963" s="1"/>
      <c r="G963" s="1"/>
      <c r="H963" s="1"/>
      <c r="I963" s="1"/>
      <c r="J963" s="294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6.5" customHeight="1" x14ac:dyDescent="0.25">
      <c r="A964" s="1"/>
      <c r="B964" s="1"/>
      <c r="C964" s="82"/>
      <c r="D964" s="1"/>
      <c r="E964" s="1"/>
      <c r="F964" s="1"/>
      <c r="G964" s="1"/>
      <c r="H964" s="1"/>
      <c r="I964" s="1"/>
      <c r="J964" s="294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6.5" customHeight="1" x14ac:dyDescent="0.25">
      <c r="A965" s="1"/>
      <c r="B965" s="1"/>
      <c r="C965" s="82"/>
      <c r="D965" s="1"/>
      <c r="E965" s="1"/>
      <c r="F965" s="1"/>
      <c r="G965" s="1"/>
      <c r="H965" s="1"/>
      <c r="I965" s="1"/>
      <c r="J965" s="294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6.5" customHeight="1" x14ac:dyDescent="0.25">
      <c r="A966" s="1"/>
      <c r="B966" s="1"/>
      <c r="C966" s="82"/>
      <c r="D966" s="1"/>
      <c r="E966" s="1"/>
      <c r="F966" s="1"/>
      <c r="G966" s="1"/>
      <c r="H966" s="1"/>
      <c r="I966" s="1"/>
      <c r="J966" s="294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6.5" customHeight="1" x14ac:dyDescent="0.25">
      <c r="A967" s="1"/>
      <c r="B967" s="1"/>
      <c r="C967" s="82"/>
      <c r="D967" s="1"/>
      <c r="E967" s="1"/>
      <c r="F967" s="1"/>
      <c r="G967" s="1"/>
      <c r="H967" s="1"/>
      <c r="I967" s="1"/>
      <c r="J967" s="294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6.5" customHeight="1" x14ac:dyDescent="0.25">
      <c r="A968" s="1"/>
      <c r="B968" s="1"/>
      <c r="C968" s="82"/>
      <c r="D968" s="1"/>
      <c r="E968" s="1"/>
      <c r="F968" s="1"/>
      <c r="G968" s="1"/>
      <c r="H968" s="1"/>
      <c r="I968" s="1"/>
      <c r="J968" s="294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6.5" customHeight="1" x14ac:dyDescent="0.25">
      <c r="A969" s="1"/>
      <c r="B969" s="1"/>
      <c r="C969" s="82"/>
      <c r="D969" s="1"/>
      <c r="E969" s="1"/>
      <c r="F969" s="1"/>
      <c r="G969" s="1"/>
      <c r="H969" s="1"/>
      <c r="I969" s="1"/>
      <c r="J969" s="294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6.5" customHeight="1" x14ac:dyDescent="0.25">
      <c r="A970" s="1"/>
      <c r="B970" s="1"/>
      <c r="C970" s="82"/>
      <c r="D970" s="1"/>
      <c r="E970" s="1"/>
      <c r="F970" s="1"/>
      <c r="G970" s="1"/>
      <c r="H970" s="1"/>
      <c r="I970" s="1"/>
      <c r="J970" s="294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6.5" customHeight="1" x14ac:dyDescent="0.25">
      <c r="A971" s="1"/>
      <c r="B971" s="1"/>
      <c r="C971" s="82"/>
      <c r="D971" s="1"/>
      <c r="E971" s="1"/>
      <c r="F971" s="1"/>
      <c r="G971" s="1"/>
      <c r="H971" s="1"/>
      <c r="I971" s="1"/>
      <c r="J971" s="294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6.5" customHeight="1" x14ac:dyDescent="0.25">
      <c r="A972" s="1"/>
      <c r="B972" s="1"/>
      <c r="C972" s="82"/>
      <c r="D972" s="1"/>
      <c r="E972" s="1"/>
      <c r="F972" s="1"/>
      <c r="G972" s="1"/>
      <c r="H972" s="1"/>
      <c r="I972" s="1"/>
      <c r="J972" s="294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6.5" customHeight="1" x14ac:dyDescent="0.25">
      <c r="A973" s="1"/>
      <c r="B973" s="1"/>
      <c r="C973" s="82"/>
      <c r="D973" s="1"/>
      <c r="E973" s="1"/>
      <c r="F973" s="1"/>
      <c r="G973" s="1"/>
      <c r="H973" s="1"/>
      <c r="I973" s="1"/>
      <c r="J973" s="294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6.5" customHeight="1" x14ac:dyDescent="0.25">
      <c r="A974" s="1"/>
      <c r="B974" s="1"/>
      <c r="C974" s="82"/>
      <c r="D974" s="1"/>
      <c r="E974" s="1"/>
      <c r="F974" s="1"/>
      <c r="G974" s="1"/>
      <c r="H974" s="1"/>
      <c r="I974" s="1"/>
      <c r="J974" s="294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6.5" customHeight="1" x14ac:dyDescent="0.25">
      <c r="A975" s="1"/>
      <c r="B975" s="1"/>
      <c r="C975" s="82"/>
      <c r="D975" s="1"/>
      <c r="E975" s="1"/>
      <c r="F975" s="1"/>
      <c r="G975" s="1"/>
      <c r="H975" s="1"/>
      <c r="I975" s="1"/>
      <c r="J975" s="294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6.5" customHeight="1" x14ac:dyDescent="0.25">
      <c r="A976" s="1"/>
      <c r="B976" s="1"/>
      <c r="C976" s="82"/>
      <c r="D976" s="1"/>
      <c r="E976" s="1"/>
      <c r="F976" s="1"/>
      <c r="G976" s="1"/>
      <c r="H976" s="1"/>
      <c r="I976" s="1"/>
      <c r="J976" s="294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6.5" customHeight="1" x14ac:dyDescent="0.25">
      <c r="A977" s="1"/>
      <c r="B977" s="1"/>
      <c r="C977" s="82"/>
      <c r="D977" s="1"/>
      <c r="E977" s="1"/>
      <c r="F977" s="1"/>
      <c r="G977" s="1"/>
      <c r="H977" s="1"/>
      <c r="I977" s="1"/>
      <c r="J977" s="294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6.5" customHeight="1" x14ac:dyDescent="0.25">
      <c r="A978" s="1"/>
      <c r="B978" s="1"/>
      <c r="C978" s="82"/>
      <c r="D978" s="1"/>
      <c r="E978" s="1"/>
      <c r="F978" s="1"/>
      <c r="G978" s="1"/>
      <c r="H978" s="1"/>
      <c r="I978" s="1"/>
      <c r="J978" s="294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6.5" customHeight="1" x14ac:dyDescent="0.25">
      <c r="A979" s="1"/>
      <c r="B979" s="1"/>
      <c r="C979" s="82"/>
      <c r="D979" s="1"/>
      <c r="E979" s="1"/>
      <c r="F979" s="1"/>
      <c r="G979" s="1"/>
      <c r="H979" s="1"/>
      <c r="I979" s="1"/>
      <c r="J979" s="294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6.5" customHeight="1" x14ac:dyDescent="0.25">
      <c r="A980" s="1"/>
      <c r="B980" s="1"/>
      <c r="C980" s="82"/>
      <c r="D980" s="1"/>
      <c r="E980" s="1"/>
      <c r="F980" s="1"/>
      <c r="G980" s="1"/>
      <c r="H980" s="1"/>
      <c r="I980" s="1"/>
      <c r="J980" s="294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6.5" customHeight="1" x14ac:dyDescent="0.25">
      <c r="A981" s="1"/>
      <c r="B981" s="1"/>
      <c r="C981" s="82"/>
      <c r="D981" s="1"/>
      <c r="E981" s="1"/>
      <c r="F981" s="1"/>
      <c r="G981" s="1"/>
      <c r="H981" s="1"/>
      <c r="I981" s="1"/>
      <c r="J981" s="294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6.5" customHeight="1" x14ac:dyDescent="0.25">
      <c r="A982" s="1"/>
      <c r="B982" s="1"/>
      <c r="C982" s="82"/>
      <c r="D982" s="1"/>
      <c r="E982" s="1"/>
      <c r="F982" s="1"/>
      <c r="G982" s="1"/>
      <c r="H982" s="1"/>
      <c r="I982" s="1"/>
      <c r="J982" s="294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6.5" customHeight="1" x14ac:dyDescent="0.25">
      <c r="A983" s="1"/>
      <c r="B983" s="1"/>
      <c r="C983" s="82"/>
      <c r="D983" s="1"/>
      <c r="E983" s="1"/>
      <c r="F983" s="1"/>
      <c r="G983" s="1"/>
      <c r="H983" s="1"/>
      <c r="I983" s="1"/>
      <c r="J983" s="294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6.5" customHeight="1" x14ac:dyDescent="0.25">
      <c r="A984" s="1"/>
      <c r="B984" s="1"/>
      <c r="C984" s="82"/>
      <c r="D984" s="1"/>
      <c r="E984" s="1"/>
      <c r="F984" s="1"/>
      <c r="G984" s="1"/>
      <c r="H984" s="1"/>
      <c r="I984" s="1"/>
      <c r="J984" s="294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6.5" customHeight="1" x14ac:dyDescent="0.25">
      <c r="A985" s="1"/>
      <c r="B985" s="1"/>
      <c r="C985" s="82"/>
      <c r="D985" s="1"/>
      <c r="E985" s="1"/>
      <c r="F985" s="1"/>
      <c r="G985" s="1"/>
      <c r="H985" s="1"/>
      <c r="I985" s="1"/>
      <c r="J985" s="294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6.5" customHeight="1" x14ac:dyDescent="0.25">
      <c r="A986" s="1"/>
      <c r="B986" s="1"/>
      <c r="C986" s="82"/>
      <c r="D986" s="1"/>
      <c r="E986" s="1"/>
      <c r="F986" s="1"/>
      <c r="G986" s="1"/>
      <c r="H986" s="1"/>
      <c r="I986" s="1"/>
      <c r="J986" s="294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6.5" customHeight="1" x14ac:dyDescent="0.25">
      <c r="A987" s="1"/>
      <c r="B987" s="1"/>
      <c r="C987" s="82"/>
      <c r="D987" s="1"/>
      <c r="E987" s="1"/>
      <c r="F987" s="1"/>
      <c r="G987" s="1"/>
      <c r="H987" s="1"/>
      <c r="I987" s="1"/>
      <c r="J987" s="294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6.5" customHeight="1" x14ac:dyDescent="0.25">
      <c r="A988" s="1"/>
      <c r="B988" s="1"/>
      <c r="C988" s="82"/>
      <c r="D988" s="1"/>
      <c r="E988" s="1"/>
      <c r="F988" s="1"/>
      <c r="G988" s="1"/>
      <c r="H988" s="1"/>
      <c r="I988" s="1"/>
      <c r="J988" s="294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6.5" customHeight="1" x14ac:dyDescent="0.25">
      <c r="A989" s="1"/>
      <c r="B989" s="1"/>
      <c r="C989" s="82"/>
      <c r="D989" s="1"/>
      <c r="E989" s="1"/>
      <c r="F989" s="1"/>
      <c r="G989" s="1"/>
      <c r="H989" s="1"/>
      <c r="I989" s="1"/>
      <c r="J989" s="294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6.5" customHeight="1" x14ac:dyDescent="0.25">
      <c r="A990" s="1"/>
      <c r="B990" s="1"/>
      <c r="C990" s="82"/>
      <c r="D990" s="1"/>
      <c r="E990" s="1"/>
      <c r="F990" s="1"/>
      <c r="G990" s="1"/>
      <c r="H990" s="1"/>
      <c r="I990" s="1"/>
      <c r="J990" s="294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6.5" customHeight="1" x14ac:dyDescent="0.25">
      <c r="A991" s="1"/>
      <c r="B991" s="1"/>
      <c r="C991" s="82"/>
      <c r="D991" s="1"/>
      <c r="E991" s="1"/>
      <c r="F991" s="1"/>
      <c r="G991" s="1"/>
      <c r="H991" s="1"/>
      <c r="I991" s="1"/>
      <c r="J991" s="294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6.5" customHeight="1" x14ac:dyDescent="0.25">
      <c r="A992" s="1"/>
      <c r="B992" s="1"/>
      <c r="C992" s="82"/>
      <c r="D992" s="1"/>
      <c r="E992" s="1"/>
      <c r="F992" s="1"/>
      <c r="G992" s="1"/>
      <c r="H992" s="1"/>
      <c r="I992" s="1"/>
      <c r="J992" s="294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6.5" customHeight="1" x14ac:dyDescent="0.25">
      <c r="A993" s="1"/>
      <c r="B993" s="1"/>
      <c r="C993" s="82"/>
      <c r="D993" s="1"/>
      <c r="E993" s="1"/>
      <c r="F993" s="1"/>
      <c r="G993" s="1"/>
      <c r="H993" s="1"/>
      <c r="I993" s="1"/>
      <c r="J993" s="294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6.5" customHeight="1" x14ac:dyDescent="0.25">
      <c r="A994" s="1"/>
      <c r="B994" s="1"/>
      <c r="C994" s="82"/>
      <c r="D994" s="1"/>
      <c r="E994" s="1"/>
      <c r="F994" s="1"/>
      <c r="G994" s="1"/>
      <c r="H994" s="1"/>
      <c r="I994" s="1"/>
      <c r="J994" s="294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6.5" customHeight="1" x14ac:dyDescent="0.25">
      <c r="A995" s="1"/>
      <c r="B995" s="1"/>
      <c r="C995" s="82"/>
      <c r="D995" s="1"/>
      <c r="E995" s="1"/>
      <c r="F995" s="1"/>
      <c r="G995" s="1"/>
      <c r="H995" s="1"/>
      <c r="I995" s="1"/>
      <c r="J995" s="294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6.5" customHeight="1" x14ac:dyDescent="0.25">
      <c r="A996" s="1"/>
      <c r="B996" s="1"/>
      <c r="C996" s="82"/>
      <c r="D996" s="1"/>
      <c r="E996" s="1"/>
      <c r="F996" s="1"/>
      <c r="G996" s="1"/>
      <c r="H996" s="1"/>
      <c r="I996" s="1"/>
      <c r="J996" s="294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6.5" customHeight="1" x14ac:dyDescent="0.25">
      <c r="A997" s="1"/>
      <c r="B997" s="1"/>
      <c r="C997" s="82"/>
      <c r="D997" s="1"/>
      <c r="E997" s="1"/>
      <c r="F997" s="1"/>
      <c r="G997" s="1"/>
      <c r="H997" s="1"/>
      <c r="I997" s="1"/>
      <c r="J997" s="294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6.5" customHeight="1" x14ac:dyDescent="0.25">
      <c r="A998" s="1"/>
      <c r="B998" s="1"/>
      <c r="C998" s="82"/>
      <c r="D998" s="1"/>
      <c r="E998" s="1"/>
      <c r="F998" s="1"/>
      <c r="G998" s="1"/>
      <c r="H998" s="1"/>
      <c r="I998" s="1"/>
      <c r="J998" s="294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6.5" customHeight="1" x14ac:dyDescent="0.25">
      <c r="A999" s="1"/>
      <c r="B999" s="1"/>
      <c r="C999" s="82"/>
      <c r="D999" s="1"/>
      <c r="E999" s="1"/>
      <c r="F999" s="1"/>
      <c r="G999" s="1"/>
      <c r="H999" s="1"/>
      <c r="I999" s="1"/>
      <c r="J999" s="294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mergeCells count="25">
    <mergeCell ref="J114:J120"/>
    <mergeCell ref="J121:J122"/>
    <mergeCell ref="J47:J71"/>
    <mergeCell ref="J73:J85"/>
    <mergeCell ref="J87:J91"/>
    <mergeCell ref="J93:J94"/>
    <mergeCell ref="J96:J97"/>
    <mergeCell ref="J100:J101"/>
    <mergeCell ref="J106:J111"/>
    <mergeCell ref="J14:J15"/>
    <mergeCell ref="J16:J17"/>
    <mergeCell ref="J19:J22"/>
    <mergeCell ref="J24:J27"/>
    <mergeCell ref="J29:J45"/>
    <mergeCell ref="D5:D6"/>
    <mergeCell ref="E5:E6"/>
    <mergeCell ref="A1:B1"/>
    <mergeCell ref="F1:J1"/>
    <mergeCell ref="A2:J2"/>
    <mergeCell ref="A3:J3"/>
    <mergeCell ref="A5:A6"/>
    <mergeCell ref="B5:B6"/>
    <mergeCell ref="C5:C6"/>
    <mergeCell ref="F5:I5"/>
    <mergeCell ref="J5:J6"/>
  </mergeCells>
  <pageMargins left="0.31496062992125984" right="0.11811023622047245" top="0.35433070866141736" bottom="0.35433070866141736" header="0" footer="0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88671875" customWidth="1"/>
    <col min="2" max="2" width="30.6640625" customWidth="1"/>
    <col min="3" max="3" width="11.109375" customWidth="1"/>
    <col min="4" max="4" width="17.5546875" customWidth="1"/>
    <col min="5" max="5" width="16.6640625" customWidth="1"/>
    <col min="6" max="9" width="12.21875" customWidth="1"/>
    <col min="10" max="10" width="8.88671875" customWidth="1"/>
    <col min="11" max="11" width="17.77734375" customWidth="1"/>
    <col min="12" max="13" width="8.88671875" customWidth="1"/>
    <col min="14" max="24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260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'PL 01'!A3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.75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9</v>
      </c>
      <c r="J7" s="126"/>
      <c r="K7" s="11" t="s">
        <v>10</v>
      </c>
      <c r="L7" s="130">
        <v>70</v>
      </c>
      <c r="M7" s="19"/>
      <c r="N7" s="23"/>
      <c r="O7" s="23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.75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8" t="s">
        <v>14</v>
      </c>
      <c r="I8" s="315"/>
      <c r="J8" s="126"/>
      <c r="K8" s="11" t="s">
        <v>15</v>
      </c>
      <c r="L8" s="130">
        <v>238</v>
      </c>
      <c r="M8" s="19"/>
      <c r="N8" s="23"/>
      <c r="O8" s="23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108.93</v>
      </c>
      <c r="E9" s="131">
        <f t="shared" si="0"/>
        <v>147.83000000000001</v>
      </c>
      <c r="F9" s="131">
        <f t="shared" si="0"/>
        <v>108.32000000000001</v>
      </c>
      <c r="G9" s="131">
        <f t="shared" si="0"/>
        <v>108.32000000000001</v>
      </c>
      <c r="H9" s="132">
        <f t="shared" ref="H9:H10" si="1">F9/E9*100</f>
        <v>73.273354528850703</v>
      </c>
      <c r="I9" s="17"/>
      <c r="J9" s="133"/>
      <c r="K9" s="133"/>
      <c r="L9" s="133"/>
      <c r="M9" s="13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2.2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30.36</v>
      </c>
      <c r="F10" s="17">
        <f t="shared" si="2"/>
        <v>3.34</v>
      </c>
      <c r="G10" s="17">
        <f t="shared" si="2"/>
        <v>3.34</v>
      </c>
      <c r="H10" s="132">
        <f t="shared" si="1"/>
        <v>11.001317523056652</v>
      </c>
      <c r="I10" s="17"/>
      <c r="J10" s="133"/>
      <c r="K10" s="133"/>
      <c r="L10" s="133"/>
      <c r="M10" s="133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2.25" customHeight="1" x14ac:dyDescent="0.25">
      <c r="A11" s="15"/>
      <c r="B11" s="16" t="s">
        <v>20</v>
      </c>
      <c r="C11" s="15" t="s">
        <v>21</v>
      </c>
      <c r="D11" s="31">
        <f t="shared" ref="D11:G11" si="3">D15+D30</f>
        <v>3.6850000000000001</v>
      </c>
      <c r="E11" s="31">
        <f t="shared" si="3"/>
        <v>115.12368000000001</v>
      </c>
      <c r="F11" s="31">
        <f t="shared" si="3"/>
        <v>0</v>
      </c>
      <c r="G11" s="31">
        <f t="shared" si="3"/>
        <v>0</v>
      </c>
      <c r="H11" s="132"/>
      <c r="I11" s="31"/>
      <c r="J11" s="133"/>
      <c r="K11" s="133"/>
      <c r="L11" s="133"/>
      <c r="M11" s="13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2.25" customHeight="1" x14ac:dyDescent="0.25">
      <c r="A12" s="15"/>
      <c r="B12" s="16" t="s">
        <v>22</v>
      </c>
      <c r="C12" s="15" t="s">
        <v>21</v>
      </c>
      <c r="D12" s="31">
        <f t="shared" ref="D12:G12" si="4">D15</f>
        <v>0</v>
      </c>
      <c r="E12" s="31">
        <f t="shared" si="4"/>
        <v>111.43368000000001</v>
      </c>
      <c r="F12" s="31">
        <f t="shared" si="4"/>
        <v>0</v>
      </c>
      <c r="G12" s="31">
        <f t="shared" si="4"/>
        <v>0</v>
      </c>
      <c r="H12" s="132"/>
      <c r="I12" s="31"/>
      <c r="J12" s="133"/>
      <c r="K12" s="133"/>
      <c r="L12" s="133"/>
      <c r="M12" s="133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2.2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29.36</v>
      </c>
      <c r="F13" s="17">
        <f t="shared" si="5"/>
        <v>2.34</v>
      </c>
      <c r="G13" s="17">
        <f t="shared" si="5"/>
        <v>2.34</v>
      </c>
      <c r="H13" s="132">
        <f>F13/E13*100</f>
        <v>7.9700272479564029</v>
      </c>
      <c r="I13" s="17"/>
      <c r="J13" s="126"/>
      <c r="K13" s="126"/>
      <c r="L13" s="126"/>
      <c r="M13" s="12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 x14ac:dyDescent="0.25">
      <c r="A14" s="15"/>
      <c r="B14" s="27" t="s">
        <v>25</v>
      </c>
      <c r="C14" s="30" t="s">
        <v>26</v>
      </c>
      <c r="D14" s="31"/>
      <c r="E14" s="31">
        <f t="shared" ref="E14:G14" si="6">E15/E13*10</f>
        <v>37.954250681198914</v>
      </c>
      <c r="F14" s="31">
        <f t="shared" si="6"/>
        <v>0</v>
      </c>
      <c r="G14" s="31">
        <f t="shared" si="6"/>
        <v>0</v>
      </c>
      <c r="H14" s="132"/>
      <c r="I14" s="31"/>
      <c r="J14" s="126"/>
      <c r="K14" s="126"/>
      <c r="L14" s="126"/>
      <c r="M14" s="12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 x14ac:dyDescent="0.25">
      <c r="A15" s="15"/>
      <c r="B15" s="27" t="s">
        <v>27</v>
      </c>
      <c r="C15" s="30" t="s">
        <v>21</v>
      </c>
      <c r="D15" s="31">
        <f t="shared" ref="D15:G15" si="7">D18+D21</f>
        <v>0</v>
      </c>
      <c r="E15" s="31">
        <f t="shared" si="7"/>
        <v>111.43368000000001</v>
      </c>
      <c r="F15" s="31">
        <f t="shared" si="7"/>
        <v>0</v>
      </c>
      <c r="G15" s="31">
        <f t="shared" si="7"/>
        <v>0</v>
      </c>
      <c r="H15" s="132"/>
      <c r="I15" s="31"/>
      <c r="J15" s="126"/>
      <c r="K15" s="126"/>
      <c r="L15" s="126"/>
      <c r="M15" s="12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2.34</v>
      </c>
      <c r="F16" s="17">
        <v>2.34</v>
      </c>
      <c r="G16" s="17">
        <v>2.34</v>
      </c>
      <c r="H16" s="132">
        <f>F16/E16*100</f>
        <v>100</v>
      </c>
      <c r="I16" s="31"/>
      <c r="J16" s="35"/>
      <c r="K16" s="35"/>
      <c r="L16" s="35"/>
      <c r="M16" s="35"/>
      <c r="N16" s="32"/>
      <c r="O16" s="32"/>
      <c r="P16" s="32"/>
      <c r="Q16" s="32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>
        <v>0</v>
      </c>
      <c r="H17" s="132"/>
      <c r="I17" s="31"/>
      <c r="J17" s="35"/>
      <c r="K17" s="35"/>
      <c r="L17" s="35"/>
      <c r="M17" s="35"/>
      <c r="N17" s="32"/>
      <c r="O17" s="32"/>
      <c r="P17" s="32"/>
      <c r="Q17" s="32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7.8390000000000004</v>
      </c>
      <c r="F18" s="31">
        <f t="shared" si="8"/>
        <v>0</v>
      </c>
      <c r="G18" s="31">
        <f t="shared" si="8"/>
        <v>0</v>
      </c>
      <c r="H18" s="132"/>
      <c r="I18" s="31"/>
      <c r="J18" s="35"/>
      <c r="K18" s="35"/>
      <c r="L18" s="35"/>
      <c r="M18" s="35"/>
      <c r="N18" s="32"/>
      <c r="O18" s="32"/>
      <c r="P18" s="32"/>
      <c r="Q18" s="32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27.02</v>
      </c>
      <c r="F19" s="17">
        <f t="shared" si="9"/>
        <v>0</v>
      </c>
      <c r="G19" s="17">
        <f t="shared" si="9"/>
        <v>0</v>
      </c>
      <c r="H19" s="132">
        <f t="shared" ref="H19:H24" si="10">F19/E19*100</f>
        <v>0</v>
      </c>
      <c r="I19" s="17"/>
      <c r="J19" s="28"/>
      <c r="K19" s="28"/>
      <c r="L19" s="28"/>
      <c r="M19" s="44"/>
      <c r="N19" s="86"/>
      <c r="O19" s="86"/>
      <c r="P19" s="86"/>
      <c r="Q19" s="86"/>
      <c r="R19" s="2"/>
      <c r="S19" s="86"/>
      <c r="T19" s="2"/>
      <c r="U19" s="1"/>
      <c r="V19" s="1"/>
      <c r="W19" s="1"/>
      <c r="X19" s="1"/>
      <c r="Y19" s="1"/>
      <c r="Z19" s="1"/>
    </row>
    <row r="20" spans="1:26" ht="32.25" customHeight="1" x14ac:dyDescent="0.25">
      <c r="A20" s="40"/>
      <c r="B20" s="27" t="s">
        <v>25</v>
      </c>
      <c r="C20" s="30" t="s">
        <v>26</v>
      </c>
      <c r="D20" s="31"/>
      <c r="E20" s="31">
        <f>E21/E19*10</f>
        <v>38.340000000000003</v>
      </c>
      <c r="F20" s="31"/>
      <c r="G20" s="31"/>
      <c r="H20" s="132">
        <f t="shared" si="10"/>
        <v>0</v>
      </c>
      <c r="I20" s="31"/>
      <c r="J20" s="28"/>
      <c r="K20" s="28"/>
      <c r="L20" s="28"/>
      <c r="M20" s="44"/>
      <c r="N20" s="86"/>
      <c r="O20" s="86"/>
      <c r="P20" s="86"/>
      <c r="Q20" s="86"/>
      <c r="R20" s="2"/>
      <c r="S20" s="86"/>
      <c r="T20" s="2"/>
      <c r="U20" s="1"/>
      <c r="V20" s="1"/>
      <c r="W20" s="1"/>
      <c r="X20" s="1"/>
      <c r="Y20" s="1"/>
      <c r="Z20" s="1"/>
    </row>
    <row r="21" spans="1:26" ht="32.25" customHeight="1" x14ac:dyDescent="0.25">
      <c r="A21" s="40"/>
      <c r="B21" s="27" t="s">
        <v>27</v>
      </c>
      <c r="C21" s="30" t="s">
        <v>21</v>
      </c>
      <c r="D21" s="31">
        <f t="shared" ref="D21:G21" si="11">D24+D27</f>
        <v>0</v>
      </c>
      <c r="E21" s="31">
        <f t="shared" si="11"/>
        <v>103.59468000000001</v>
      </c>
      <c r="F21" s="31">
        <f t="shared" si="11"/>
        <v>0</v>
      </c>
      <c r="G21" s="31">
        <f t="shared" si="11"/>
        <v>0</v>
      </c>
      <c r="H21" s="132">
        <f t="shared" si="10"/>
        <v>0</v>
      </c>
      <c r="I21" s="31"/>
      <c r="J21" s="28"/>
      <c r="K21" s="28"/>
      <c r="L21" s="28"/>
      <c r="M21" s="44"/>
      <c r="N21" s="86"/>
      <c r="O21" s="86"/>
      <c r="P21" s="86"/>
      <c r="Q21" s="86"/>
      <c r="R21" s="2"/>
      <c r="S21" s="86"/>
      <c r="T21" s="2"/>
      <c r="U21" s="1"/>
      <c r="V21" s="1"/>
      <c r="W21" s="1"/>
      <c r="X21" s="1"/>
      <c r="Y21" s="1"/>
      <c r="Z21" s="1"/>
    </row>
    <row r="22" spans="1:26" ht="32.25" customHeight="1" x14ac:dyDescent="0.25">
      <c r="A22" s="40" t="s">
        <v>32</v>
      </c>
      <c r="B22" s="41" t="s">
        <v>33</v>
      </c>
      <c r="C22" s="40" t="s">
        <v>18</v>
      </c>
      <c r="D22" s="17"/>
      <c r="E22" s="17">
        <v>27.02</v>
      </c>
      <c r="F22" s="31"/>
      <c r="G22" s="17"/>
      <c r="H22" s="132">
        <f t="shared" si="10"/>
        <v>0</v>
      </c>
      <c r="I22" s="31"/>
      <c r="J22" s="35"/>
      <c r="K22" s="35"/>
      <c r="L22" s="35"/>
      <c r="M22" s="51"/>
      <c r="N22" s="134"/>
      <c r="O22" s="134"/>
      <c r="P22" s="134"/>
      <c r="Q22" s="134"/>
      <c r="R22" s="32"/>
      <c r="S22" s="32"/>
      <c r="T22" s="2"/>
      <c r="U22" s="1"/>
      <c r="V22" s="1"/>
      <c r="W22" s="1"/>
      <c r="X22" s="1"/>
      <c r="Y22" s="1"/>
      <c r="Z22" s="1"/>
    </row>
    <row r="23" spans="1:26" ht="32.2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32">
        <f t="shared" si="10"/>
        <v>0</v>
      </c>
      <c r="I23" s="31"/>
      <c r="J23" s="35"/>
      <c r="K23" s="35"/>
      <c r="L23" s="35"/>
      <c r="M23" s="51"/>
      <c r="N23" s="134"/>
      <c r="O23" s="134"/>
      <c r="P23" s="134"/>
      <c r="Q23" s="134"/>
      <c r="R23" s="32"/>
      <c r="S23" s="32"/>
      <c r="T23" s="2"/>
      <c r="U23" s="1"/>
      <c r="V23" s="1"/>
      <c r="W23" s="1"/>
      <c r="X23" s="1"/>
      <c r="Y23" s="1"/>
      <c r="Z23" s="1"/>
    </row>
    <row r="24" spans="1:26" ht="32.25" customHeight="1" x14ac:dyDescent="0.25">
      <c r="A24" s="40"/>
      <c r="B24" s="27" t="s">
        <v>27</v>
      </c>
      <c r="C24" s="30" t="s">
        <v>21</v>
      </c>
      <c r="D24" s="31">
        <f t="shared" ref="D24:G24" si="12">D22*D23/10</f>
        <v>0</v>
      </c>
      <c r="E24" s="31">
        <f t="shared" si="12"/>
        <v>103.59468000000001</v>
      </c>
      <c r="F24" s="31">
        <f t="shared" si="12"/>
        <v>0</v>
      </c>
      <c r="G24" s="31">
        <f t="shared" si="12"/>
        <v>0</v>
      </c>
      <c r="H24" s="132">
        <f t="shared" si="10"/>
        <v>0</v>
      </c>
      <c r="I24" s="31"/>
      <c r="J24" s="35"/>
      <c r="K24" s="35"/>
      <c r="L24" s="35"/>
      <c r="M24" s="51"/>
      <c r="N24" s="134"/>
      <c r="O24" s="134"/>
      <c r="P24" s="134"/>
      <c r="Q24" s="134"/>
      <c r="R24" s="32"/>
      <c r="S24" s="32"/>
      <c r="T24" s="2"/>
      <c r="U24" s="1"/>
      <c r="V24" s="1"/>
      <c r="W24" s="1"/>
      <c r="X24" s="1"/>
      <c r="Y24" s="1"/>
      <c r="Z24" s="1"/>
    </row>
    <row r="25" spans="1:26" ht="32.25" customHeight="1" x14ac:dyDescent="0.25">
      <c r="A25" s="40" t="s">
        <v>32</v>
      </c>
      <c r="B25" s="41" t="s">
        <v>34</v>
      </c>
      <c r="C25" s="40" t="s">
        <v>18</v>
      </c>
      <c r="D25" s="17"/>
      <c r="E25" s="31"/>
      <c r="F25" s="31">
        <v>0</v>
      </c>
      <c r="G25" s="31">
        <v>0</v>
      </c>
      <c r="H25" s="132"/>
      <c r="I25" s="31"/>
      <c r="J25" s="28"/>
      <c r="K25" s="28"/>
      <c r="L25" s="28"/>
      <c r="M25" s="28"/>
      <c r="N25" s="2"/>
      <c r="O25" s="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2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32">
        <f>F26/E26*100</f>
        <v>0</v>
      </c>
      <c r="I26" s="31"/>
      <c r="J26" s="28"/>
      <c r="K26" s="28"/>
      <c r="L26" s="28"/>
      <c r="M26" s="28"/>
      <c r="N26" s="2"/>
      <c r="O26" s="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25" customHeight="1" x14ac:dyDescent="0.25">
      <c r="A27" s="40"/>
      <c r="B27" s="27" t="s">
        <v>27</v>
      </c>
      <c r="C27" s="30" t="s">
        <v>21</v>
      </c>
      <c r="D27" s="31">
        <f t="shared" ref="D27:G27" si="13">D25*D26/10</f>
        <v>0</v>
      </c>
      <c r="E27" s="31">
        <f t="shared" si="13"/>
        <v>0</v>
      </c>
      <c r="F27" s="31">
        <f t="shared" si="13"/>
        <v>0</v>
      </c>
      <c r="G27" s="31">
        <f t="shared" si="13"/>
        <v>0</v>
      </c>
      <c r="H27" s="132"/>
      <c r="I27" s="31"/>
      <c r="J27" s="28"/>
      <c r="K27" s="28"/>
      <c r="L27" s="28"/>
      <c r="M27" s="28"/>
      <c r="N27" s="2"/>
      <c r="O27" s="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2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4">D31+D34</f>
        <v>1</v>
      </c>
      <c r="E28" s="17">
        <f t="shared" si="14"/>
        <v>1</v>
      </c>
      <c r="F28" s="17">
        <f t="shared" si="14"/>
        <v>1</v>
      </c>
      <c r="G28" s="17">
        <f t="shared" si="14"/>
        <v>1</v>
      </c>
      <c r="H28" s="132">
        <f t="shared" ref="H28:H30" si="15">F28/E28*100</f>
        <v>100</v>
      </c>
      <c r="I28" s="17"/>
      <c r="J28" s="126"/>
      <c r="K28" s="126"/>
      <c r="L28" s="126"/>
      <c r="M28" s="126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 x14ac:dyDescent="0.25">
      <c r="A29" s="15"/>
      <c r="B29" s="27" t="s">
        <v>25</v>
      </c>
      <c r="C29" s="30" t="s">
        <v>26</v>
      </c>
      <c r="D29" s="31">
        <f t="shared" ref="D29:E29" si="16">D30/D28*10</f>
        <v>36.85</v>
      </c>
      <c r="E29" s="31">
        <f t="shared" si="16"/>
        <v>36.9</v>
      </c>
      <c r="F29" s="31"/>
      <c r="G29" s="31"/>
      <c r="H29" s="132">
        <f t="shared" si="15"/>
        <v>0</v>
      </c>
      <c r="I29" s="31"/>
      <c r="J29" s="126"/>
      <c r="K29" s="126"/>
      <c r="L29" s="126"/>
      <c r="M29" s="126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 x14ac:dyDescent="0.25">
      <c r="A30" s="15"/>
      <c r="B30" s="27" t="s">
        <v>27</v>
      </c>
      <c r="C30" s="30" t="s">
        <v>21</v>
      </c>
      <c r="D30" s="31">
        <f t="shared" ref="D30:G30" si="17">D33+D36</f>
        <v>3.6850000000000001</v>
      </c>
      <c r="E30" s="31">
        <f t="shared" si="17"/>
        <v>3.69</v>
      </c>
      <c r="F30" s="31">
        <f t="shared" si="17"/>
        <v>0</v>
      </c>
      <c r="G30" s="31">
        <f t="shared" si="17"/>
        <v>0</v>
      </c>
      <c r="H30" s="132">
        <f t="shared" si="15"/>
        <v>0</v>
      </c>
      <c r="I30" s="31"/>
      <c r="J30" s="126"/>
      <c r="K30" s="135"/>
      <c r="L30" s="126"/>
      <c r="M30" s="126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>
        <v>0</v>
      </c>
      <c r="G31" s="17">
        <v>0</v>
      </c>
      <c r="H31" s="132"/>
      <c r="I31" s="17"/>
      <c r="J31" s="126"/>
      <c r="K31" s="126"/>
      <c r="L31" s="126"/>
      <c r="M31" s="126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32"/>
      <c r="I32" s="17"/>
      <c r="J32" s="126"/>
      <c r="K32" s="126"/>
      <c r="L32" s="126"/>
      <c r="M32" s="126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32"/>
      <c r="I33" s="17"/>
      <c r="J33" s="126"/>
      <c r="K33" s="126"/>
      <c r="L33" s="126"/>
      <c r="M33" s="126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32">
        <f t="shared" ref="H34:H50" si="18">F34/E34*100</f>
        <v>100</v>
      </c>
      <c r="I34" s="31"/>
      <c r="J34" s="126"/>
      <c r="K34" s="126"/>
      <c r="L34" s="126"/>
      <c r="M34" s="126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32">
        <f t="shared" si="18"/>
        <v>0</v>
      </c>
      <c r="I35" s="31"/>
      <c r="J35" s="126"/>
      <c r="K35" s="126"/>
      <c r="L35" s="126"/>
      <c r="M35" s="126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 x14ac:dyDescent="0.25">
      <c r="A36" s="40"/>
      <c r="B36" s="27" t="s">
        <v>27</v>
      </c>
      <c r="C36" s="30" t="s">
        <v>21</v>
      </c>
      <c r="D36" s="31">
        <f t="shared" ref="D36:G36" si="19">D34*D35/10</f>
        <v>3.6850000000000001</v>
      </c>
      <c r="E36" s="31">
        <f t="shared" si="19"/>
        <v>3.69</v>
      </c>
      <c r="F36" s="31">
        <f t="shared" si="19"/>
        <v>0</v>
      </c>
      <c r="G36" s="31">
        <f t="shared" si="19"/>
        <v>0</v>
      </c>
      <c r="H36" s="132">
        <f t="shared" si="18"/>
        <v>0</v>
      </c>
      <c r="I36" s="31"/>
      <c r="J36" s="126"/>
      <c r="K36" s="126"/>
      <c r="L36" s="126"/>
      <c r="M36" s="126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 x14ac:dyDescent="0.25">
      <c r="A37" s="15">
        <v>2</v>
      </c>
      <c r="B37" s="16" t="s">
        <v>39</v>
      </c>
      <c r="C37" s="15" t="s">
        <v>18</v>
      </c>
      <c r="D37" s="17"/>
      <c r="E37" s="17">
        <v>1.85</v>
      </c>
      <c r="F37" s="17">
        <v>1.9</v>
      </c>
      <c r="G37" s="17">
        <v>1.9</v>
      </c>
      <c r="H37" s="132">
        <f t="shared" si="18"/>
        <v>102.70270270270269</v>
      </c>
      <c r="I37" s="17"/>
      <c r="J37" s="126"/>
      <c r="K37" s="35"/>
      <c r="L37" s="28"/>
      <c r="M37" s="3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 x14ac:dyDescent="0.25">
      <c r="A38" s="15"/>
      <c r="B38" s="27" t="s">
        <v>25</v>
      </c>
      <c r="C38" s="30" t="s">
        <v>26</v>
      </c>
      <c r="D38" s="17"/>
      <c r="E38" s="31">
        <v>140</v>
      </c>
      <c r="F38" s="17"/>
      <c r="G38" s="17"/>
      <c r="H38" s="132">
        <f t="shared" si="18"/>
        <v>0</v>
      </c>
      <c r="I38" s="17"/>
      <c r="J38" s="126"/>
      <c r="K38" s="126"/>
      <c r="L38" s="126"/>
      <c r="M38" s="126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 x14ac:dyDescent="0.25">
      <c r="A39" s="15"/>
      <c r="B39" s="27" t="s">
        <v>27</v>
      </c>
      <c r="C39" s="30" t="s">
        <v>21</v>
      </c>
      <c r="D39" s="31">
        <f t="shared" ref="D39:G39" si="20">D37*D38/10</f>
        <v>0</v>
      </c>
      <c r="E39" s="31">
        <f t="shared" si="20"/>
        <v>25.9</v>
      </c>
      <c r="F39" s="31">
        <f t="shared" si="20"/>
        <v>0</v>
      </c>
      <c r="G39" s="31">
        <f t="shared" si="20"/>
        <v>0</v>
      </c>
      <c r="H39" s="132">
        <f t="shared" si="18"/>
        <v>0</v>
      </c>
      <c r="I39" s="17"/>
      <c r="J39" s="126"/>
      <c r="K39" s="126"/>
      <c r="L39" s="126"/>
      <c r="M39" s="12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2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0.5</v>
      </c>
      <c r="F40" s="17">
        <v>0</v>
      </c>
      <c r="G40" s="17"/>
      <c r="H40" s="132">
        <f t="shared" si="18"/>
        <v>0</v>
      </c>
      <c r="I40" s="17"/>
      <c r="J40" s="126"/>
      <c r="K40" s="126"/>
      <c r="L40" s="126"/>
      <c r="M40" s="126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17"/>
      <c r="G41" s="17"/>
      <c r="H41" s="132">
        <f t="shared" si="18"/>
        <v>0</v>
      </c>
      <c r="I41" s="17"/>
      <c r="J41" s="126"/>
      <c r="K41" s="126"/>
      <c r="L41" s="126"/>
      <c r="M41" s="126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 x14ac:dyDescent="0.25">
      <c r="A42" s="15"/>
      <c r="B42" s="47" t="s">
        <v>27</v>
      </c>
      <c r="C42" s="48" t="s">
        <v>21</v>
      </c>
      <c r="D42" s="31"/>
      <c r="E42" s="31">
        <f t="shared" ref="E42:G42" si="21">E40*E41/10</f>
        <v>1.2050000000000001</v>
      </c>
      <c r="F42" s="31">
        <f t="shared" si="21"/>
        <v>0</v>
      </c>
      <c r="G42" s="31">
        <f t="shared" si="21"/>
        <v>0</v>
      </c>
      <c r="H42" s="132">
        <f t="shared" si="18"/>
        <v>0</v>
      </c>
      <c r="I42" s="17"/>
      <c r="J42" s="126"/>
      <c r="K42" s="126"/>
      <c r="L42" s="126"/>
      <c r="M42" s="12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25" customHeight="1" x14ac:dyDescent="0.25">
      <c r="A43" s="15">
        <v>4</v>
      </c>
      <c r="B43" s="16" t="s">
        <v>41</v>
      </c>
      <c r="C43" s="15" t="s">
        <v>18</v>
      </c>
      <c r="D43" s="17"/>
      <c r="E43" s="17">
        <v>0.5</v>
      </c>
      <c r="F43" s="17">
        <v>0.27</v>
      </c>
      <c r="G43" s="17">
        <f>F43</f>
        <v>0.27</v>
      </c>
      <c r="H43" s="132">
        <f t="shared" si="18"/>
        <v>54</v>
      </c>
      <c r="I43" s="17"/>
      <c r="J43" s="35"/>
      <c r="K43" s="28"/>
      <c r="L43" s="126"/>
      <c r="M43" s="12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32">
        <f t="shared" si="18"/>
        <v>0</v>
      </c>
      <c r="I44" s="31"/>
      <c r="J44" s="126"/>
      <c r="K44" s="126"/>
      <c r="L44" s="126"/>
      <c r="M44" s="126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 x14ac:dyDescent="0.25">
      <c r="A45" s="30"/>
      <c r="B45" s="47" t="s">
        <v>27</v>
      </c>
      <c r="C45" s="48" t="s">
        <v>21</v>
      </c>
      <c r="D45" s="31">
        <f t="shared" ref="D45:G45" si="22">D43*D44/10</f>
        <v>0</v>
      </c>
      <c r="E45" s="31">
        <f t="shared" si="22"/>
        <v>4.9249999999999998</v>
      </c>
      <c r="F45" s="31">
        <f t="shared" si="22"/>
        <v>0</v>
      </c>
      <c r="G45" s="31">
        <f t="shared" si="22"/>
        <v>0</v>
      </c>
      <c r="H45" s="132">
        <f t="shared" si="18"/>
        <v>0</v>
      </c>
      <c r="I45" s="31"/>
      <c r="J45" s="126"/>
      <c r="K45" s="126"/>
      <c r="L45" s="126"/>
      <c r="M45" s="12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3">D47+D55+D64</f>
        <v>85.92</v>
      </c>
      <c r="E46" s="17">
        <f t="shared" si="23"/>
        <v>94.820000000000007</v>
      </c>
      <c r="F46" s="17">
        <f t="shared" si="23"/>
        <v>86.22</v>
      </c>
      <c r="G46" s="17">
        <f t="shared" si="23"/>
        <v>86.22</v>
      </c>
      <c r="H46" s="132">
        <f t="shared" si="18"/>
        <v>90.93018350558954</v>
      </c>
      <c r="I46" s="17"/>
      <c r="J46" s="126"/>
      <c r="K46" s="126"/>
      <c r="L46" s="126"/>
      <c r="M46" s="12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4">D48+D49</f>
        <v>81.42</v>
      </c>
      <c r="E47" s="17">
        <f t="shared" si="24"/>
        <v>89.42</v>
      </c>
      <c r="F47" s="17">
        <f t="shared" si="24"/>
        <v>81.42</v>
      </c>
      <c r="G47" s="17">
        <f t="shared" si="24"/>
        <v>81.42</v>
      </c>
      <c r="H47" s="132">
        <f t="shared" si="18"/>
        <v>91.053455602773425</v>
      </c>
      <c r="I47" s="17"/>
      <c r="J47" s="126"/>
      <c r="K47" s="126"/>
      <c r="L47" s="126"/>
      <c r="M47" s="12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 x14ac:dyDescent="0.25">
      <c r="A48" s="57" t="s">
        <v>32</v>
      </c>
      <c r="B48" s="58" t="s">
        <v>45</v>
      </c>
      <c r="C48" s="59" t="s">
        <v>18</v>
      </c>
      <c r="D48" s="31">
        <v>70.05</v>
      </c>
      <c r="E48" s="31">
        <f>D48+D49</f>
        <v>81.42</v>
      </c>
      <c r="F48" s="31">
        <v>81.42</v>
      </c>
      <c r="G48" s="31">
        <v>81.42</v>
      </c>
      <c r="H48" s="136">
        <f t="shared" si="18"/>
        <v>100</v>
      </c>
      <c r="I48" s="31"/>
      <c r="J48" s="53"/>
      <c r="K48" s="53"/>
      <c r="L48" s="53"/>
      <c r="M48" s="53"/>
      <c r="N48" s="33"/>
      <c r="O48" s="33"/>
      <c r="P48" s="33"/>
      <c r="Q48" s="33"/>
      <c r="R48" s="1"/>
      <c r="S48" s="1"/>
      <c r="T48" s="1"/>
      <c r="U48" s="1"/>
      <c r="V48" s="1"/>
      <c r="W48" s="1"/>
      <c r="X48" s="1"/>
      <c r="Y48" s="1"/>
      <c r="Z48" s="1"/>
    </row>
    <row r="49" spans="1:26" ht="32.2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5">D50+D51</f>
        <v>11.37</v>
      </c>
      <c r="E49" s="17">
        <f t="shared" si="25"/>
        <v>8</v>
      </c>
      <c r="F49" s="17">
        <f t="shared" si="25"/>
        <v>0</v>
      </c>
      <c r="G49" s="17">
        <f t="shared" si="25"/>
        <v>0</v>
      </c>
      <c r="H49" s="132">
        <f t="shared" si="18"/>
        <v>0</v>
      </c>
      <c r="I49" s="17"/>
      <c r="J49" s="133"/>
      <c r="K49" s="133"/>
      <c r="L49" s="133"/>
      <c r="M49" s="133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2.25" customHeight="1" x14ac:dyDescent="0.25">
      <c r="A50" s="59" t="s">
        <v>47</v>
      </c>
      <c r="B50" s="64" t="s">
        <v>48</v>
      </c>
      <c r="C50" s="59" t="s">
        <v>18</v>
      </c>
      <c r="D50" s="31">
        <v>11.37</v>
      </c>
      <c r="E50" s="31">
        <v>8</v>
      </c>
      <c r="F50" s="31">
        <v>0</v>
      </c>
      <c r="G50" s="31">
        <v>0</v>
      </c>
      <c r="H50" s="132">
        <f t="shared" si="18"/>
        <v>0</v>
      </c>
      <c r="I50" s="31"/>
      <c r="J50" s="35"/>
      <c r="K50" s="126"/>
      <c r="L50" s="126"/>
      <c r="M50" s="126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 x14ac:dyDescent="0.25">
      <c r="A51" s="59" t="s">
        <v>47</v>
      </c>
      <c r="B51" s="64" t="s">
        <v>49</v>
      </c>
      <c r="C51" s="30" t="s">
        <v>18</v>
      </c>
      <c r="D51" s="31"/>
      <c r="E51" s="31"/>
      <c r="F51" s="31"/>
      <c r="G51" s="31"/>
      <c r="H51" s="132"/>
      <c r="I51" s="31"/>
      <c r="J51" s="126"/>
      <c r="K51" s="126"/>
      <c r="L51" s="126"/>
      <c r="M51" s="126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6">D53+D54</f>
        <v>36.53</v>
      </c>
      <c r="E52" s="17">
        <f t="shared" si="26"/>
        <v>59.54</v>
      </c>
      <c r="F52" s="17">
        <f t="shared" si="26"/>
        <v>59.54</v>
      </c>
      <c r="G52" s="17">
        <f t="shared" si="26"/>
        <v>59.54</v>
      </c>
      <c r="H52" s="132">
        <f t="shared" ref="H52:H53" si="27">F52/E52*100</f>
        <v>100</v>
      </c>
      <c r="I52" s="17"/>
      <c r="J52" s="133"/>
      <c r="K52" s="19"/>
      <c r="L52" s="19"/>
      <c r="M52" s="19"/>
      <c r="N52" s="19"/>
      <c r="O52" s="19"/>
      <c r="P52" s="19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2.25" customHeight="1" x14ac:dyDescent="0.25">
      <c r="A53" s="66" t="s">
        <v>47</v>
      </c>
      <c r="B53" s="64" t="s">
        <v>51</v>
      </c>
      <c r="C53" s="30" t="s">
        <v>18</v>
      </c>
      <c r="D53" s="31">
        <f>45.53-14</f>
        <v>31.53</v>
      </c>
      <c r="E53" s="31">
        <v>59.54</v>
      </c>
      <c r="F53" s="31">
        <v>59.54</v>
      </c>
      <c r="G53" s="31">
        <v>59.54</v>
      </c>
      <c r="H53" s="136">
        <f t="shared" si="27"/>
        <v>100</v>
      </c>
      <c r="I53" s="31"/>
      <c r="J53" s="126"/>
      <c r="K53" s="135"/>
      <c r="L53" s="135"/>
      <c r="M53" s="135"/>
      <c r="N53" s="3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 x14ac:dyDescent="0.25">
      <c r="A54" s="30"/>
      <c r="B54" s="64" t="s">
        <v>52</v>
      </c>
      <c r="C54" s="30" t="s">
        <v>18</v>
      </c>
      <c r="D54" s="31">
        <v>5</v>
      </c>
      <c r="E54" s="31"/>
      <c r="F54" s="31"/>
      <c r="G54" s="31"/>
      <c r="H54" s="132"/>
      <c r="I54" s="31"/>
      <c r="J54" s="126"/>
      <c r="K54" s="126"/>
      <c r="L54" s="126"/>
      <c r="M54" s="126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8">D56+D57</f>
        <v>4.5</v>
      </c>
      <c r="E55" s="17">
        <f t="shared" si="28"/>
        <v>5.4</v>
      </c>
      <c r="F55" s="17">
        <f t="shared" si="28"/>
        <v>4.8</v>
      </c>
      <c r="G55" s="17">
        <f t="shared" si="28"/>
        <v>4.8</v>
      </c>
      <c r="H55" s="132">
        <f t="shared" ref="H55:H63" si="29">F55/E55*100</f>
        <v>88.888888888888886</v>
      </c>
      <c r="I55" s="17"/>
      <c r="J55" s="126"/>
      <c r="K55" s="126"/>
      <c r="L55" s="126"/>
      <c r="M55" s="126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 x14ac:dyDescent="0.25">
      <c r="A56" s="30" t="s">
        <v>32</v>
      </c>
      <c r="B56" s="58" t="s">
        <v>50</v>
      </c>
      <c r="C56" s="30" t="s">
        <v>18</v>
      </c>
      <c r="D56" s="31">
        <v>4.5</v>
      </c>
      <c r="E56" s="31">
        <v>4.8</v>
      </c>
      <c r="F56" s="31">
        <v>4.8</v>
      </c>
      <c r="G56" s="31">
        <v>4.8</v>
      </c>
      <c r="H56" s="136">
        <f t="shared" si="29"/>
        <v>100</v>
      </c>
      <c r="I56" s="31"/>
      <c r="J56" s="126"/>
      <c r="K56" s="126"/>
      <c r="L56" s="126"/>
      <c r="M56" s="126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F57" si="30">D58+D61</f>
        <v>0</v>
      </c>
      <c r="E57" s="31">
        <f t="shared" si="30"/>
        <v>0.60000000000000009</v>
      </c>
      <c r="F57" s="31">
        <f t="shared" si="30"/>
        <v>0</v>
      </c>
      <c r="G57" s="31">
        <v>0</v>
      </c>
      <c r="H57" s="132">
        <f t="shared" si="29"/>
        <v>0</v>
      </c>
      <c r="I57" s="31"/>
      <c r="J57" s="126"/>
      <c r="K57" s="126"/>
      <c r="L57" s="126"/>
      <c r="M57" s="126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31">D59+D60</f>
        <v>0</v>
      </c>
      <c r="E58" s="71">
        <f t="shared" si="31"/>
        <v>0.30000000000000004</v>
      </c>
      <c r="F58" s="71">
        <f t="shared" si="31"/>
        <v>0</v>
      </c>
      <c r="G58" s="71">
        <f t="shared" si="31"/>
        <v>0</v>
      </c>
      <c r="H58" s="132">
        <f t="shared" si="29"/>
        <v>0</v>
      </c>
      <c r="I58" s="71"/>
      <c r="J58" s="97"/>
      <c r="K58" s="97"/>
      <c r="L58" s="97"/>
      <c r="M58" s="97"/>
      <c r="N58" s="97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2.2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32">
        <f t="shared" si="29"/>
        <v>0</v>
      </c>
      <c r="I59" s="31"/>
      <c r="J59" s="137"/>
      <c r="K59" s="137"/>
      <c r="L59" s="137"/>
      <c r="M59" s="137"/>
      <c r="N59" s="137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32">
        <f t="shared" si="29"/>
        <v>0</v>
      </c>
      <c r="I60" s="31"/>
      <c r="J60" s="137"/>
      <c r="K60" s="137"/>
      <c r="L60" s="137"/>
      <c r="M60" s="137"/>
      <c r="N60" s="137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2">D62+D63</f>
        <v>0</v>
      </c>
      <c r="E61" s="71">
        <f t="shared" si="32"/>
        <v>0.30000000000000004</v>
      </c>
      <c r="F61" s="71">
        <f t="shared" si="32"/>
        <v>0</v>
      </c>
      <c r="G61" s="71">
        <f t="shared" si="32"/>
        <v>0</v>
      </c>
      <c r="H61" s="132">
        <f t="shared" si="29"/>
        <v>0</v>
      </c>
      <c r="I61" s="71"/>
      <c r="J61" s="137"/>
      <c r="K61" s="138"/>
      <c r="L61" s="138"/>
      <c r="M61" s="138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2.2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0.2</v>
      </c>
      <c r="F62" s="31">
        <v>0</v>
      </c>
      <c r="G62" s="31">
        <v>0</v>
      </c>
      <c r="H62" s="132">
        <f t="shared" si="29"/>
        <v>0</v>
      </c>
      <c r="I62" s="31"/>
      <c r="J62" s="137"/>
      <c r="K62" s="137"/>
      <c r="L62" s="137"/>
      <c r="M62" s="137"/>
      <c r="N62" s="137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32">
        <f t="shared" si="29"/>
        <v>0</v>
      </c>
      <c r="I63" s="31"/>
      <c r="J63" s="137"/>
      <c r="K63" s="137"/>
      <c r="L63" s="137"/>
      <c r="M63" s="137"/>
      <c r="N63" s="137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3">D65+D66</f>
        <v>0</v>
      </c>
      <c r="E64" s="17">
        <f t="shared" si="33"/>
        <v>0</v>
      </c>
      <c r="F64" s="17">
        <f t="shared" si="33"/>
        <v>0</v>
      </c>
      <c r="G64" s="17">
        <f t="shared" si="33"/>
        <v>0</v>
      </c>
      <c r="H64" s="136"/>
      <c r="I64" s="17"/>
      <c r="J64" s="126"/>
      <c r="K64" s="126"/>
      <c r="L64" s="126"/>
      <c r="M64" s="126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 x14ac:dyDescent="0.25">
      <c r="A65" s="30" t="s">
        <v>47</v>
      </c>
      <c r="B65" s="58" t="s">
        <v>45</v>
      </c>
      <c r="C65" s="30" t="s">
        <v>18</v>
      </c>
      <c r="D65" s="31"/>
      <c r="E65" s="31"/>
      <c r="F65" s="31"/>
      <c r="G65" s="31"/>
      <c r="H65" s="132"/>
      <c r="I65" s="31"/>
      <c r="J65" s="126"/>
      <c r="K65" s="126"/>
      <c r="L65" s="126"/>
      <c r="M65" s="126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32"/>
      <c r="I66" s="31"/>
      <c r="J66" s="126"/>
      <c r="K66" s="126"/>
      <c r="L66" s="126"/>
      <c r="M66" s="126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4">D68+D71</f>
        <v>22.01</v>
      </c>
      <c r="E67" s="17">
        <f t="shared" si="34"/>
        <v>20.300000000000004</v>
      </c>
      <c r="F67" s="17">
        <f t="shared" si="34"/>
        <v>16.590000000000003</v>
      </c>
      <c r="G67" s="17">
        <f t="shared" si="34"/>
        <v>16.590000000000003</v>
      </c>
      <c r="H67" s="132">
        <f t="shared" ref="H67:H77" si="35">F67/E67*100</f>
        <v>81.724137931034477</v>
      </c>
      <c r="I67" s="17"/>
      <c r="J67" s="126"/>
      <c r="K67" s="126"/>
      <c r="L67" s="126"/>
      <c r="M67" s="126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6">D69+D70</f>
        <v>0.35000000000000003</v>
      </c>
      <c r="E68" s="17">
        <f t="shared" si="36"/>
        <v>3.35</v>
      </c>
      <c r="F68" s="17">
        <f t="shared" si="36"/>
        <v>0.35</v>
      </c>
      <c r="G68" s="17">
        <f t="shared" si="36"/>
        <v>0.35</v>
      </c>
      <c r="H68" s="132">
        <f t="shared" si="35"/>
        <v>10.44776119402985</v>
      </c>
      <c r="I68" s="17"/>
      <c r="J68" s="135"/>
      <c r="K68" s="126"/>
      <c r="L68" s="126"/>
      <c r="M68" s="126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 x14ac:dyDescent="0.25">
      <c r="A69" s="30" t="s">
        <v>47</v>
      </c>
      <c r="B69" s="58" t="s">
        <v>69</v>
      </c>
      <c r="C69" s="30" t="s">
        <v>18</v>
      </c>
      <c r="D69" s="31">
        <f>0.05+0.23</f>
        <v>0.28000000000000003</v>
      </c>
      <c r="E69" s="31">
        <f>D69+D70</f>
        <v>0.35000000000000003</v>
      </c>
      <c r="F69" s="31">
        <v>0.35</v>
      </c>
      <c r="G69" s="31">
        <v>0.35</v>
      </c>
      <c r="H69" s="136">
        <f t="shared" si="35"/>
        <v>99.999999999999986</v>
      </c>
      <c r="I69" s="31"/>
      <c r="J69" s="126"/>
      <c r="K69" s="126"/>
      <c r="L69" s="126"/>
      <c r="M69" s="126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 x14ac:dyDescent="0.25">
      <c r="A70" s="30" t="s">
        <v>47</v>
      </c>
      <c r="B70" s="58" t="s">
        <v>70</v>
      </c>
      <c r="C70" s="30" t="s">
        <v>18</v>
      </c>
      <c r="D70" s="31">
        <v>7.0000000000000007E-2</v>
      </c>
      <c r="E70" s="31">
        <v>3</v>
      </c>
      <c r="F70" s="31"/>
      <c r="G70" s="31"/>
      <c r="H70" s="132">
        <f t="shared" si="35"/>
        <v>0</v>
      </c>
      <c r="I70" s="31"/>
      <c r="J70" s="126"/>
      <c r="K70" s="126"/>
      <c r="L70" s="126"/>
      <c r="M70" s="126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7">D72+D73</f>
        <v>21.66</v>
      </c>
      <c r="E71" s="17">
        <f t="shared" si="37"/>
        <v>16.950000000000003</v>
      </c>
      <c r="F71" s="17">
        <f t="shared" si="37"/>
        <v>16.240000000000002</v>
      </c>
      <c r="G71" s="17">
        <f t="shared" si="37"/>
        <v>16.240000000000002</v>
      </c>
      <c r="H71" s="132">
        <f t="shared" si="35"/>
        <v>95.811209439528028</v>
      </c>
      <c r="I71" s="17"/>
      <c r="J71" s="126"/>
      <c r="K71" s="126"/>
      <c r="L71" s="126"/>
      <c r="M71" s="126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8">D75+D82</f>
        <v>19.66</v>
      </c>
      <c r="E72" s="87">
        <f t="shared" si="38"/>
        <v>16.240000000000002</v>
      </c>
      <c r="F72" s="87">
        <f t="shared" si="38"/>
        <v>16.240000000000002</v>
      </c>
      <c r="G72" s="87">
        <f t="shared" si="38"/>
        <v>16.240000000000002</v>
      </c>
      <c r="H72" s="132">
        <f t="shared" si="35"/>
        <v>100</v>
      </c>
      <c r="I72" s="87"/>
      <c r="J72" s="126"/>
      <c r="K72" s="126"/>
      <c r="L72" s="126"/>
      <c r="M72" s="126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9">D76+D83</f>
        <v>2</v>
      </c>
      <c r="E73" s="17">
        <f t="shared" si="39"/>
        <v>0.71</v>
      </c>
      <c r="F73" s="17">
        <f t="shared" si="39"/>
        <v>0</v>
      </c>
      <c r="G73" s="17">
        <f t="shared" si="39"/>
        <v>0</v>
      </c>
      <c r="H73" s="132">
        <f t="shared" si="35"/>
        <v>0</v>
      </c>
      <c r="I73" s="17"/>
      <c r="J73" s="133"/>
      <c r="K73" s="133"/>
      <c r="L73" s="133"/>
      <c r="M73" s="133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40">D75+D76</f>
        <v>15.74</v>
      </c>
      <c r="E74" s="91">
        <f t="shared" si="40"/>
        <v>15.24</v>
      </c>
      <c r="F74" s="91">
        <f t="shared" si="40"/>
        <v>14.74</v>
      </c>
      <c r="G74" s="91">
        <f t="shared" si="40"/>
        <v>14.74</v>
      </c>
      <c r="H74" s="139">
        <f t="shared" si="35"/>
        <v>96.719160104986884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 x14ac:dyDescent="0.25">
      <c r="A75" s="57" t="s">
        <v>32</v>
      </c>
      <c r="B75" s="93" t="s">
        <v>45</v>
      </c>
      <c r="C75" s="30" t="s">
        <v>18</v>
      </c>
      <c r="D75" s="60">
        <v>15.24</v>
      </c>
      <c r="E75" s="60">
        <v>14.74</v>
      </c>
      <c r="F75" s="31">
        <v>14.74</v>
      </c>
      <c r="G75" s="31">
        <v>14.74</v>
      </c>
      <c r="H75" s="136">
        <f t="shared" si="35"/>
        <v>100</v>
      </c>
      <c r="I75" s="31"/>
      <c r="J75" s="126"/>
      <c r="K75" s="126"/>
      <c r="L75" s="28"/>
      <c r="M75" s="115"/>
      <c r="N75" s="2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41">SUM(D77:D80)</f>
        <v>0.5</v>
      </c>
      <c r="E76" s="141">
        <f t="shared" si="41"/>
        <v>0.5</v>
      </c>
      <c r="F76" s="141">
        <f t="shared" si="41"/>
        <v>0</v>
      </c>
      <c r="G76" s="141">
        <f t="shared" si="41"/>
        <v>0</v>
      </c>
      <c r="H76" s="132">
        <f t="shared" si="35"/>
        <v>0</v>
      </c>
      <c r="I76" s="141"/>
      <c r="J76" s="138"/>
      <c r="K76" s="138"/>
      <c r="L76" s="97"/>
      <c r="M76" s="97"/>
      <c r="N76" s="2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 x14ac:dyDescent="0.25">
      <c r="A77" s="46" t="s">
        <v>47</v>
      </c>
      <c r="B77" s="94" t="s">
        <v>80</v>
      </c>
      <c r="C77" s="46" t="s">
        <v>18</v>
      </c>
      <c r="D77" s="31"/>
      <c r="E77" s="31">
        <v>0.5</v>
      </c>
      <c r="F77" s="31">
        <v>0</v>
      </c>
      <c r="G77" s="31">
        <v>0</v>
      </c>
      <c r="H77" s="132">
        <f t="shared" si="35"/>
        <v>0</v>
      </c>
      <c r="I77" s="31"/>
      <c r="J77" s="142"/>
      <c r="K77" s="138"/>
      <c r="L77" s="97"/>
      <c r="M77" s="143"/>
      <c r="N77" s="38"/>
      <c r="O77" s="38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 x14ac:dyDescent="0.25">
      <c r="A78" s="46" t="s">
        <v>47</v>
      </c>
      <c r="B78" s="94" t="s">
        <v>81</v>
      </c>
      <c r="C78" s="46" t="s">
        <v>18</v>
      </c>
      <c r="D78" s="31">
        <v>0.5</v>
      </c>
      <c r="E78" s="31">
        <v>0</v>
      </c>
      <c r="F78" s="31"/>
      <c r="G78" s="31"/>
      <c r="H78" s="132"/>
      <c r="I78" s="31"/>
      <c r="J78" s="138"/>
      <c r="K78" s="138"/>
      <c r="L78" s="97"/>
      <c r="M78" s="97"/>
      <c r="N78" s="2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132"/>
      <c r="I79" s="31"/>
      <c r="J79" s="138"/>
      <c r="K79" s="138"/>
      <c r="L79" s="97"/>
      <c r="M79" s="97"/>
      <c r="N79" s="2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 x14ac:dyDescent="0.25">
      <c r="A80" s="46" t="s">
        <v>47</v>
      </c>
      <c r="B80" s="144" t="s">
        <v>83</v>
      </c>
      <c r="C80" s="46" t="s">
        <v>18</v>
      </c>
      <c r="D80" s="31"/>
      <c r="E80" s="31"/>
      <c r="F80" s="31"/>
      <c r="G80" s="31"/>
      <c r="H80" s="132"/>
      <c r="I80" s="31"/>
      <c r="J80" s="138"/>
      <c r="K80" s="138"/>
      <c r="L80" s="97"/>
      <c r="M80" s="97"/>
      <c r="N80" s="2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2">D82+D83</f>
        <v>5.92</v>
      </c>
      <c r="E81" s="91">
        <f t="shared" si="42"/>
        <v>1.71</v>
      </c>
      <c r="F81" s="91">
        <f t="shared" si="42"/>
        <v>1.5</v>
      </c>
      <c r="G81" s="91">
        <f t="shared" si="42"/>
        <v>1.5</v>
      </c>
      <c r="H81" s="139">
        <f t="shared" ref="H81:H83" si="43">F81/E81*100</f>
        <v>87.719298245614041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2.25" customHeight="1" x14ac:dyDescent="0.25">
      <c r="A82" s="107" t="s">
        <v>47</v>
      </c>
      <c r="B82" s="94" t="s">
        <v>85</v>
      </c>
      <c r="C82" s="46" t="s">
        <v>18</v>
      </c>
      <c r="D82" s="71">
        <v>4.42</v>
      </c>
      <c r="E82" s="71">
        <v>1.5</v>
      </c>
      <c r="F82" s="71">
        <v>1.5</v>
      </c>
      <c r="G82" s="71">
        <v>1.5</v>
      </c>
      <c r="H82" s="136">
        <f t="shared" si="43"/>
        <v>100</v>
      </c>
      <c r="I82" s="71"/>
      <c r="J82" s="138"/>
      <c r="K82" s="142"/>
      <c r="L82" s="97"/>
      <c r="M82" s="97"/>
      <c r="N82" s="74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2.2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4">SUM(D84:D87)</f>
        <v>1.5</v>
      </c>
      <c r="E83" s="60">
        <f t="shared" si="44"/>
        <v>0.21</v>
      </c>
      <c r="F83" s="60">
        <f t="shared" si="44"/>
        <v>0</v>
      </c>
      <c r="G83" s="60">
        <f t="shared" si="44"/>
        <v>0</v>
      </c>
      <c r="H83" s="136">
        <f t="shared" si="43"/>
        <v>0</v>
      </c>
      <c r="I83" s="60"/>
      <c r="J83" s="138"/>
      <c r="K83" s="138"/>
      <c r="L83" s="138"/>
      <c r="M83" s="138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32"/>
      <c r="I84" s="31"/>
      <c r="J84" s="97"/>
      <c r="K84" s="97"/>
      <c r="L84" s="97"/>
      <c r="M84" s="97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32"/>
      <c r="I85" s="31"/>
      <c r="J85" s="97"/>
      <c r="K85" s="97"/>
      <c r="L85" s="97"/>
      <c r="M85" s="97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32"/>
      <c r="I86" s="31"/>
      <c r="J86" s="97"/>
      <c r="K86" s="97"/>
      <c r="L86" s="97"/>
      <c r="M86" s="97"/>
      <c r="N86" s="2"/>
      <c r="O86" s="2"/>
      <c r="P86" s="2"/>
      <c r="Q86" s="2"/>
      <c r="R86" s="2"/>
      <c r="S86" s="1"/>
      <c r="T86" s="1"/>
      <c r="U86" s="1"/>
      <c r="V86" s="1"/>
      <c r="W86" s="1"/>
      <c r="X86" s="1"/>
      <c r="Y86" s="1"/>
      <c r="Z86" s="1"/>
    </row>
    <row r="87" spans="1:26" ht="32.25" customHeight="1" x14ac:dyDescent="0.25">
      <c r="A87" s="107" t="s">
        <v>47</v>
      </c>
      <c r="B87" s="94" t="s">
        <v>89</v>
      </c>
      <c r="C87" s="46" t="s">
        <v>18</v>
      </c>
      <c r="D87" s="31">
        <v>1.5</v>
      </c>
      <c r="E87" s="31">
        <v>0.21</v>
      </c>
      <c r="F87" s="31">
        <v>0</v>
      </c>
      <c r="G87" s="31">
        <v>0</v>
      </c>
      <c r="H87" s="132">
        <f t="shared" ref="H87:H93" si="45">F87/E87*100</f>
        <v>0</v>
      </c>
      <c r="I87" s="31"/>
      <c r="J87" s="73"/>
      <c r="K87" s="97"/>
      <c r="L87" s="97"/>
      <c r="M87" s="143"/>
      <c r="N87" s="38"/>
      <c r="O87" s="38"/>
      <c r="P87" s="38"/>
      <c r="Q87" s="38"/>
      <c r="R87" s="38"/>
      <c r="S87" s="38"/>
      <c r="T87" s="1"/>
      <c r="U87" s="1"/>
      <c r="V87" s="1"/>
      <c r="W87" s="1"/>
      <c r="X87" s="1"/>
      <c r="Y87" s="1"/>
      <c r="Z87" s="1"/>
    </row>
    <row r="88" spans="1:26" ht="32.25" customHeight="1" x14ac:dyDescent="0.25">
      <c r="A88" s="15" t="s">
        <v>90</v>
      </c>
      <c r="B88" s="24" t="s">
        <v>91</v>
      </c>
      <c r="C88" s="15"/>
      <c r="D88" s="17">
        <f t="shared" ref="D88:G88" si="46">SUM(D89:D93)</f>
        <v>481</v>
      </c>
      <c r="E88" s="17">
        <f t="shared" si="46"/>
        <v>540</v>
      </c>
      <c r="F88" s="17">
        <f t="shared" si="46"/>
        <v>487</v>
      </c>
      <c r="G88" s="17">
        <f t="shared" si="46"/>
        <v>487</v>
      </c>
      <c r="H88" s="132">
        <f t="shared" si="45"/>
        <v>90.18518518518519</v>
      </c>
      <c r="I88" s="17"/>
      <c r="J88" s="28"/>
      <c r="K88" s="28"/>
      <c r="L88" s="39"/>
      <c r="M88" s="39"/>
      <c r="N88" s="98"/>
      <c r="O88" s="98"/>
      <c r="P88" s="98"/>
      <c r="Q88" s="98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 x14ac:dyDescent="0.25">
      <c r="A89" s="30">
        <v>1</v>
      </c>
      <c r="B89" s="27" t="s">
        <v>92</v>
      </c>
      <c r="C89" s="30" t="s">
        <v>93</v>
      </c>
      <c r="D89" s="31">
        <f>46-15</f>
        <v>31</v>
      </c>
      <c r="E89" s="31">
        <f>47+25-6</f>
        <v>66</v>
      </c>
      <c r="F89" s="31">
        <v>62</v>
      </c>
      <c r="G89" s="31">
        <f t="shared" ref="G89:G93" si="47">F89</f>
        <v>62</v>
      </c>
      <c r="H89" s="136">
        <f t="shared" si="45"/>
        <v>93.939393939393938</v>
      </c>
      <c r="I89" s="31"/>
      <c r="J89" s="79"/>
      <c r="K89" s="79"/>
      <c r="L89" s="78"/>
      <c r="M89" s="108"/>
      <c r="N89" s="145"/>
      <c r="O89" s="145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2.25" customHeight="1" x14ac:dyDescent="0.25">
      <c r="A90" s="30">
        <v>2</v>
      </c>
      <c r="B90" s="27" t="s">
        <v>94</v>
      </c>
      <c r="C90" s="30" t="s">
        <v>93</v>
      </c>
      <c r="D90" s="31">
        <f>77-5</f>
        <v>72</v>
      </c>
      <c r="E90" s="31">
        <f>77+12+3</f>
        <v>92</v>
      </c>
      <c r="F90" s="31">
        <v>90</v>
      </c>
      <c r="G90" s="31">
        <f t="shared" si="47"/>
        <v>90</v>
      </c>
      <c r="H90" s="136">
        <f t="shared" si="45"/>
        <v>97.826086956521735</v>
      </c>
      <c r="I90" s="31"/>
      <c r="J90" s="55"/>
      <c r="K90" s="79"/>
      <c r="L90" s="78"/>
      <c r="M90" s="108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2.25" customHeight="1" x14ac:dyDescent="0.25">
      <c r="A91" s="30">
        <v>3</v>
      </c>
      <c r="B91" s="27" t="s">
        <v>97</v>
      </c>
      <c r="C91" s="30" t="s">
        <v>93</v>
      </c>
      <c r="D91" s="31">
        <f>44-5</f>
        <v>39</v>
      </c>
      <c r="E91" s="31">
        <f>45+14</f>
        <v>59</v>
      </c>
      <c r="F91" s="31">
        <v>57</v>
      </c>
      <c r="G91" s="31">
        <f t="shared" si="47"/>
        <v>57</v>
      </c>
      <c r="H91" s="136">
        <f t="shared" si="45"/>
        <v>96.610169491525426</v>
      </c>
      <c r="I91" s="31"/>
      <c r="J91" s="55"/>
      <c r="K91" s="79"/>
      <c r="L91" s="78"/>
      <c r="M91" s="108"/>
      <c r="N91" s="146"/>
      <c r="O91" s="14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2.25" customHeight="1" x14ac:dyDescent="0.25">
      <c r="A92" s="30">
        <v>4</v>
      </c>
      <c r="B92" s="27" t="s">
        <v>98</v>
      </c>
      <c r="C92" s="30" t="s">
        <v>93</v>
      </c>
      <c r="D92" s="31">
        <f>20-5</f>
        <v>15</v>
      </c>
      <c r="E92" s="31">
        <f>22+6</f>
        <v>28</v>
      </c>
      <c r="F92" s="31">
        <v>25</v>
      </c>
      <c r="G92" s="31">
        <f t="shared" si="47"/>
        <v>25</v>
      </c>
      <c r="H92" s="136">
        <f t="shared" si="45"/>
        <v>89.285714285714292</v>
      </c>
      <c r="I92" s="31"/>
      <c r="J92" s="55"/>
      <c r="K92" s="79"/>
      <c r="L92" s="112"/>
      <c r="M92" s="108"/>
      <c r="N92" s="146"/>
      <c r="O92" s="14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ht="32.25" customHeight="1" x14ac:dyDescent="0.25">
      <c r="A93" s="30">
        <v>5</v>
      </c>
      <c r="B93" s="27" t="s">
        <v>99</v>
      </c>
      <c r="C93" s="30" t="s">
        <v>93</v>
      </c>
      <c r="D93" s="31">
        <f>373-49</f>
        <v>324</v>
      </c>
      <c r="E93" s="31">
        <f>326-31</f>
        <v>295</v>
      </c>
      <c r="F93" s="31">
        <v>253</v>
      </c>
      <c r="G93" s="31">
        <f t="shared" si="47"/>
        <v>253</v>
      </c>
      <c r="H93" s="136">
        <f t="shared" si="45"/>
        <v>85.762711864406782</v>
      </c>
      <c r="I93" s="31"/>
      <c r="J93" s="79"/>
      <c r="K93" s="79"/>
      <c r="L93" s="112"/>
      <c r="M93" s="108"/>
      <c r="N93" s="14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2.2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8">D95</f>
        <v>0</v>
      </c>
      <c r="E94" s="17">
        <f t="shared" si="48"/>
        <v>0</v>
      </c>
      <c r="F94" s="17">
        <f t="shared" si="48"/>
        <v>0</v>
      </c>
      <c r="G94" s="17">
        <f t="shared" si="48"/>
        <v>0</v>
      </c>
      <c r="H94" s="132"/>
      <c r="I94" s="17"/>
      <c r="J94" s="19"/>
      <c r="K94" s="19"/>
      <c r="L94" s="112"/>
      <c r="M94" s="108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2.25" customHeight="1" x14ac:dyDescent="0.25">
      <c r="A95" s="46" t="s">
        <v>47</v>
      </c>
      <c r="B95" s="76" t="s">
        <v>102</v>
      </c>
      <c r="C95" s="46" t="s">
        <v>18</v>
      </c>
      <c r="D95" s="31"/>
      <c r="E95" s="31"/>
      <c r="F95" s="31"/>
      <c r="G95" s="31"/>
      <c r="H95" s="132"/>
      <c r="I95" s="31"/>
      <c r="J95" s="28"/>
      <c r="K95" s="28"/>
      <c r="L95" s="112"/>
      <c r="M95" s="108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9">D97+D98</f>
        <v>5.6</v>
      </c>
      <c r="E96" s="17">
        <f t="shared" si="49"/>
        <v>2.5499999999999998</v>
      </c>
      <c r="F96" s="17">
        <f t="shared" si="49"/>
        <v>0</v>
      </c>
      <c r="G96" s="17">
        <f t="shared" si="49"/>
        <v>0</v>
      </c>
      <c r="H96" s="132">
        <f>F96/E96*100</f>
        <v>0</v>
      </c>
      <c r="I96" s="17"/>
      <c r="J96" s="28"/>
      <c r="K96" s="28"/>
      <c r="L96" s="28"/>
      <c r="M96" s="28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x14ac:dyDescent="0.25">
      <c r="A97" s="30" t="s">
        <v>47</v>
      </c>
      <c r="B97" s="93" t="s">
        <v>263</v>
      </c>
      <c r="C97" s="46" t="s">
        <v>18</v>
      </c>
      <c r="D97" s="31"/>
      <c r="E97" s="31"/>
      <c r="F97" s="31"/>
      <c r="G97" s="31"/>
      <c r="H97" s="132"/>
      <c r="I97" s="31"/>
      <c r="J97" s="28"/>
      <c r="K97" s="28"/>
      <c r="L97" s="28"/>
      <c r="M97" s="28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x14ac:dyDescent="0.25">
      <c r="A98" s="123" t="s">
        <v>47</v>
      </c>
      <c r="B98" s="93" t="s">
        <v>109</v>
      </c>
      <c r="C98" s="46" t="s">
        <v>18</v>
      </c>
      <c r="D98" s="31">
        <v>5.6</v>
      </c>
      <c r="E98" s="31">
        <f>3.8-1.25</f>
        <v>2.5499999999999998</v>
      </c>
      <c r="F98" s="31"/>
      <c r="G98" s="31"/>
      <c r="H98" s="132">
        <f>F98/E98*100</f>
        <v>0</v>
      </c>
      <c r="I98" s="31"/>
      <c r="J98" s="28"/>
      <c r="K98" s="147"/>
      <c r="L98" s="28"/>
      <c r="M98" s="28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23622047244094491" top="0.43307086614173229" bottom="0.35433070866141736" header="0" footer="0"/>
  <pageSetup scale="8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88671875" customWidth="1"/>
    <col min="2" max="2" width="29" customWidth="1"/>
    <col min="3" max="3" width="10.33203125" customWidth="1"/>
    <col min="4" max="4" width="16.21875" customWidth="1"/>
    <col min="5" max="5" width="17.88671875" customWidth="1"/>
    <col min="6" max="9" width="12.6640625" customWidth="1"/>
    <col min="10" max="10" width="8.88671875" customWidth="1"/>
    <col min="11" max="11" width="19.77734375" customWidth="1"/>
    <col min="12" max="14" width="8.88671875" customWidth="1"/>
    <col min="15" max="23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264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'TUMO RONG (1)'!A5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9"/>
      <c r="B6" s="129"/>
      <c r="C6" s="129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30">
        <v>37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15"/>
      <c r="C8" s="315"/>
      <c r="D8" s="315"/>
      <c r="E8" s="14" t="s">
        <v>11</v>
      </c>
      <c r="F8" s="14" t="s">
        <v>266</v>
      </c>
      <c r="G8" s="14" t="s">
        <v>267</v>
      </c>
      <c r="H8" s="14" t="s">
        <v>14</v>
      </c>
      <c r="I8" s="315"/>
      <c r="J8" s="126"/>
      <c r="K8" s="11" t="s">
        <v>15</v>
      </c>
      <c r="L8" s="149">
        <v>130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45.59</v>
      </c>
      <c r="E9" s="17">
        <f t="shared" si="0"/>
        <v>64.309999999999988</v>
      </c>
      <c r="F9" s="17">
        <f t="shared" si="0"/>
        <v>49.882999999999996</v>
      </c>
      <c r="G9" s="17">
        <f t="shared" si="0"/>
        <v>49.682999999999993</v>
      </c>
      <c r="H9" s="17">
        <f t="shared" ref="H9:H24" si="1">F9/E9*100</f>
        <v>77.566474887264818</v>
      </c>
      <c r="I9" s="17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2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10.82</v>
      </c>
      <c r="F10" s="17">
        <f t="shared" si="2"/>
        <v>2.17</v>
      </c>
      <c r="G10" s="17">
        <f t="shared" si="2"/>
        <v>2.17</v>
      </c>
      <c r="H10" s="17">
        <f t="shared" si="1"/>
        <v>20.055452865064694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22.5" customHeight="1" x14ac:dyDescent="0.25">
      <c r="A11" s="15"/>
      <c r="B11" s="24" t="s">
        <v>20</v>
      </c>
      <c r="C11" s="15" t="s">
        <v>21</v>
      </c>
      <c r="D11" s="17">
        <f t="shared" ref="D11:G11" si="3">D15+D30</f>
        <v>3.6850000000000001</v>
      </c>
      <c r="E11" s="17">
        <f t="shared" si="3"/>
        <v>40.773600000000002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133"/>
      <c r="K11" s="133"/>
      <c r="L11" s="133"/>
      <c r="M11" s="133"/>
      <c r="N11" s="133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22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37.083600000000004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133"/>
      <c r="K12" s="133"/>
      <c r="L12" s="133"/>
      <c r="M12" s="133"/>
      <c r="N12" s="133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23.2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9.82</v>
      </c>
      <c r="F13" s="17">
        <f t="shared" si="5"/>
        <v>1.17</v>
      </c>
      <c r="G13" s="17">
        <f t="shared" si="5"/>
        <v>1.17</v>
      </c>
      <c r="H13" s="17">
        <f t="shared" si="1"/>
        <v>11.914460285132382</v>
      </c>
      <c r="I13" s="17"/>
      <c r="J13" s="126"/>
      <c r="K13" s="150"/>
      <c r="L13" s="150"/>
      <c r="M13" s="151"/>
      <c r="N13" s="150"/>
      <c r="O13" s="29"/>
      <c r="P13" s="29"/>
      <c r="Q13" s="29"/>
      <c r="R13" s="29"/>
      <c r="S13" s="38"/>
      <c r="T13" s="45"/>
      <c r="U13" s="1"/>
      <c r="V13" s="1"/>
      <c r="W13" s="1"/>
      <c r="X13" s="1"/>
      <c r="Y13" s="1"/>
      <c r="Z13" s="1"/>
    </row>
    <row r="14" spans="1:26" ht="22.5" customHeight="1" x14ac:dyDescent="0.25">
      <c r="A14" s="15"/>
      <c r="B14" s="27" t="s">
        <v>25</v>
      </c>
      <c r="C14" s="30" t="s">
        <v>26</v>
      </c>
      <c r="D14" s="31"/>
      <c r="E14" s="31">
        <f t="shared" ref="E14:G14" si="6">E15/E13*10</f>
        <v>37.763340122199594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x14ac:dyDescent="0.25">
      <c r="A15" s="15"/>
      <c r="B15" s="27" t="s">
        <v>27</v>
      </c>
      <c r="C15" s="30" t="s">
        <v>21</v>
      </c>
      <c r="D15" s="31">
        <f t="shared" ref="D15:G15" si="7">D18+D21</f>
        <v>0</v>
      </c>
      <c r="E15" s="31">
        <f t="shared" si="7"/>
        <v>37.083600000000004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1.17</v>
      </c>
      <c r="F16" s="17">
        <v>1.17</v>
      </c>
      <c r="G16" s="17">
        <v>1.17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22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22.5" customHeight="1" x14ac:dyDescent="0.25">
      <c r="A18" s="15"/>
      <c r="B18" s="27" t="s">
        <v>27</v>
      </c>
      <c r="C18" s="30" t="s">
        <v>21</v>
      </c>
      <c r="D18" s="17">
        <f t="shared" ref="D18:G18" si="8">D16*D17/10</f>
        <v>0</v>
      </c>
      <c r="E18" s="31">
        <f t="shared" si="8"/>
        <v>3.9195000000000002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22.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8.65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44"/>
      <c r="O19" s="86"/>
      <c r="P19" s="86"/>
      <c r="Q19" s="86"/>
      <c r="R19" s="86"/>
      <c r="S19" s="86"/>
      <c r="T19" s="86"/>
      <c r="U19" s="86"/>
      <c r="V19" s="86"/>
      <c r="W19" s="1"/>
      <c r="X19" s="1"/>
      <c r="Y19" s="1"/>
      <c r="Z19" s="1"/>
    </row>
    <row r="20" spans="1:26" ht="22.5" customHeight="1" x14ac:dyDescent="0.25">
      <c r="A20" s="40"/>
      <c r="B20" s="27" t="s">
        <v>25</v>
      </c>
      <c r="C20" s="30" t="s">
        <v>26</v>
      </c>
      <c r="D20" s="31"/>
      <c r="E20" s="31">
        <f>E21/E19*10</f>
        <v>38.340000000000003</v>
      </c>
      <c r="F20" s="31"/>
      <c r="G20" s="31"/>
      <c r="H20" s="17">
        <f t="shared" si="1"/>
        <v>0</v>
      </c>
      <c r="I20" s="31"/>
      <c r="J20" s="28"/>
      <c r="K20" s="28"/>
      <c r="L20" s="28"/>
      <c r="M20" s="28"/>
      <c r="N20" s="44"/>
      <c r="O20" s="86"/>
      <c r="P20" s="86"/>
      <c r="Q20" s="86"/>
      <c r="R20" s="86"/>
      <c r="S20" s="86"/>
      <c r="T20" s="86"/>
      <c r="U20" s="86"/>
      <c r="V20" s="86"/>
      <c r="W20" s="1"/>
      <c r="X20" s="1"/>
      <c r="Y20" s="1"/>
      <c r="Z20" s="1"/>
    </row>
    <row r="21" spans="1:26" ht="22.5" customHeight="1" x14ac:dyDescent="0.25">
      <c r="A21" s="40"/>
      <c r="B21" s="27" t="s">
        <v>27</v>
      </c>
      <c r="C21" s="30" t="s">
        <v>21</v>
      </c>
      <c r="D21" s="31">
        <f t="shared" ref="D21:G21" si="10">D24+D27</f>
        <v>0</v>
      </c>
      <c r="E21" s="31">
        <f t="shared" si="10"/>
        <v>33.164100000000005</v>
      </c>
      <c r="F21" s="31">
        <f t="shared" si="10"/>
        <v>0</v>
      </c>
      <c r="G21" s="31">
        <f t="shared" si="10"/>
        <v>0</v>
      </c>
      <c r="H21" s="17">
        <f t="shared" si="1"/>
        <v>0</v>
      </c>
      <c r="I21" s="31"/>
      <c r="J21" s="28"/>
      <c r="K21" s="28"/>
      <c r="L21" s="28"/>
      <c r="M21" s="28"/>
      <c r="N21" s="44"/>
      <c r="O21" s="86"/>
      <c r="P21" s="86"/>
      <c r="Q21" s="86"/>
      <c r="R21" s="86"/>
      <c r="S21" s="86"/>
      <c r="T21" s="86"/>
      <c r="U21" s="86"/>
      <c r="V21" s="86"/>
      <c r="W21" s="1"/>
      <c r="X21" s="1"/>
      <c r="Y21" s="1"/>
      <c r="Z21" s="1"/>
    </row>
    <row r="22" spans="1:26" ht="22.5" customHeight="1" x14ac:dyDescent="0.25">
      <c r="A22" s="40" t="s">
        <v>32</v>
      </c>
      <c r="B22" s="41" t="s">
        <v>33</v>
      </c>
      <c r="C22" s="40" t="s">
        <v>18</v>
      </c>
      <c r="D22" s="17"/>
      <c r="E22" s="17">
        <f>5.33+3.32</f>
        <v>8.65</v>
      </c>
      <c r="F22" s="31"/>
      <c r="G22" s="17">
        <v>0</v>
      </c>
      <c r="H22" s="17">
        <f t="shared" si="1"/>
        <v>0</v>
      </c>
      <c r="I22" s="31"/>
      <c r="J22" s="53"/>
      <c r="K22" s="53"/>
      <c r="L22" s="53"/>
      <c r="M22" s="53"/>
      <c r="N22" s="61"/>
      <c r="O22" s="152"/>
      <c r="P22" s="152"/>
      <c r="Q22" s="152"/>
      <c r="R22" s="152"/>
      <c r="S22" s="152"/>
      <c r="T22" s="152"/>
      <c r="U22" s="86"/>
      <c r="V22" s="86"/>
      <c r="W22" s="1"/>
      <c r="X22" s="1"/>
      <c r="Y22" s="1"/>
      <c r="Z22" s="1"/>
    </row>
    <row r="23" spans="1:26" ht="22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3"/>
      <c r="K23" s="53"/>
      <c r="L23" s="53"/>
      <c r="M23" s="53"/>
      <c r="N23" s="61"/>
      <c r="O23" s="152"/>
      <c r="P23" s="152"/>
      <c r="Q23" s="152"/>
      <c r="R23" s="152"/>
      <c r="S23" s="152"/>
      <c r="T23" s="152"/>
      <c r="U23" s="86"/>
      <c r="V23" s="86"/>
      <c r="W23" s="1"/>
      <c r="X23" s="1"/>
      <c r="Y23" s="1"/>
      <c r="Z23" s="1"/>
    </row>
    <row r="24" spans="1:26" ht="22.5" customHeight="1" x14ac:dyDescent="0.25">
      <c r="A24" s="40"/>
      <c r="B24" s="27" t="s">
        <v>27</v>
      </c>
      <c r="C24" s="30" t="s">
        <v>21</v>
      </c>
      <c r="D24" s="31">
        <f t="shared" ref="D24:G24" si="11">D22*D23/10</f>
        <v>0</v>
      </c>
      <c r="E24" s="31">
        <f t="shared" si="11"/>
        <v>33.164100000000005</v>
      </c>
      <c r="F24" s="31">
        <f t="shared" si="11"/>
        <v>0</v>
      </c>
      <c r="G24" s="31">
        <f t="shared" si="11"/>
        <v>0</v>
      </c>
      <c r="H24" s="17">
        <f t="shared" si="1"/>
        <v>0</v>
      </c>
      <c r="I24" s="31"/>
      <c r="J24" s="53"/>
      <c r="K24" s="53"/>
      <c r="L24" s="53"/>
      <c r="M24" s="53"/>
      <c r="N24" s="61"/>
      <c r="O24" s="152"/>
      <c r="P24" s="152"/>
      <c r="Q24" s="152"/>
      <c r="R24" s="152"/>
      <c r="S24" s="152"/>
      <c r="T24" s="152"/>
      <c r="U24" s="86"/>
      <c r="V24" s="86"/>
      <c r="W24" s="1"/>
      <c r="X24" s="1"/>
      <c r="Y24" s="1"/>
      <c r="Z24" s="1"/>
    </row>
    <row r="25" spans="1:26" ht="22.5" customHeight="1" x14ac:dyDescent="0.25">
      <c r="A25" s="40" t="s">
        <v>32</v>
      </c>
      <c r="B25" s="41" t="s">
        <v>34</v>
      </c>
      <c r="C25" s="40" t="s">
        <v>18</v>
      </c>
      <c r="D25" s="17"/>
      <c r="E25" s="31"/>
      <c r="F25" s="31"/>
      <c r="G25" s="31">
        <v>0</v>
      </c>
      <c r="H25" s="17"/>
      <c r="I25" s="31"/>
      <c r="J25" s="53"/>
      <c r="K25" s="53"/>
      <c r="L25" s="53"/>
      <c r="M25" s="53"/>
      <c r="N25" s="53"/>
      <c r="O25" s="33"/>
      <c r="P25" s="33"/>
      <c r="Q25" s="153"/>
      <c r="R25" s="153"/>
      <c r="S25" s="153"/>
      <c r="T25" s="153"/>
      <c r="U25" s="1"/>
      <c r="V25" s="1"/>
      <c r="W25" s="1"/>
      <c r="X25" s="1"/>
      <c r="Y25" s="1"/>
      <c r="Z25" s="1"/>
    </row>
    <row r="26" spans="1:26" ht="22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/>
      <c r="G26" s="31"/>
      <c r="H26" s="31"/>
      <c r="I26" s="31"/>
      <c r="J26" s="53"/>
      <c r="K26" s="53"/>
      <c r="L26" s="53"/>
      <c r="M26" s="53"/>
      <c r="N26" s="53"/>
      <c r="O26" s="33"/>
      <c r="P26" s="33"/>
      <c r="Q26" s="153"/>
      <c r="R26" s="153"/>
      <c r="S26" s="153"/>
      <c r="T26" s="153"/>
      <c r="U26" s="1"/>
      <c r="V26" s="1"/>
      <c r="W26" s="1"/>
      <c r="X26" s="1"/>
      <c r="Y26" s="1"/>
      <c r="Z26" s="1"/>
    </row>
    <row r="27" spans="1:26" ht="22.5" customHeight="1" x14ac:dyDescent="0.25">
      <c r="A27" s="40"/>
      <c r="B27" s="27" t="s">
        <v>27</v>
      </c>
      <c r="C27" s="30" t="s">
        <v>21</v>
      </c>
      <c r="D27" s="17">
        <f t="shared" ref="D27:E27" si="12">D25*D26/10</f>
        <v>0</v>
      </c>
      <c r="E27" s="17">
        <f t="shared" si="12"/>
        <v>0</v>
      </c>
      <c r="F27" s="31"/>
      <c r="G27" s="31"/>
      <c r="H27" s="31"/>
      <c r="I27" s="17"/>
      <c r="J27" s="53"/>
      <c r="K27" s="53"/>
      <c r="L27" s="53"/>
      <c r="M27" s="53"/>
      <c r="N27" s="53"/>
      <c r="O27" s="33"/>
      <c r="P27" s="33"/>
      <c r="Q27" s="153"/>
      <c r="R27" s="153"/>
      <c r="S27" s="153"/>
      <c r="T27" s="153"/>
      <c r="U27" s="1"/>
      <c r="V27" s="1"/>
      <c r="W27" s="1"/>
      <c r="X27" s="1"/>
      <c r="Y27" s="1"/>
      <c r="Z27" s="1"/>
    </row>
    <row r="28" spans="1:26" ht="22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17">
        <f t="shared" ref="H28:H30" si="14">F28/E28*100</f>
        <v>100</v>
      </c>
      <c r="I28" s="17"/>
      <c r="J28" s="154"/>
      <c r="K28" s="154"/>
      <c r="L28" s="154"/>
      <c r="M28" s="154"/>
      <c r="N28" s="154"/>
      <c r="O28" s="153"/>
      <c r="P28" s="153"/>
      <c r="Q28" s="153"/>
      <c r="R28" s="153"/>
      <c r="S28" s="153"/>
      <c r="T28" s="153"/>
      <c r="U28" s="1"/>
      <c r="V28" s="1"/>
      <c r="W28" s="1"/>
      <c r="X28" s="1"/>
      <c r="Y28" s="1"/>
      <c r="Z28" s="1"/>
    </row>
    <row r="29" spans="1:26" ht="22.5" customHeight="1" x14ac:dyDescent="0.25">
      <c r="A29" s="15"/>
      <c r="B29" s="27" t="s">
        <v>25</v>
      </c>
      <c r="C29" s="30" t="s">
        <v>26</v>
      </c>
      <c r="D29" s="31">
        <f t="shared" ref="D29:E29" si="15">D30/D28*10</f>
        <v>36.85</v>
      </c>
      <c r="E29" s="31">
        <f t="shared" si="15"/>
        <v>36.9</v>
      </c>
      <c r="F29" s="31"/>
      <c r="G29" s="31">
        <f>G30/G28*10</f>
        <v>0</v>
      </c>
      <c r="H29" s="31">
        <f t="shared" si="14"/>
        <v>0</v>
      </c>
      <c r="I29" s="31"/>
      <c r="J29" s="154"/>
      <c r="K29" s="154"/>
      <c r="L29" s="154"/>
      <c r="M29" s="154"/>
      <c r="N29" s="154"/>
      <c r="O29" s="153"/>
      <c r="P29" s="153"/>
      <c r="Q29" s="153"/>
      <c r="R29" s="153"/>
      <c r="S29" s="153"/>
      <c r="T29" s="153"/>
      <c r="U29" s="1"/>
      <c r="V29" s="1"/>
      <c r="W29" s="1"/>
      <c r="X29" s="1"/>
      <c r="Y29" s="1"/>
      <c r="Z29" s="1"/>
    </row>
    <row r="30" spans="1:26" ht="22.5" customHeight="1" x14ac:dyDescent="0.25">
      <c r="A30" s="15"/>
      <c r="B30" s="27" t="s">
        <v>27</v>
      </c>
      <c r="C30" s="30" t="s">
        <v>21</v>
      </c>
      <c r="D30" s="31">
        <f t="shared" ref="D30:G30" si="16">D33+D36</f>
        <v>3.6850000000000001</v>
      </c>
      <c r="E30" s="31">
        <f t="shared" si="16"/>
        <v>3.69</v>
      </c>
      <c r="F30" s="31">
        <f t="shared" si="16"/>
        <v>0</v>
      </c>
      <c r="G30" s="31">
        <f t="shared" si="16"/>
        <v>0</v>
      </c>
      <c r="H30" s="31">
        <f t="shared" si="14"/>
        <v>0</v>
      </c>
      <c r="I30" s="31"/>
      <c r="J30" s="154"/>
      <c r="K30" s="154"/>
      <c r="L30" s="154"/>
      <c r="M30" s="154"/>
      <c r="N30" s="154"/>
      <c r="O30" s="153"/>
      <c r="P30" s="153"/>
      <c r="Q30" s="153"/>
      <c r="R30" s="153"/>
      <c r="S30" s="153"/>
      <c r="T30" s="153"/>
      <c r="U30" s="1"/>
      <c r="V30" s="1"/>
      <c r="W30" s="1"/>
      <c r="X30" s="1"/>
      <c r="Y30" s="1"/>
      <c r="Z30" s="1"/>
    </row>
    <row r="31" spans="1:26" ht="22.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7"/>
      <c r="I31" s="17"/>
      <c r="J31" s="154"/>
      <c r="K31" s="154"/>
      <c r="L31" s="154"/>
      <c r="M31" s="154"/>
      <c r="N31" s="154"/>
      <c r="O31" s="153"/>
      <c r="P31" s="153"/>
      <c r="Q31" s="153"/>
      <c r="R31" s="153"/>
      <c r="S31" s="153"/>
      <c r="T31" s="153"/>
      <c r="U31" s="1"/>
      <c r="V31" s="1"/>
      <c r="W31" s="1"/>
      <c r="X31" s="1"/>
      <c r="Y31" s="1"/>
      <c r="Z31" s="1"/>
    </row>
    <row r="32" spans="1:26" ht="22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31"/>
      <c r="H32" s="31"/>
      <c r="I32" s="17"/>
      <c r="J32" s="154"/>
      <c r="K32" s="154"/>
      <c r="L32" s="154"/>
      <c r="M32" s="154"/>
      <c r="N32" s="154"/>
      <c r="O32" s="153"/>
      <c r="P32" s="153"/>
      <c r="Q32" s="153"/>
      <c r="R32" s="153"/>
      <c r="S32" s="153"/>
      <c r="T32" s="153"/>
      <c r="U32" s="1"/>
      <c r="V32" s="1"/>
      <c r="W32" s="1"/>
      <c r="X32" s="1"/>
      <c r="Y32" s="1"/>
      <c r="Z32" s="1"/>
    </row>
    <row r="33" spans="1:26" ht="22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31"/>
      <c r="H33" s="31"/>
      <c r="I33" s="17"/>
      <c r="J33" s="154"/>
      <c r="K33" s="154"/>
      <c r="L33" s="154"/>
      <c r="M33" s="154"/>
      <c r="N33" s="154"/>
      <c r="O33" s="153"/>
      <c r="P33" s="153"/>
      <c r="Q33" s="153"/>
      <c r="R33" s="153"/>
      <c r="S33" s="153"/>
      <c r="T33" s="153"/>
      <c r="U33" s="1"/>
      <c r="V33" s="1"/>
      <c r="W33" s="1"/>
      <c r="X33" s="1"/>
      <c r="Y33" s="1"/>
      <c r="Z33" s="1"/>
    </row>
    <row r="34" spans="1:26" ht="22.5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7">
        <f t="shared" ref="H34:H39" si="17">F34/E34*100</f>
        <v>100</v>
      </c>
      <c r="I34" s="31"/>
      <c r="J34" s="126"/>
      <c r="K34" s="126"/>
      <c r="L34" s="126"/>
      <c r="M34" s="126"/>
      <c r="N34" s="126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7"/>
        <v>0</v>
      </c>
      <c r="I35" s="31"/>
      <c r="J35" s="126"/>
      <c r="K35" s="155"/>
      <c r="L35" s="155"/>
      <c r="M35" s="155"/>
      <c r="N35" s="155"/>
      <c r="O35" s="155"/>
      <c r="P35" s="86"/>
      <c r="Q35" s="86"/>
      <c r="R35" s="86"/>
      <c r="S35" s="1"/>
      <c r="T35" s="1"/>
      <c r="U35" s="1"/>
      <c r="V35" s="1"/>
      <c r="W35" s="1"/>
      <c r="X35" s="1"/>
      <c r="Y35" s="1"/>
      <c r="Z35" s="1"/>
    </row>
    <row r="36" spans="1:26" ht="22.5" customHeight="1" x14ac:dyDescent="0.25">
      <c r="A36" s="40"/>
      <c r="B36" s="27" t="s">
        <v>27</v>
      </c>
      <c r="C36" s="30" t="s">
        <v>21</v>
      </c>
      <c r="D36" s="31">
        <f t="shared" ref="D36:G36" si="18">D34*D35/10</f>
        <v>3.6850000000000001</v>
      </c>
      <c r="E36" s="31">
        <f t="shared" si="18"/>
        <v>3.69</v>
      </c>
      <c r="F36" s="31">
        <f t="shared" si="18"/>
        <v>0</v>
      </c>
      <c r="G36" s="31">
        <f t="shared" si="18"/>
        <v>0</v>
      </c>
      <c r="H36" s="17">
        <f t="shared" si="17"/>
        <v>0</v>
      </c>
      <c r="I36" s="31"/>
      <c r="J36" s="126"/>
      <c r="K36" s="44"/>
      <c r="L36" s="44"/>
      <c r="M36" s="44"/>
      <c r="N36" s="44"/>
      <c r="O36" s="44"/>
      <c r="P36" s="86"/>
      <c r="Q36" s="86"/>
      <c r="R36" s="86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25">
      <c r="A37" s="15">
        <v>2</v>
      </c>
      <c r="B37" s="16" t="s">
        <v>39</v>
      </c>
      <c r="C37" s="15" t="s">
        <v>18</v>
      </c>
      <c r="D37" s="17"/>
      <c r="E37" s="17">
        <v>6.34</v>
      </c>
      <c r="F37" s="17">
        <v>6.4</v>
      </c>
      <c r="G37" s="17">
        <v>6.4</v>
      </c>
      <c r="H37" s="17">
        <f t="shared" si="17"/>
        <v>100.94637223974765</v>
      </c>
      <c r="I37" s="31"/>
      <c r="J37" s="53"/>
      <c r="K37" s="156"/>
      <c r="L37" s="156"/>
      <c r="M37" s="53"/>
      <c r="N37" s="53"/>
      <c r="O37" s="53"/>
      <c r="P37" s="33"/>
      <c r="Q37" s="33"/>
      <c r="R37" s="33"/>
      <c r="S37" s="33"/>
      <c r="T37" s="33"/>
      <c r="U37" s="33"/>
      <c r="V37" s="1"/>
      <c r="W37" s="1"/>
      <c r="X37" s="1"/>
      <c r="Y37" s="1"/>
      <c r="Z37" s="1"/>
    </row>
    <row r="38" spans="1:26" ht="22.5" customHeight="1" x14ac:dyDescent="0.25">
      <c r="A38" s="15"/>
      <c r="B38" s="27" t="s">
        <v>25</v>
      </c>
      <c r="C38" s="30" t="s">
        <v>26</v>
      </c>
      <c r="D38" s="17"/>
      <c r="E38" s="31">
        <v>140</v>
      </c>
      <c r="F38" s="31"/>
      <c r="G38" s="31"/>
      <c r="H38" s="17">
        <f t="shared" si="17"/>
        <v>0</v>
      </c>
      <c r="I38" s="31"/>
      <c r="J38" s="53"/>
      <c r="K38" s="53"/>
      <c r="L38" s="53"/>
      <c r="M38" s="53"/>
      <c r="N38" s="53"/>
      <c r="O38" s="53"/>
      <c r="P38" s="33"/>
      <c r="Q38" s="33"/>
      <c r="R38" s="33"/>
      <c r="S38" s="33"/>
      <c r="T38" s="33"/>
      <c r="U38" s="33"/>
      <c r="V38" s="1"/>
      <c r="W38" s="1"/>
      <c r="X38" s="1"/>
      <c r="Y38" s="1"/>
      <c r="Z38" s="1"/>
    </row>
    <row r="39" spans="1:26" ht="22.5" customHeight="1" x14ac:dyDescent="0.25">
      <c r="A39" s="9"/>
      <c r="B39" s="47" t="s">
        <v>27</v>
      </c>
      <c r="C39" s="48" t="s">
        <v>21</v>
      </c>
      <c r="D39" s="157"/>
      <c r="E39" s="49">
        <f t="shared" ref="E39:G39" si="19">E37*E38/10</f>
        <v>88.76</v>
      </c>
      <c r="F39" s="49">
        <f t="shared" si="19"/>
        <v>0</v>
      </c>
      <c r="G39" s="49">
        <f t="shared" si="19"/>
        <v>0</v>
      </c>
      <c r="H39" s="17">
        <f t="shared" si="17"/>
        <v>0</v>
      </c>
      <c r="I39" s="31"/>
      <c r="J39" s="53"/>
      <c r="K39" s="53"/>
      <c r="L39" s="53"/>
      <c r="M39" s="53"/>
      <c r="N39" s="53"/>
      <c r="O39" s="53"/>
      <c r="P39" s="33"/>
      <c r="Q39" s="33"/>
      <c r="R39" s="33"/>
      <c r="S39" s="33"/>
      <c r="T39" s="33"/>
      <c r="U39" s="33"/>
      <c r="V39" s="1"/>
      <c r="W39" s="1"/>
      <c r="X39" s="1"/>
      <c r="Y39" s="1"/>
      <c r="Z39" s="1"/>
    </row>
    <row r="40" spans="1:26" ht="22.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</v>
      </c>
      <c r="F40" s="17">
        <v>0</v>
      </c>
      <c r="G40" s="17">
        <v>0</v>
      </c>
      <c r="H40" s="17"/>
      <c r="I40" s="31"/>
      <c r="J40" s="53"/>
      <c r="K40" s="53"/>
      <c r="L40" s="53"/>
      <c r="M40" s="53"/>
      <c r="N40" s="53"/>
      <c r="O40" s="53"/>
      <c r="P40" s="33"/>
      <c r="Q40" s="33"/>
      <c r="R40" s="33"/>
      <c r="S40" s="33"/>
      <c r="T40" s="33"/>
      <c r="U40" s="33"/>
      <c r="V40" s="1"/>
      <c r="W40" s="1"/>
      <c r="X40" s="1"/>
      <c r="Y40" s="1"/>
      <c r="Z40" s="1"/>
    </row>
    <row r="41" spans="1:26" ht="22.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31"/>
      <c r="G41" s="31"/>
      <c r="H41" s="17">
        <f>F41/E41*100</f>
        <v>0</v>
      </c>
      <c r="I41" s="31"/>
      <c r="J41" s="53"/>
      <c r="K41" s="53"/>
      <c r="L41" s="53"/>
      <c r="M41" s="53"/>
      <c r="N41" s="53"/>
      <c r="O41" s="53"/>
      <c r="P41" s="33"/>
      <c r="Q41" s="33"/>
      <c r="R41" s="33"/>
      <c r="S41" s="33"/>
      <c r="T41" s="33"/>
      <c r="U41" s="33"/>
      <c r="V41" s="1"/>
      <c r="W41" s="1"/>
      <c r="X41" s="1"/>
      <c r="Y41" s="1"/>
      <c r="Z41" s="1"/>
    </row>
    <row r="42" spans="1:26" ht="22.5" customHeight="1" x14ac:dyDescent="0.25">
      <c r="A42" s="15"/>
      <c r="B42" s="47" t="s">
        <v>27</v>
      </c>
      <c r="C42" s="48" t="s">
        <v>21</v>
      </c>
      <c r="D42" s="31"/>
      <c r="E42" s="31">
        <f t="shared" ref="E42:G42" si="20">E40*E41/10</f>
        <v>0</v>
      </c>
      <c r="F42" s="31">
        <f t="shared" si="20"/>
        <v>0</v>
      </c>
      <c r="G42" s="31">
        <f t="shared" si="20"/>
        <v>0</v>
      </c>
      <c r="H42" s="17"/>
      <c r="I42" s="31"/>
      <c r="J42" s="53"/>
      <c r="K42" s="53"/>
      <c r="L42" s="53"/>
      <c r="M42" s="53"/>
      <c r="N42" s="53"/>
      <c r="O42" s="53"/>
      <c r="P42" s="33"/>
      <c r="Q42" s="33"/>
      <c r="R42" s="33"/>
      <c r="S42" s="33"/>
      <c r="T42" s="33"/>
      <c r="U42" s="33"/>
      <c r="V42" s="1"/>
      <c r="W42" s="1"/>
      <c r="X42" s="1"/>
      <c r="Y42" s="1"/>
      <c r="Z42" s="1"/>
    </row>
    <row r="43" spans="1:26" ht="22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0.27300000000000002</v>
      </c>
      <c r="G43" s="17">
        <f>F43</f>
        <v>0.27300000000000002</v>
      </c>
      <c r="H43" s="17">
        <f t="shared" ref="H43:H50" si="21">F43/E43*100</f>
        <v>54.6</v>
      </c>
      <c r="I43" s="17"/>
      <c r="J43" s="126"/>
      <c r="K43" s="79"/>
      <c r="L43" s="79"/>
      <c r="M43" s="79"/>
      <c r="N43" s="79"/>
      <c r="O43" s="7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21"/>
        <v>0</v>
      </c>
      <c r="I44" s="31"/>
      <c r="J44" s="126"/>
      <c r="K44" s="158"/>
      <c r="L44" s="126"/>
      <c r="M44" s="126"/>
      <c r="N44" s="12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2.5" customHeight="1" x14ac:dyDescent="0.25">
      <c r="A45" s="30"/>
      <c r="B45" s="47" t="s">
        <v>27</v>
      </c>
      <c r="C45" s="48" t="s">
        <v>21</v>
      </c>
      <c r="D45" s="31">
        <f t="shared" ref="D45:G45" si="22">D43*D44/10</f>
        <v>5</v>
      </c>
      <c r="E45" s="31">
        <f t="shared" si="22"/>
        <v>4.9249999999999998</v>
      </c>
      <c r="F45" s="31">
        <f t="shared" si="22"/>
        <v>0</v>
      </c>
      <c r="G45" s="31">
        <f t="shared" si="22"/>
        <v>0</v>
      </c>
      <c r="H45" s="17">
        <f t="shared" si="21"/>
        <v>0</v>
      </c>
      <c r="I45" s="31"/>
      <c r="J45" s="126"/>
      <c r="K45" s="126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2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3">D47+D55+D64</f>
        <v>29.52</v>
      </c>
      <c r="E46" s="17">
        <f t="shared" si="23"/>
        <v>35.519999999999996</v>
      </c>
      <c r="F46" s="17">
        <f t="shared" si="23"/>
        <v>30.02</v>
      </c>
      <c r="G46" s="17">
        <f t="shared" si="23"/>
        <v>29.82</v>
      </c>
      <c r="H46" s="17">
        <f t="shared" si="21"/>
        <v>84.515765765765778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2.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4">D48+D49</f>
        <v>25.02</v>
      </c>
      <c r="E47" s="17">
        <f t="shared" si="24"/>
        <v>30.02</v>
      </c>
      <c r="F47" s="17">
        <f t="shared" si="24"/>
        <v>25.22</v>
      </c>
      <c r="G47" s="17">
        <f t="shared" si="24"/>
        <v>25.02</v>
      </c>
      <c r="H47" s="17">
        <f t="shared" si="21"/>
        <v>84.010659560293135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2.5" customHeight="1" x14ac:dyDescent="0.25">
      <c r="A48" s="57" t="s">
        <v>32</v>
      </c>
      <c r="B48" s="58" t="s">
        <v>45</v>
      </c>
      <c r="C48" s="59" t="s">
        <v>18</v>
      </c>
      <c r="D48" s="31">
        <v>18</v>
      </c>
      <c r="E48" s="31">
        <f>D48+D49</f>
        <v>25.02</v>
      </c>
      <c r="F48" s="31">
        <v>25.02</v>
      </c>
      <c r="G48" s="31">
        <v>25.02</v>
      </c>
      <c r="H48" s="17">
        <f t="shared" si="21"/>
        <v>100</v>
      </c>
      <c r="I48" s="31"/>
      <c r="J48" s="53"/>
      <c r="K48" s="53"/>
      <c r="L48" s="53"/>
      <c r="M48" s="53"/>
      <c r="N48" s="53"/>
      <c r="O48" s="33"/>
      <c r="P48" s="33"/>
      <c r="Q48" s="33"/>
      <c r="R48" s="33"/>
      <c r="S48" s="1"/>
      <c r="T48" s="1"/>
      <c r="U48" s="1"/>
      <c r="V48" s="1"/>
      <c r="W48" s="1"/>
      <c r="X48" s="1"/>
      <c r="Y48" s="1"/>
      <c r="Z48" s="1"/>
    </row>
    <row r="49" spans="1:26" ht="22.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5">D50+D51</f>
        <v>7.02</v>
      </c>
      <c r="E49" s="17">
        <f t="shared" si="25"/>
        <v>5</v>
      </c>
      <c r="F49" s="17">
        <f t="shared" si="25"/>
        <v>0.2</v>
      </c>
      <c r="G49" s="17">
        <f t="shared" si="25"/>
        <v>0</v>
      </c>
      <c r="H49" s="17">
        <f t="shared" si="21"/>
        <v>4</v>
      </c>
      <c r="I49" s="17"/>
      <c r="J49" s="133"/>
      <c r="K49" s="156"/>
      <c r="L49" s="156"/>
      <c r="M49" s="151"/>
      <c r="N49" s="151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2.5" customHeight="1" x14ac:dyDescent="0.25">
      <c r="A50" s="59" t="s">
        <v>47</v>
      </c>
      <c r="B50" s="64" t="s">
        <v>48</v>
      </c>
      <c r="C50" s="59" t="s">
        <v>18</v>
      </c>
      <c r="D50" s="31">
        <v>5.54</v>
      </c>
      <c r="E50" s="31">
        <f>8-3</f>
        <v>5</v>
      </c>
      <c r="F50" s="31">
        <v>0.2</v>
      </c>
      <c r="G50" s="31">
        <v>0</v>
      </c>
      <c r="H50" s="31">
        <f t="shared" si="21"/>
        <v>4</v>
      </c>
      <c r="I50" s="31"/>
      <c r="J50" s="35"/>
      <c r="K50" s="53"/>
      <c r="L50" s="126"/>
      <c r="M50" s="126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2.5" customHeight="1" x14ac:dyDescent="0.25">
      <c r="A51" s="59" t="s">
        <v>47</v>
      </c>
      <c r="B51" s="64" t="s">
        <v>49</v>
      </c>
      <c r="C51" s="30" t="s">
        <v>18</v>
      </c>
      <c r="D51" s="31">
        <v>1.48</v>
      </c>
      <c r="E51" s="31"/>
      <c r="F51" s="31"/>
      <c r="G51" s="31"/>
      <c r="H51" s="31"/>
      <c r="I51" s="31"/>
      <c r="J51" s="126"/>
      <c r="K51" s="126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2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6">D53+D54</f>
        <v>13.7</v>
      </c>
      <c r="E52" s="17">
        <f t="shared" si="26"/>
        <v>15.299999999999999</v>
      </c>
      <c r="F52" s="17">
        <f t="shared" si="26"/>
        <v>15.3</v>
      </c>
      <c r="G52" s="17">
        <f t="shared" si="26"/>
        <v>15.3</v>
      </c>
      <c r="H52" s="17">
        <f t="shared" ref="H52:H53" si="27">F52/E52*100</f>
        <v>100.00000000000003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2.5" customHeight="1" x14ac:dyDescent="0.25">
      <c r="A53" s="66" t="s">
        <v>47</v>
      </c>
      <c r="B53" s="64" t="s">
        <v>51</v>
      </c>
      <c r="C53" s="30" t="s">
        <v>18</v>
      </c>
      <c r="D53" s="31">
        <v>11.7</v>
      </c>
      <c r="E53" s="31">
        <f>D48*85%</f>
        <v>15.299999999999999</v>
      </c>
      <c r="F53" s="31">
        <v>15.3</v>
      </c>
      <c r="G53" s="31">
        <v>15.3</v>
      </c>
      <c r="H53" s="31">
        <f t="shared" si="27"/>
        <v>100.00000000000003</v>
      </c>
      <c r="I53" s="31"/>
      <c r="J53" s="126"/>
      <c r="K53" s="126"/>
      <c r="L53" s="126"/>
      <c r="M53" s="135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2.5" customHeight="1" x14ac:dyDescent="0.25">
      <c r="A54" s="30"/>
      <c r="B54" s="64" t="s">
        <v>52</v>
      </c>
      <c r="C54" s="30" t="s">
        <v>18</v>
      </c>
      <c r="D54" s="31">
        <v>2</v>
      </c>
      <c r="E54" s="31"/>
      <c r="F54" s="31"/>
      <c r="G54" s="31"/>
      <c r="H54" s="31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2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8">D56+D57</f>
        <v>4.5</v>
      </c>
      <c r="E55" s="17">
        <f t="shared" si="28"/>
        <v>5.5</v>
      </c>
      <c r="F55" s="17">
        <f t="shared" si="28"/>
        <v>4.8</v>
      </c>
      <c r="G55" s="17">
        <f t="shared" si="28"/>
        <v>4.8</v>
      </c>
      <c r="H55" s="17">
        <f t="shared" ref="H55:H63" si="29">F55/E55*100</f>
        <v>87.272727272727266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2.5" customHeight="1" x14ac:dyDescent="0.25">
      <c r="A56" s="30" t="s">
        <v>32</v>
      </c>
      <c r="B56" s="58" t="s">
        <v>50</v>
      </c>
      <c r="C56" s="30" t="s">
        <v>18</v>
      </c>
      <c r="D56" s="31">
        <v>4.5</v>
      </c>
      <c r="E56" s="31">
        <f>D56+E58</f>
        <v>4.8</v>
      </c>
      <c r="F56" s="31">
        <f>4.8</f>
        <v>4.8</v>
      </c>
      <c r="G56" s="31">
        <v>4.8</v>
      </c>
      <c r="H56" s="31">
        <f t="shared" si="29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2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30">D58+D61</f>
        <v>0</v>
      </c>
      <c r="E57" s="31">
        <f t="shared" si="30"/>
        <v>0.70000000000000007</v>
      </c>
      <c r="F57" s="31">
        <f t="shared" si="30"/>
        <v>0</v>
      </c>
      <c r="G57" s="31">
        <f t="shared" si="30"/>
        <v>0</v>
      </c>
      <c r="H57" s="17">
        <f t="shared" si="29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2.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31">D59+D60</f>
        <v>0</v>
      </c>
      <c r="E58" s="71">
        <f t="shared" si="31"/>
        <v>0.30000000000000004</v>
      </c>
      <c r="F58" s="71">
        <f t="shared" si="31"/>
        <v>0</v>
      </c>
      <c r="G58" s="71">
        <f t="shared" si="31"/>
        <v>0</v>
      </c>
      <c r="H58" s="17">
        <f t="shared" si="29"/>
        <v>0</v>
      </c>
      <c r="I58" s="71"/>
      <c r="J58" s="138"/>
      <c r="K58" s="97"/>
      <c r="L58" s="97"/>
      <c r="M58" s="97"/>
      <c r="N58" s="97"/>
      <c r="O58" s="97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1.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7">
        <f t="shared" si="29"/>
        <v>0</v>
      </c>
      <c r="I59" s="31"/>
      <c r="J59" s="35"/>
      <c r="K59" s="137"/>
      <c r="L59" s="137"/>
      <c r="M59" s="137"/>
      <c r="N59" s="137"/>
      <c r="O59" s="13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7">
        <f t="shared" si="29"/>
        <v>0</v>
      </c>
      <c r="I60" s="31"/>
      <c r="J60" s="35"/>
      <c r="K60" s="137"/>
      <c r="L60" s="137"/>
      <c r="M60" s="137"/>
      <c r="N60" s="137"/>
      <c r="O60" s="13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2">D62+D63</f>
        <v>0</v>
      </c>
      <c r="E61" s="71">
        <f t="shared" si="32"/>
        <v>0.4</v>
      </c>
      <c r="F61" s="71">
        <f t="shared" si="32"/>
        <v>0</v>
      </c>
      <c r="G61" s="71">
        <f t="shared" si="32"/>
        <v>0</v>
      </c>
      <c r="H61" s="17">
        <f t="shared" si="29"/>
        <v>0</v>
      </c>
      <c r="I61" s="71"/>
      <c r="J61" s="35"/>
      <c r="K61" s="97"/>
      <c r="L61" s="97"/>
      <c r="M61" s="138"/>
      <c r="N61" s="138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1.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0.3</v>
      </c>
      <c r="F62" s="31">
        <v>0</v>
      </c>
      <c r="G62" s="31">
        <v>0</v>
      </c>
      <c r="H62" s="31">
        <f t="shared" si="29"/>
        <v>0</v>
      </c>
      <c r="I62" s="31"/>
      <c r="J62" s="35"/>
      <c r="K62" s="137"/>
      <c r="L62" s="137"/>
      <c r="M62" s="137"/>
      <c r="N62" s="137"/>
      <c r="O62" s="13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31">
        <f t="shared" si="29"/>
        <v>0</v>
      </c>
      <c r="I63" s="31"/>
      <c r="J63" s="35"/>
      <c r="K63" s="137"/>
      <c r="L63" s="137"/>
      <c r="M63" s="137"/>
      <c r="N63" s="137"/>
      <c r="O63" s="13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3">D65+D66</f>
        <v>0</v>
      </c>
      <c r="E64" s="17">
        <f t="shared" si="33"/>
        <v>0</v>
      </c>
      <c r="F64" s="17">
        <f t="shared" si="33"/>
        <v>0</v>
      </c>
      <c r="G64" s="17">
        <f t="shared" si="33"/>
        <v>0</v>
      </c>
      <c r="H64" s="17"/>
      <c r="I64" s="17"/>
      <c r="J64" s="28"/>
      <c r="K64" s="28"/>
      <c r="L64" s="28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58" t="s">
        <v>45</v>
      </c>
      <c r="C65" s="30" t="s">
        <v>18</v>
      </c>
      <c r="D65" s="31"/>
      <c r="E65" s="31"/>
      <c r="F65" s="31"/>
      <c r="G65" s="31"/>
      <c r="H65" s="31"/>
      <c r="I65" s="31"/>
      <c r="J65" s="28"/>
      <c r="K65" s="28"/>
      <c r="L65" s="28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31"/>
      <c r="I66" s="31"/>
      <c r="J66" s="28"/>
      <c r="K66" s="28"/>
      <c r="L66" s="28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4">D68+D71</f>
        <v>14.57</v>
      </c>
      <c r="E67" s="17">
        <f t="shared" si="34"/>
        <v>11.129999999999999</v>
      </c>
      <c r="F67" s="17">
        <f t="shared" si="34"/>
        <v>11.02</v>
      </c>
      <c r="G67" s="17">
        <f t="shared" si="34"/>
        <v>11.02</v>
      </c>
      <c r="H67" s="17">
        <f>F67/E67*100</f>
        <v>99.011680143755626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5">D69+D70</f>
        <v>0</v>
      </c>
      <c r="E68" s="17">
        <f t="shared" si="35"/>
        <v>0</v>
      </c>
      <c r="F68" s="17">
        <f t="shared" si="35"/>
        <v>0</v>
      </c>
      <c r="G68" s="17">
        <f t="shared" si="35"/>
        <v>0</v>
      </c>
      <c r="H68" s="17"/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58" t="s">
        <v>69</v>
      </c>
      <c r="C69" s="30" t="s">
        <v>18</v>
      </c>
      <c r="D69" s="31"/>
      <c r="E69" s="31"/>
      <c r="F69" s="31"/>
      <c r="G69" s="31"/>
      <c r="H69" s="31"/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58" t="s">
        <v>70</v>
      </c>
      <c r="C70" s="30" t="s">
        <v>18</v>
      </c>
      <c r="D70" s="31"/>
      <c r="E70" s="31"/>
      <c r="F70" s="31"/>
      <c r="G70" s="31"/>
      <c r="H70" s="31"/>
      <c r="I70" s="31"/>
      <c r="J70" s="126"/>
      <c r="K70" s="126"/>
      <c r="L70" s="126"/>
      <c r="M70" s="126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6">D72+D73</f>
        <v>14.57</v>
      </c>
      <c r="E71" s="17">
        <f t="shared" si="36"/>
        <v>11.129999999999999</v>
      </c>
      <c r="F71" s="17">
        <f t="shared" si="36"/>
        <v>11.02</v>
      </c>
      <c r="G71" s="17">
        <f t="shared" si="36"/>
        <v>11.02</v>
      </c>
      <c r="H71" s="17">
        <f t="shared" ref="H71:H75" si="37">F71/E71*100</f>
        <v>99.011680143755626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8">D75+D82</f>
        <v>13.07</v>
      </c>
      <c r="E72" s="87">
        <f t="shared" si="38"/>
        <v>11.02</v>
      </c>
      <c r="F72" s="87">
        <f t="shared" si="38"/>
        <v>11.02</v>
      </c>
      <c r="G72" s="87">
        <f t="shared" si="38"/>
        <v>11.02</v>
      </c>
      <c r="H72" s="17">
        <f t="shared" si="37"/>
        <v>100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9">D76+D83</f>
        <v>1.5</v>
      </c>
      <c r="E73" s="17">
        <f t="shared" si="39"/>
        <v>0.11</v>
      </c>
      <c r="F73" s="17">
        <f t="shared" si="39"/>
        <v>0</v>
      </c>
      <c r="G73" s="17">
        <f t="shared" si="39"/>
        <v>0</v>
      </c>
      <c r="H73" s="17">
        <f t="shared" si="37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40">D75+D76</f>
        <v>11.16</v>
      </c>
      <c r="E74" s="91">
        <f t="shared" si="40"/>
        <v>10.02</v>
      </c>
      <c r="F74" s="91">
        <f t="shared" si="40"/>
        <v>10.02</v>
      </c>
      <c r="G74" s="91">
        <f t="shared" si="40"/>
        <v>10.02</v>
      </c>
      <c r="H74" s="17">
        <f t="shared" si="37"/>
        <v>100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7" t="s">
        <v>32</v>
      </c>
      <c r="B75" s="93" t="s">
        <v>45</v>
      </c>
      <c r="C75" s="30" t="s">
        <v>18</v>
      </c>
      <c r="D75" s="60">
        <v>10.66</v>
      </c>
      <c r="E75" s="60">
        <f>11.16-1.14</f>
        <v>10.02</v>
      </c>
      <c r="F75" s="31">
        <v>10.02</v>
      </c>
      <c r="G75" s="31">
        <v>10.02</v>
      </c>
      <c r="H75" s="31">
        <f t="shared" si="37"/>
        <v>100</v>
      </c>
      <c r="I75" s="31"/>
      <c r="J75" s="126"/>
      <c r="K75" s="126"/>
      <c r="L75" s="28"/>
      <c r="M75" s="115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41">SUM(D77:D80)</f>
        <v>0.5</v>
      </c>
      <c r="E76" s="141">
        <f t="shared" si="41"/>
        <v>0</v>
      </c>
      <c r="F76" s="141">
        <f t="shared" si="41"/>
        <v>0</v>
      </c>
      <c r="G76" s="141">
        <f t="shared" si="41"/>
        <v>0</v>
      </c>
      <c r="H76" s="31"/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6" t="s">
        <v>47</v>
      </c>
      <c r="B77" s="94" t="s">
        <v>80</v>
      </c>
      <c r="C77" s="46" t="s">
        <v>18</v>
      </c>
      <c r="D77" s="31"/>
      <c r="E77" s="31"/>
      <c r="F77" s="31"/>
      <c r="G77" s="31"/>
      <c r="H77" s="31"/>
      <c r="I77" s="31"/>
      <c r="J77" s="138"/>
      <c r="K77" s="138"/>
      <c r="L77" s="97"/>
      <c r="M77" s="143"/>
      <c r="N77" s="143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6" t="s">
        <v>47</v>
      </c>
      <c r="B78" s="94" t="s">
        <v>81</v>
      </c>
      <c r="C78" s="46" t="s">
        <v>18</v>
      </c>
      <c r="D78" s="31">
        <v>0.5</v>
      </c>
      <c r="E78" s="31">
        <v>0</v>
      </c>
      <c r="F78" s="31"/>
      <c r="G78" s="31"/>
      <c r="H78" s="31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31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6" t="s">
        <v>47</v>
      </c>
      <c r="B80" s="94" t="s">
        <v>83</v>
      </c>
      <c r="C80" s="46" t="s">
        <v>18</v>
      </c>
      <c r="D80" s="31"/>
      <c r="E80" s="31"/>
      <c r="F80" s="31"/>
      <c r="G80" s="31"/>
      <c r="H80" s="31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2">D82+D83</f>
        <v>3.41</v>
      </c>
      <c r="E81" s="91">
        <f t="shared" si="42"/>
        <v>1.1100000000000001</v>
      </c>
      <c r="F81" s="91">
        <f t="shared" si="42"/>
        <v>1</v>
      </c>
      <c r="G81" s="91">
        <f t="shared" si="42"/>
        <v>1</v>
      </c>
      <c r="H81" s="96">
        <f t="shared" ref="H81:H83" si="43">F81/E81*100</f>
        <v>90.090090090090087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1.5" customHeight="1" x14ac:dyDescent="0.25">
      <c r="A82" s="107" t="s">
        <v>47</v>
      </c>
      <c r="B82" s="94" t="s">
        <v>85</v>
      </c>
      <c r="C82" s="46" t="s">
        <v>18</v>
      </c>
      <c r="D82" s="71">
        <v>2.41</v>
      </c>
      <c r="E82" s="71">
        <v>1</v>
      </c>
      <c r="F82" s="71">
        <v>1</v>
      </c>
      <c r="G82" s="71">
        <v>1</v>
      </c>
      <c r="H82" s="31">
        <f t="shared" si="43"/>
        <v>100</v>
      </c>
      <c r="I82" s="71"/>
      <c r="J82" s="138"/>
      <c r="K82" s="142"/>
      <c r="L82" s="159"/>
      <c r="M82" s="138"/>
      <c r="N82" s="138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1.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4">SUM(D84:D87)</f>
        <v>1</v>
      </c>
      <c r="E83" s="60">
        <f t="shared" si="44"/>
        <v>0.11</v>
      </c>
      <c r="F83" s="60">
        <f t="shared" si="44"/>
        <v>0</v>
      </c>
      <c r="G83" s="60">
        <f t="shared" si="44"/>
        <v>0</v>
      </c>
      <c r="H83" s="17">
        <f t="shared" si="43"/>
        <v>0</v>
      </c>
      <c r="I83" s="60"/>
      <c r="J83" s="138"/>
      <c r="K83" s="138"/>
      <c r="L83" s="138"/>
      <c r="M83" s="138"/>
      <c r="N83" s="13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7"/>
      <c r="I84" s="31"/>
      <c r="J84" s="97"/>
      <c r="K84" s="97"/>
      <c r="L84" s="97"/>
      <c r="M84" s="97"/>
      <c r="N84" s="9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7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7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07" t="s">
        <v>47</v>
      </c>
      <c r="B87" s="94" t="s">
        <v>89</v>
      </c>
      <c r="C87" s="46" t="s">
        <v>18</v>
      </c>
      <c r="D87" s="31">
        <v>1</v>
      </c>
      <c r="E87" s="31">
        <v>0.11</v>
      </c>
      <c r="F87" s="31">
        <v>0</v>
      </c>
      <c r="G87" s="31">
        <v>0</v>
      </c>
      <c r="H87" s="17">
        <f t="shared" ref="H87:H91" si="45">F87/E87*100</f>
        <v>0</v>
      </c>
      <c r="I87" s="31"/>
      <c r="J87" s="73"/>
      <c r="K87" s="97"/>
      <c r="L87" s="97"/>
      <c r="M87" s="143"/>
      <c r="N87" s="143"/>
      <c r="O87" s="38"/>
      <c r="P87" s="38"/>
      <c r="Q87" s="38"/>
      <c r="R87" s="45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6">SUM(D89:D93)</f>
        <v>286</v>
      </c>
      <c r="E88" s="17">
        <f t="shared" si="46"/>
        <v>257</v>
      </c>
      <c r="F88" s="17">
        <f t="shared" si="46"/>
        <v>233</v>
      </c>
      <c r="G88" s="17">
        <f t="shared" si="46"/>
        <v>233</v>
      </c>
      <c r="H88" s="17">
        <f t="shared" si="45"/>
        <v>90.661478599221795</v>
      </c>
      <c r="I88" s="17"/>
      <c r="J88" s="28"/>
      <c r="K88" s="28"/>
      <c r="L88" s="39"/>
      <c r="M88" s="39"/>
      <c r="N88" s="98"/>
      <c r="O88" s="98"/>
      <c r="P88" s="98"/>
      <c r="Q88" s="98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f>25+5</f>
        <v>30</v>
      </c>
      <c r="E89" s="31">
        <f>30+16</f>
        <v>46</v>
      </c>
      <c r="F89" s="31">
        <v>44</v>
      </c>
      <c r="G89" s="31">
        <f t="shared" ref="G89:G91" si="47">F89</f>
        <v>44</v>
      </c>
      <c r="H89" s="31">
        <f t="shared" si="45"/>
        <v>95.652173913043484</v>
      </c>
      <c r="I89" s="31"/>
      <c r="J89" s="55"/>
      <c r="K89" s="79"/>
      <c r="L89" s="78"/>
      <c r="M89" s="108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37</v>
      </c>
      <c r="E90" s="31">
        <f>21+3</f>
        <v>24</v>
      </c>
      <c r="F90" s="31">
        <v>22</v>
      </c>
      <c r="G90" s="31">
        <f t="shared" si="47"/>
        <v>22</v>
      </c>
      <c r="H90" s="31">
        <f t="shared" si="45"/>
        <v>91.666666666666657</v>
      </c>
      <c r="I90" s="31"/>
      <c r="J90" s="55"/>
      <c r="K90" s="79"/>
      <c r="L90" s="78"/>
      <c r="M90" s="108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f>29-5</f>
        <v>24</v>
      </c>
      <c r="E91" s="31">
        <f>24+7</f>
        <v>31</v>
      </c>
      <c r="F91" s="31">
        <v>27</v>
      </c>
      <c r="G91" s="31">
        <f t="shared" si="47"/>
        <v>27</v>
      </c>
      <c r="H91" s="31">
        <f t="shared" si="45"/>
        <v>87.096774193548384</v>
      </c>
      <c r="I91" s="31"/>
      <c r="J91" s="55"/>
      <c r="K91" s="79"/>
      <c r="L91" s="78"/>
      <c r="M91" s="108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1.5" customHeight="1" x14ac:dyDescent="0.25">
      <c r="A92" s="30">
        <v>4</v>
      </c>
      <c r="B92" s="27" t="s">
        <v>98</v>
      </c>
      <c r="C92" s="30" t="s">
        <v>93</v>
      </c>
      <c r="D92" s="31">
        <v>2</v>
      </c>
      <c r="E92" s="31"/>
      <c r="F92" s="31"/>
      <c r="G92" s="31"/>
      <c r="H92" s="17"/>
      <c r="I92" s="31"/>
      <c r="J92" s="28"/>
      <c r="K92" s="28"/>
      <c r="L92" s="112"/>
      <c r="M92" s="108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99</v>
      </c>
      <c r="C93" s="30" t="s">
        <v>93</v>
      </c>
      <c r="D93" s="31">
        <f>183+10</f>
        <v>193</v>
      </c>
      <c r="E93" s="31">
        <f>173-17</f>
        <v>156</v>
      </c>
      <c r="F93" s="31">
        <v>140</v>
      </c>
      <c r="G93" s="31">
        <f>F93</f>
        <v>140</v>
      </c>
      <c r="H93" s="31">
        <f>F93/E93*100</f>
        <v>89.743589743589752</v>
      </c>
      <c r="I93" s="31"/>
      <c r="J93" s="79"/>
      <c r="K93" s="79"/>
      <c r="L93" s="112"/>
      <c r="M93" s="108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1.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8">D95</f>
        <v>0</v>
      </c>
      <c r="E94" s="17">
        <f t="shared" si="48"/>
        <v>0</v>
      </c>
      <c r="F94" s="17">
        <f t="shared" si="48"/>
        <v>0</v>
      </c>
      <c r="G94" s="17">
        <f t="shared" si="48"/>
        <v>0</v>
      </c>
      <c r="H94" s="17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6" t="s">
        <v>47</v>
      </c>
      <c r="B95" s="76" t="s">
        <v>102</v>
      </c>
      <c r="C95" s="46" t="s">
        <v>18</v>
      </c>
      <c r="D95" s="31"/>
      <c r="E95" s="31"/>
      <c r="F95" s="31"/>
      <c r="G95" s="31"/>
      <c r="H95" s="17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9">D97+D98</f>
        <v>0</v>
      </c>
      <c r="E96" s="17">
        <f t="shared" si="49"/>
        <v>0.2</v>
      </c>
      <c r="F96" s="17">
        <f t="shared" si="49"/>
        <v>0</v>
      </c>
      <c r="G96" s="17">
        <f t="shared" si="49"/>
        <v>0</v>
      </c>
      <c r="H96" s="17">
        <f t="shared" ref="H96:H97" si="50">F96/E96*100</f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3" t="s">
        <v>263</v>
      </c>
      <c r="C97" s="46" t="s">
        <v>18</v>
      </c>
      <c r="D97" s="31"/>
      <c r="E97" s="31">
        <v>0.2</v>
      </c>
      <c r="F97" s="31"/>
      <c r="G97" s="31"/>
      <c r="H97" s="17">
        <f t="shared" si="50"/>
        <v>0</v>
      </c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23" t="s">
        <v>47</v>
      </c>
      <c r="B98" s="93" t="s">
        <v>109</v>
      </c>
      <c r="C98" s="46" t="s">
        <v>18</v>
      </c>
      <c r="D98" s="31"/>
      <c r="E98" s="31"/>
      <c r="F98" s="31"/>
      <c r="G98" s="31"/>
      <c r="H98" s="17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47244094488188981" right="0.35433070866141736" top="0.47244094488188981" bottom="0.59055118110236227" header="0" footer="0"/>
  <pageSetup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6.88671875" customWidth="1"/>
    <col min="2" max="2" width="29.6640625" customWidth="1"/>
    <col min="3" max="3" width="10.109375" customWidth="1"/>
    <col min="4" max="4" width="16.33203125" customWidth="1"/>
    <col min="5" max="5" width="16.6640625" customWidth="1"/>
    <col min="6" max="9" width="12.6640625" customWidth="1"/>
    <col min="10" max="10" width="8.88671875" customWidth="1"/>
    <col min="11" max="11" width="19" customWidth="1"/>
    <col min="12" max="14" width="8.88671875" customWidth="1"/>
    <col min="15" max="24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268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'LONG LEO(2)'!A5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60">
        <v>48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60">
        <v>189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102.27000000000001</v>
      </c>
      <c r="E9" s="17">
        <f t="shared" si="0"/>
        <v>159.80000000000001</v>
      </c>
      <c r="F9" s="17">
        <f t="shared" si="0"/>
        <v>119.42</v>
      </c>
      <c r="G9" s="17">
        <f t="shared" si="0"/>
        <v>119.42</v>
      </c>
      <c r="H9" s="161">
        <f t="shared" ref="H9:H30" si="1">F9/E9*100</f>
        <v>74.73091364205257</v>
      </c>
      <c r="I9" s="17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16.05</v>
      </c>
      <c r="F10" s="17">
        <f t="shared" si="2"/>
        <v>2.04</v>
      </c>
      <c r="G10" s="17">
        <f t="shared" si="2"/>
        <v>2.04</v>
      </c>
      <c r="H10" s="161">
        <f t="shared" si="1"/>
        <v>12.710280373831775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56.260339999999999</v>
      </c>
      <c r="F11" s="17">
        <f t="shared" si="3"/>
        <v>0</v>
      </c>
      <c r="G11" s="17">
        <f t="shared" si="3"/>
        <v>0</v>
      </c>
      <c r="H11" s="161">
        <f t="shared" si="1"/>
        <v>0</v>
      </c>
      <c r="I11" s="17"/>
      <c r="J11" s="133"/>
      <c r="K11" s="133"/>
      <c r="L11" s="133"/>
      <c r="M11" s="133"/>
      <c r="N11" s="133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52.570340000000002</v>
      </c>
      <c r="F12" s="17">
        <f t="shared" si="4"/>
        <v>0</v>
      </c>
      <c r="G12" s="17">
        <f t="shared" si="4"/>
        <v>0</v>
      </c>
      <c r="H12" s="161">
        <f t="shared" si="1"/>
        <v>0</v>
      </c>
      <c r="I12" s="17"/>
      <c r="J12" s="133"/>
      <c r="K12" s="133"/>
      <c r="L12" s="133"/>
      <c r="M12" s="133"/>
      <c r="N12" s="133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15.05</v>
      </c>
      <c r="F13" s="17">
        <f t="shared" si="5"/>
        <v>1.04</v>
      </c>
      <c r="G13" s="17">
        <f t="shared" si="5"/>
        <v>1.04</v>
      </c>
      <c r="H13" s="161">
        <f t="shared" si="1"/>
        <v>6.9102990033222591</v>
      </c>
      <c r="I13" s="17"/>
      <c r="J13" s="126"/>
      <c r="K13" s="126"/>
      <c r="L13" s="126"/>
      <c r="M13" s="126"/>
      <c r="N13" s="12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/>
      <c r="E14" s="31">
        <f t="shared" ref="E14:G14" si="6">E15/E13*10</f>
        <v>34.930458471760794</v>
      </c>
      <c r="F14" s="31">
        <f t="shared" si="6"/>
        <v>0</v>
      </c>
      <c r="G14" s="31">
        <f t="shared" si="6"/>
        <v>0</v>
      </c>
      <c r="H14" s="162">
        <f t="shared" si="1"/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D18+D21</f>
        <v>0</v>
      </c>
      <c r="E15" s="31">
        <f t="shared" si="7"/>
        <v>52.570340000000002</v>
      </c>
      <c r="F15" s="31">
        <f t="shared" si="7"/>
        <v>0</v>
      </c>
      <c r="G15" s="31">
        <f t="shared" si="7"/>
        <v>0</v>
      </c>
      <c r="H15" s="162">
        <f t="shared" si="1"/>
        <v>0</v>
      </c>
      <c r="I15" s="31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1.04</v>
      </c>
      <c r="F16" s="17">
        <v>1.04</v>
      </c>
      <c r="G16" s="17">
        <v>1.04</v>
      </c>
      <c r="H16" s="161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>
        <v>0</v>
      </c>
      <c r="H17" s="162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3.4840000000000004</v>
      </c>
      <c r="F18" s="31">
        <f t="shared" si="8"/>
        <v>0</v>
      </c>
      <c r="G18" s="31">
        <f t="shared" si="8"/>
        <v>0</v>
      </c>
      <c r="H18" s="162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14.01</v>
      </c>
      <c r="F19" s="17">
        <f t="shared" si="9"/>
        <v>0</v>
      </c>
      <c r="G19" s="17">
        <f t="shared" si="9"/>
        <v>0</v>
      </c>
      <c r="H19" s="162">
        <f t="shared" si="1"/>
        <v>0</v>
      </c>
      <c r="I19" s="17"/>
      <c r="J19" s="28"/>
      <c r="K19" s="28"/>
      <c r="L19" s="28"/>
      <c r="M19" s="28"/>
      <c r="N19" s="28"/>
      <c r="O19" s="2"/>
      <c r="P19" s="86"/>
      <c r="Q19" s="86"/>
      <c r="R19" s="86"/>
      <c r="S19" s="86"/>
      <c r="T19" s="86"/>
      <c r="U19" s="86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/>
      <c r="E20" s="31">
        <f>E21/E19*10</f>
        <v>35.036645253390432</v>
      </c>
      <c r="F20" s="31"/>
      <c r="G20" s="31"/>
      <c r="H20" s="162">
        <f t="shared" si="1"/>
        <v>0</v>
      </c>
      <c r="I20" s="31"/>
      <c r="J20" s="28"/>
      <c r="K20" s="28"/>
      <c r="L20" s="28"/>
      <c r="M20" s="28"/>
      <c r="N20" s="28"/>
      <c r="O20" s="2"/>
      <c r="P20" s="86"/>
      <c r="Q20" s="86"/>
      <c r="R20" s="86"/>
      <c r="S20" s="86"/>
      <c r="T20" s="86"/>
      <c r="U20" s="86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0">D24+D27</f>
        <v>0</v>
      </c>
      <c r="E21" s="31">
        <f t="shared" si="10"/>
        <v>49.08634</v>
      </c>
      <c r="F21" s="31">
        <f t="shared" si="10"/>
        <v>0</v>
      </c>
      <c r="G21" s="31">
        <f t="shared" si="10"/>
        <v>0</v>
      </c>
      <c r="H21" s="162">
        <f t="shared" si="1"/>
        <v>0</v>
      </c>
      <c r="I21" s="31"/>
      <c r="J21" s="28"/>
      <c r="K21" s="28"/>
      <c r="L21" s="28"/>
      <c r="M21" s="28"/>
      <c r="N21" s="28"/>
      <c r="O21" s="2"/>
      <c r="P21" s="86"/>
      <c r="Q21" s="86"/>
      <c r="R21" s="86"/>
      <c r="S21" s="86"/>
      <c r="T21" s="86"/>
      <c r="U21" s="86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1" t="s">
        <v>33</v>
      </c>
      <c r="C22" s="40" t="s">
        <v>18</v>
      </c>
      <c r="D22" s="17"/>
      <c r="E22" s="17">
        <v>12.01</v>
      </c>
      <c r="F22" s="31"/>
      <c r="G22" s="17">
        <v>0</v>
      </c>
      <c r="H22" s="162">
        <f t="shared" si="1"/>
        <v>0</v>
      </c>
      <c r="I22" s="31"/>
      <c r="J22" s="53"/>
      <c r="K22" s="53"/>
      <c r="L22" s="53"/>
      <c r="M22" s="53"/>
      <c r="N22" s="53"/>
      <c r="O22" s="33"/>
      <c r="P22" s="152"/>
      <c r="Q22" s="152"/>
      <c r="R22" s="152"/>
      <c r="S22" s="134"/>
      <c r="T22" s="134"/>
      <c r="U22" s="86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62">
        <f t="shared" si="1"/>
        <v>0</v>
      </c>
      <c r="I23" s="31"/>
      <c r="J23" s="53"/>
      <c r="K23" s="53"/>
      <c r="L23" s="53"/>
      <c r="M23" s="53"/>
      <c r="N23" s="53"/>
      <c r="O23" s="33"/>
      <c r="P23" s="152"/>
      <c r="Q23" s="152"/>
      <c r="R23" s="152"/>
      <c r="S23" s="134"/>
      <c r="T23" s="134"/>
      <c r="U23" s="86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1">D22*D23/10</f>
        <v>0</v>
      </c>
      <c r="E24" s="31">
        <f t="shared" si="11"/>
        <v>46.046340000000001</v>
      </c>
      <c r="F24" s="31">
        <f t="shared" si="11"/>
        <v>0</v>
      </c>
      <c r="G24" s="31">
        <f t="shared" si="11"/>
        <v>0</v>
      </c>
      <c r="H24" s="162">
        <f t="shared" si="1"/>
        <v>0</v>
      </c>
      <c r="I24" s="31"/>
      <c r="J24" s="53"/>
      <c r="K24" s="53"/>
      <c r="L24" s="53"/>
      <c r="M24" s="53"/>
      <c r="N24" s="53"/>
      <c r="O24" s="33"/>
      <c r="P24" s="152"/>
      <c r="Q24" s="152"/>
      <c r="R24" s="152"/>
      <c r="S24" s="134"/>
      <c r="T24" s="134"/>
      <c r="U24" s="86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1" t="s">
        <v>34</v>
      </c>
      <c r="C25" s="40" t="s">
        <v>18</v>
      </c>
      <c r="D25" s="17"/>
      <c r="E25" s="17">
        <v>2</v>
      </c>
      <c r="F25" s="31">
        <v>0</v>
      </c>
      <c r="G25" s="17">
        <v>0</v>
      </c>
      <c r="H25" s="162">
        <f t="shared" si="1"/>
        <v>0</v>
      </c>
      <c r="I25" s="31"/>
      <c r="J25" s="53"/>
      <c r="K25" s="53"/>
      <c r="L25" s="53"/>
      <c r="M25" s="53"/>
      <c r="N25" s="53"/>
      <c r="O25" s="33"/>
      <c r="P25" s="33"/>
      <c r="Q25" s="153"/>
      <c r="R25" s="153"/>
      <c r="S25" s="1"/>
      <c r="T25" s="1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62">
        <f t="shared" si="1"/>
        <v>0</v>
      </c>
      <c r="I26" s="31"/>
      <c r="J26" s="53"/>
      <c r="K26" s="53"/>
      <c r="L26" s="53"/>
      <c r="M26" s="53"/>
      <c r="N26" s="53"/>
      <c r="O26" s="33"/>
      <c r="P26" s="33"/>
      <c r="Q26" s="153"/>
      <c r="R26" s="153"/>
      <c r="S26" s="1"/>
      <c r="T26" s="1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>
        <f t="shared" ref="D27:G27" si="12">D25*D26/10</f>
        <v>0</v>
      </c>
      <c r="E27" s="31">
        <f t="shared" si="12"/>
        <v>3.04</v>
      </c>
      <c r="F27" s="31">
        <f t="shared" si="12"/>
        <v>0</v>
      </c>
      <c r="G27" s="31">
        <f t="shared" si="12"/>
        <v>0</v>
      </c>
      <c r="H27" s="162">
        <f t="shared" si="1"/>
        <v>0</v>
      </c>
      <c r="I27" s="31"/>
      <c r="J27" s="53"/>
      <c r="K27" s="53"/>
      <c r="L27" s="53"/>
      <c r="M27" s="53"/>
      <c r="N27" s="53"/>
      <c r="O27" s="33"/>
      <c r="P27" s="33"/>
      <c r="Q27" s="153"/>
      <c r="R27" s="153"/>
      <c r="S27" s="1"/>
      <c r="T27" s="1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162">
        <f t="shared" si="1"/>
        <v>100</v>
      </c>
      <c r="I28" s="17"/>
      <c r="J28" s="154"/>
      <c r="K28" s="154"/>
      <c r="L28" s="154"/>
      <c r="M28" s="154"/>
      <c r="N28" s="154"/>
      <c r="O28" s="153"/>
      <c r="P28" s="153"/>
      <c r="Q28" s="153"/>
      <c r="R28" s="153"/>
      <c r="S28" s="1"/>
      <c r="T28" s="1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E29" si="14">D30/D28*10</f>
        <v>36.85</v>
      </c>
      <c r="E29" s="31">
        <f t="shared" si="14"/>
        <v>36.9</v>
      </c>
      <c r="F29" s="31"/>
      <c r="G29" s="31"/>
      <c r="H29" s="162">
        <f t="shared" si="1"/>
        <v>0</v>
      </c>
      <c r="I29" s="31"/>
      <c r="J29" s="154"/>
      <c r="K29" s="154"/>
      <c r="L29" s="154"/>
      <c r="M29" s="154"/>
      <c r="N29" s="154"/>
      <c r="O29" s="153"/>
      <c r="P29" s="153"/>
      <c r="Q29" s="153"/>
      <c r="R29" s="153"/>
      <c r="S29" s="1"/>
      <c r="T29" s="1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5">D33+D36</f>
        <v>3.6850000000000001</v>
      </c>
      <c r="E30" s="31">
        <f t="shared" si="15"/>
        <v>3.69</v>
      </c>
      <c r="F30" s="31">
        <f t="shared" si="15"/>
        <v>0</v>
      </c>
      <c r="G30" s="31">
        <f t="shared" si="15"/>
        <v>0</v>
      </c>
      <c r="H30" s="162">
        <f t="shared" si="1"/>
        <v>0</v>
      </c>
      <c r="I30" s="31"/>
      <c r="J30" s="154"/>
      <c r="K30" s="154"/>
      <c r="L30" s="154"/>
      <c r="M30" s="154"/>
      <c r="N30" s="154"/>
      <c r="O30" s="153"/>
      <c r="P30" s="153"/>
      <c r="Q30" s="153"/>
      <c r="R30" s="153"/>
      <c r="S30" s="1"/>
      <c r="T30" s="1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31"/>
      <c r="H31" s="162"/>
      <c r="I31" s="17"/>
      <c r="J31" s="154"/>
      <c r="K31" s="154"/>
      <c r="L31" s="154"/>
      <c r="M31" s="154"/>
      <c r="N31" s="154"/>
      <c r="O31" s="153"/>
      <c r="P31" s="153"/>
      <c r="Q31" s="153"/>
      <c r="R31" s="153"/>
      <c r="S31" s="1"/>
      <c r="T31" s="1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31"/>
      <c r="H32" s="162"/>
      <c r="I32" s="17"/>
      <c r="J32" s="154"/>
      <c r="K32" s="154"/>
      <c r="L32" s="154"/>
      <c r="M32" s="154"/>
      <c r="N32" s="154"/>
      <c r="O32" s="153"/>
      <c r="P32" s="153"/>
      <c r="Q32" s="153"/>
      <c r="R32" s="153"/>
      <c r="S32" s="1"/>
      <c r="T32" s="1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31"/>
      <c r="H33" s="162"/>
      <c r="I33" s="17"/>
      <c r="J33" s="154"/>
      <c r="K33" s="154"/>
      <c r="L33" s="154"/>
      <c r="M33" s="154"/>
      <c r="N33" s="154"/>
      <c r="O33" s="153"/>
      <c r="P33" s="153"/>
      <c r="Q33" s="153"/>
      <c r="R33" s="153"/>
      <c r="S33" s="1"/>
      <c r="T33" s="1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62">
        <f t="shared" ref="H34:H39" si="16">F34/E34*100</f>
        <v>100</v>
      </c>
      <c r="I34" s="31"/>
      <c r="J34" s="126"/>
      <c r="K34" s="126"/>
      <c r="L34" s="126"/>
      <c r="M34" s="126"/>
      <c r="N34" s="126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62">
        <f t="shared" si="16"/>
        <v>0</v>
      </c>
      <c r="I35" s="31"/>
      <c r="J35" s="126"/>
      <c r="K35" s="155"/>
      <c r="L35" s="155"/>
      <c r="M35" s="155"/>
      <c r="N35" s="155"/>
      <c r="O35" s="155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3.6850000000000001</v>
      </c>
      <c r="E36" s="31">
        <f t="shared" si="17"/>
        <v>3.69</v>
      </c>
      <c r="F36" s="31">
        <f t="shared" si="17"/>
        <v>0</v>
      </c>
      <c r="G36" s="31">
        <f t="shared" si="17"/>
        <v>0</v>
      </c>
      <c r="H36" s="162">
        <f t="shared" si="16"/>
        <v>0</v>
      </c>
      <c r="I36" s="31"/>
      <c r="J36" s="126"/>
      <c r="K36" s="44"/>
      <c r="L36" s="44"/>
      <c r="M36" s="44"/>
      <c r="N36" s="44"/>
      <c r="O36" s="44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31"/>
      <c r="E37" s="17">
        <v>19.03</v>
      </c>
      <c r="F37" s="17">
        <v>19.03</v>
      </c>
      <c r="G37" s="17">
        <v>19.03</v>
      </c>
      <c r="H37" s="162">
        <f t="shared" si="16"/>
        <v>100</v>
      </c>
      <c r="I37" s="31"/>
      <c r="J37" s="53"/>
      <c r="K37" s="53"/>
      <c r="L37" s="53"/>
      <c r="M37" s="53"/>
      <c r="N37" s="53"/>
      <c r="O37" s="53"/>
      <c r="P37" s="33"/>
      <c r="Q37" s="33"/>
      <c r="R37" s="33"/>
      <c r="S37" s="33"/>
      <c r="T37" s="33"/>
      <c r="U37" s="33"/>
      <c r="V37" s="33"/>
      <c r="W37" s="1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17"/>
      <c r="E38" s="31">
        <v>140</v>
      </c>
      <c r="F38" s="31"/>
      <c r="G38" s="31"/>
      <c r="H38" s="162">
        <f t="shared" si="16"/>
        <v>0</v>
      </c>
      <c r="I38" s="31"/>
      <c r="J38" s="53"/>
      <c r="K38" s="53"/>
      <c r="L38" s="53"/>
      <c r="M38" s="53"/>
      <c r="N38" s="53"/>
      <c r="O38" s="53"/>
      <c r="P38" s="33"/>
      <c r="Q38" s="33"/>
      <c r="R38" s="33"/>
      <c r="S38" s="33"/>
      <c r="T38" s="33"/>
      <c r="U38" s="33"/>
      <c r="V38" s="33"/>
      <c r="W38" s="1"/>
      <c r="X38" s="1"/>
      <c r="Y38" s="1"/>
      <c r="Z38" s="1"/>
    </row>
    <row r="39" spans="1:26" ht="31.5" customHeight="1" x14ac:dyDescent="0.25">
      <c r="A39" s="9"/>
      <c r="B39" s="47" t="s">
        <v>27</v>
      </c>
      <c r="C39" s="48" t="s">
        <v>21</v>
      </c>
      <c r="D39" s="157"/>
      <c r="E39" s="49">
        <f t="shared" ref="E39:G39" si="18">E37*E38/10</f>
        <v>266.42</v>
      </c>
      <c r="F39" s="49">
        <f t="shared" si="18"/>
        <v>0</v>
      </c>
      <c r="G39" s="49">
        <f t="shared" si="18"/>
        <v>0</v>
      </c>
      <c r="H39" s="162">
        <f t="shared" si="16"/>
        <v>0</v>
      </c>
      <c r="I39" s="31"/>
      <c r="J39" s="53"/>
      <c r="K39" s="53"/>
      <c r="L39" s="53"/>
      <c r="M39" s="53"/>
      <c r="N39" s="53"/>
      <c r="O39" s="53"/>
      <c r="P39" s="33"/>
      <c r="Q39" s="33"/>
      <c r="R39" s="33"/>
      <c r="S39" s="33"/>
      <c r="T39" s="33"/>
      <c r="U39" s="33"/>
      <c r="V39" s="33"/>
      <c r="W39" s="1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</v>
      </c>
      <c r="F40" s="163"/>
      <c r="G40" s="17"/>
      <c r="H40" s="162"/>
      <c r="I40" s="17"/>
      <c r="J40" s="53"/>
      <c r="K40" s="53"/>
      <c r="L40" s="53"/>
      <c r="M40" s="53"/>
      <c r="N40" s="53"/>
      <c r="O40" s="53"/>
      <c r="P40" s="33"/>
      <c r="Q40" s="33"/>
      <c r="R40" s="33"/>
      <c r="S40" s="33"/>
      <c r="T40" s="33"/>
      <c r="U40" s="33"/>
      <c r="V40" s="33"/>
      <c r="W40" s="1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164"/>
      <c r="G41" s="31"/>
      <c r="H41" s="162">
        <f>F41/E41*100</f>
        <v>0</v>
      </c>
      <c r="I41" s="31"/>
      <c r="J41" s="53"/>
      <c r="K41" s="53"/>
      <c r="L41" s="53"/>
      <c r="M41" s="53"/>
      <c r="N41" s="53"/>
      <c r="O41" s="53"/>
      <c r="P41" s="33"/>
      <c r="Q41" s="33"/>
      <c r="R41" s="33"/>
      <c r="S41" s="33"/>
      <c r="T41" s="33"/>
      <c r="U41" s="33"/>
      <c r="V41" s="33"/>
      <c r="W41" s="1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19">E40*E41/10</f>
        <v>0</v>
      </c>
      <c r="F42" s="31">
        <f t="shared" si="19"/>
        <v>0</v>
      </c>
      <c r="G42" s="31">
        <f t="shared" si="19"/>
        <v>0</v>
      </c>
      <c r="H42" s="162"/>
      <c r="I42" s="31"/>
      <c r="J42" s="53"/>
      <c r="K42" s="53"/>
      <c r="L42" s="53"/>
      <c r="M42" s="53"/>
      <c r="N42" s="53"/>
      <c r="O42" s="53"/>
      <c r="P42" s="33"/>
      <c r="Q42" s="33"/>
      <c r="R42" s="33"/>
      <c r="S42" s="33"/>
      <c r="T42" s="33"/>
      <c r="U42" s="33"/>
      <c r="V42" s="33"/>
      <c r="W42" s="1"/>
      <c r="X42" s="1"/>
      <c r="Y42" s="1"/>
      <c r="Z42" s="1"/>
    </row>
    <row r="43" spans="1:26" ht="31.5" customHeight="1" x14ac:dyDescent="0.25">
      <c r="A43" s="165">
        <v>4</v>
      </c>
      <c r="B43" s="16" t="s">
        <v>41</v>
      </c>
      <c r="C43" s="15" t="s">
        <v>18</v>
      </c>
      <c r="D43" s="131">
        <v>0.5</v>
      </c>
      <c r="E43" s="131">
        <v>0.5</v>
      </c>
      <c r="F43" s="17">
        <v>0.27</v>
      </c>
      <c r="G43" s="17">
        <f>F43</f>
        <v>0.27</v>
      </c>
      <c r="H43" s="161">
        <f t="shared" ref="H43:H50" si="20">F43/E43*100</f>
        <v>54</v>
      </c>
      <c r="I43" s="17"/>
      <c r="J43" s="126"/>
      <c r="K43" s="79"/>
      <c r="L43" s="79"/>
      <c r="M43" s="79"/>
      <c r="N43" s="79"/>
      <c r="O43" s="7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62">
        <f t="shared" si="20"/>
        <v>0</v>
      </c>
      <c r="I44" s="31"/>
      <c r="J44" s="126"/>
      <c r="K44" s="158"/>
      <c r="L44" s="126"/>
      <c r="M44" s="126"/>
      <c r="N44" s="12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7" t="s">
        <v>27</v>
      </c>
      <c r="C45" s="48" t="s">
        <v>21</v>
      </c>
      <c r="D45" s="31">
        <f t="shared" ref="D45:G45" si="21">D43*D44/10</f>
        <v>5</v>
      </c>
      <c r="E45" s="31">
        <f t="shared" si="21"/>
        <v>4.9249999999999998</v>
      </c>
      <c r="F45" s="31">
        <f t="shared" si="21"/>
        <v>0</v>
      </c>
      <c r="G45" s="31">
        <f t="shared" si="21"/>
        <v>0</v>
      </c>
      <c r="H45" s="162">
        <f t="shared" si="20"/>
        <v>0</v>
      </c>
      <c r="I45" s="31"/>
      <c r="J45" s="126"/>
      <c r="K45" s="126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2">D47+D55+D64</f>
        <v>78.830000000000013</v>
      </c>
      <c r="E46" s="17">
        <f t="shared" si="22"/>
        <v>89.63</v>
      </c>
      <c r="F46" s="17">
        <f t="shared" si="22"/>
        <v>79.13</v>
      </c>
      <c r="G46" s="17">
        <f t="shared" si="22"/>
        <v>79.13</v>
      </c>
      <c r="H46" s="161">
        <f t="shared" si="20"/>
        <v>88.285172375320769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3">D48+D49</f>
        <v>59.650000000000006</v>
      </c>
      <c r="E47" s="17">
        <f t="shared" si="23"/>
        <v>69.650000000000006</v>
      </c>
      <c r="F47" s="17">
        <f t="shared" si="23"/>
        <v>59.65</v>
      </c>
      <c r="G47" s="17">
        <f t="shared" si="23"/>
        <v>59.65</v>
      </c>
      <c r="H47" s="161">
        <f t="shared" si="20"/>
        <v>85.642498205312265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7" t="s">
        <v>32</v>
      </c>
      <c r="B48" s="58" t="s">
        <v>45</v>
      </c>
      <c r="C48" s="59" t="s">
        <v>18</v>
      </c>
      <c r="D48" s="31">
        <v>38.49</v>
      </c>
      <c r="E48" s="31">
        <f>D48+D49</f>
        <v>59.650000000000006</v>
      </c>
      <c r="F48" s="31">
        <v>59.65</v>
      </c>
      <c r="G48" s="31">
        <v>59.65</v>
      </c>
      <c r="H48" s="162">
        <f t="shared" si="20"/>
        <v>99.999999999999986</v>
      </c>
      <c r="I48" s="31"/>
      <c r="J48" s="53"/>
      <c r="K48" s="53"/>
      <c r="L48" s="53"/>
      <c r="M48" s="53"/>
      <c r="N48" s="53"/>
      <c r="O48" s="33"/>
      <c r="P48" s="33"/>
      <c r="Q48" s="33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4">D50+D51</f>
        <v>21.16</v>
      </c>
      <c r="E49" s="17">
        <f t="shared" si="24"/>
        <v>10</v>
      </c>
      <c r="F49" s="17">
        <f t="shared" si="24"/>
        <v>0</v>
      </c>
      <c r="G49" s="17">
        <f t="shared" si="24"/>
        <v>0</v>
      </c>
      <c r="H49" s="161">
        <f t="shared" si="20"/>
        <v>0</v>
      </c>
      <c r="I49" s="17"/>
      <c r="J49" s="133"/>
      <c r="K49" s="19"/>
      <c r="L49" s="65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59" t="s">
        <v>47</v>
      </c>
      <c r="B50" s="64" t="s">
        <v>48</v>
      </c>
      <c r="C50" s="59" t="s">
        <v>18</v>
      </c>
      <c r="D50" s="31">
        <v>21.16</v>
      </c>
      <c r="E50" s="31">
        <v>10</v>
      </c>
      <c r="F50" s="31">
        <v>0</v>
      </c>
      <c r="G50" s="31">
        <v>0</v>
      </c>
      <c r="H50" s="161">
        <f t="shared" si="20"/>
        <v>0</v>
      </c>
      <c r="I50" s="31"/>
      <c r="J50" s="35"/>
      <c r="K50" s="115"/>
      <c r="L50" s="35"/>
      <c r="M50" s="126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59" t="s">
        <v>47</v>
      </c>
      <c r="B51" s="64" t="s">
        <v>49</v>
      </c>
      <c r="C51" s="30" t="s">
        <v>18</v>
      </c>
      <c r="D51" s="31"/>
      <c r="E51" s="31"/>
      <c r="F51" s="31"/>
      <c r="G51" s="31"/>
      <c r="H51" s="161"/>
      <c r="I51" s="31"/>
      <c r="J51" s="126"/>
      <c r="K51" s="126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5">D53+D54</f>
        <v>22.02</v>
      </c>
      <c r="E52" s="17">
        <f t="shared" si="25"/>
        <v>30</v>
      </c>
      <c r="F52" s="17">
        <f t="shared" si="25"/>
        <v>30</v>
      </c>
      <c r="G52" s="17">
        <f t="shared" si="25"/>
        <v>30</v>
      </c>
      <c r="H52" s="161">
        <f t="shared" ref="H52:H53" si="26">F52/E52*100</f>
        <v>100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66" t="s">
        <v>47</v>
      </c>
      <c r="B53" s="64" t="s">
        <v>51</v>
      </c>
      <c r="C53" s="30" t="s">
        <v>18</v>
      </c>
      <c r="D53" s="31">
        <f>25.02-8</f>
        <v>17.02</v>
      </c>
      <c r="E53" s="31">
        <v>30</v>
      </c>
      <c r="F53" s="31">
        <v>30</v>
      </c>
      <c r="G53" s="31">
        <v>30</v>
      </c>
      <c r="H53" s="162">
        <f t="shared" si="26"/>
        <v>100</v>
      </c>
      <c r="I53" s="31"/>
      <c r="J53" s="126"/>
      <c r="K53" s="126"/>
      <c r="L53" s="126"/>
      <c r="M53" s="135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4" t="s">
        <v>52</v>
      </c>
      <c r="C54" s="30" t="s">
        <v>18</v>
      </c>
      <c r="D54" s="31">
        <v>5</v>
      </c>
      <c r="E54" s="31"/>
      <c r="F54" s="31"/>
      <c r="G54" s="31"/>
      <c r="H54" s="161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7">D56+D57</f>
        <v>4.5</v>
      </c>
      <c r="E55" s="17">
        <f t="shared" si="27"/>
        <v>5.3</v>
      </c>
      <c r="F55" s="17">
        <f t="shared" si="27"/>
        <v>4.8</v>
      </c>
      <c r="G55" s="17">
        <f t="shared" si="27"/>
        <v>4.8</v>
      </c>
      <c r="H55" s="161">
        <f t="shared" ref="H55:H65" si="28">F55/E55*100</f>
        <v>90.566037735849065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58" t="s">
        <v>50</v>
      </c>
      <c r="C56" s="30" t="s">
        <v>18</v>
      </c>
      <c r="D56" s="31">
        <v>4.5</v>
      </c>
      <c r="E56" s="31">
        <f t="shared" ref="E56:G56" si="29">D56+E58</f>
        <v>4.8</v>
      </c>
      <c r="F56" s="31">
        <f t="shared" si="29"/>
        <v>4.8</v>
      </c>
      <c r="G56" s="31">
        <f t="shared" si="29"/>
        <v>4.8</v>
      </c>
      <c r="H56" s="162">
        <f t="shared" si="28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30">D58+D61</f>
        <v>0</v>
      </c>
      <c r="E57" s="31">
        <f t="shared" si="30"/>
        <v>0.5</v>
      </c>
      <c r="F57" s="31">
        <f t="shared" si="30"/>
        <v>0</v>
      </c>
      <c r="G57" s="31">
        <f t="shared" si="30"/>
        <v>0</v>
      </c>
      <c r="H57" s="161">
        <f t="shared" si="28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31">D59+D60</f>
        <v>0</v>
      </c>
      <c r="E58" s="71">
        <f t="shared" si="31"/>
        <v>0.30000000000000004</v>
      </c>
      <c r="F58" s="71">
        <f t="shared" si="31"/>
        <v>0</v>
      </c>
      <c r="G58" s="71">
        <f t="shared" si="31"/>
        <v>0</v>
      </c>
      <c r="H58" s="161">
        <f t="shared" si="28"/>
        <v>0</v>
      </c>
      <c r="I58" s="71"/>
      <c r="J58" s="138"/>
      <c r="K58" s="97"/>
      <c r="L58" s="97"/>
      <c r="M58" s="97"/>
      <c r="N58" s="97"/>
      <c r="O58" s="97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1.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61">
        <f t="shared" si="28"/>
        <v>0</v>
      </c>
      <c r="I59" s="31"/>
      <c r="J59" s="35"/>
      <c r="K59" s="137"/>
      <c r="L59" s="137"/>
      <c r="M59" s="137"/>
      <c r="N59" s="137"/>
      <c r="O59" s="13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61">
        <f t="shared" si="28"/>
        <v>0</v>
      </c>
      <c r="I60" s="31"/>
      <c r="J60" s="35"/>
      <c r="K60" s="137"/>
      <c r="L60" s="137"/>
      <c r="M60" s="137"/>
      <c r="N60" s="137"/>
      <c r="O60" s="13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2">D62+D63</f>
        <v>0</v>
      </c>
      <c r="E61" s="71">
        <f t="shared" si="32"/>
        <v>0.2</v>
      </c>
      <c r="F61" s="71">
        <f t="shared" si="32"/>
        <v>0</v>
      </c>
      <c r="G61" s="71">
        <f t="shared" si="32"/>
        <v>0</v>
      </c>
      <c r="H61" s="161">
        <f t="shared" si="28"/>
        <v>0</v>
      </c>
      <c r="I61" s="71"/>
      <c r="J61" s="135"/>
      <c r="K61" s="97"/>
      <c r="L61" s="138"/>
      <c r="M61" s="138"/>
      <c r="N61" s="138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1.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0.1</v>
      </c>
      <c r="F62" s="31">
        <v>0</v>
      </c>
      <c r="G62" s="31">
        <v>0</v>
      </c>
      <c r="H62" s="161">
        <f t="shared" si="28"/>
        <v>0</v>
      </c>
      <c r="I62" s="31"/>
      <c r="J62" s="135"/>
      <c r="K62" s="137"/>
      <c r="L62" s="137"/>
      <c r="M62" s="137"/>
      <c r="N62" s="137"/>
      <c r="O62" s="13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61">
        <f t="shared" si="28"/>
        <v>0</v>
      </c>
      <c r="I63" s="31"/>
      <c r="J63" s="135"/>
      <c r="K63" s="137"/>
      <c r="L63" s="137"/>
      <c r="M63" s="137"/>
      <c r="N63" s="137"/>
      <c r="O63" s="13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3">D65+D66</f>
        <v>14.68</v>
      </c>
      <c r="E64" s="17">
        <f t="shared" si="33"/>
        <v>14.68</v>
      </c>
      <c r="F64" s="17">
        <f t="shared" si="33"/>
        <v>14.68</v>
      </c>
      <c r="G64" s="17">
        <f t="shared" si="33"/>
        <v>14.68</v>
      </c>
      <c r="H64" s="161">
        <f t="shared" si="28"/>
        <v>100</v>
      </c>
      <c r="I64" s="17"/>
      <c r="J64" s="126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58" t="s">
        <v>45</v>
      </c>
      <c r="C65" s="30" t="s">
        <v>18</v>
      </c>
      <c r="D65" s="31">
        <v>14.68</v>
      </c>
      <c r="E65" s="31">
        <v>14.68</v>
      </c>
      <c r="F65" s="31">
        <v>14.68</v>
      </c>
      <c r="G65" s="31">
        <v>14.68</v>
      </c>
      <c r="H65" s="161">
        <f t="shared" si="28"/>
        <v>100</v>
      </c>
      <c r="I65" s="31"/>
      <c r="J65" s="126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>
        <v>0</v>
      </c>
      <c r="E66" s="31">
        <v>0</v>
      </c>
      <c r="F66" s="31"/>
      <c r="G66" s="31"/>
      <c r="H66" s="161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4">D68+D71</f>
        <v>21.94</v>
      </c>
      <c r="E67" s="17">
        <f t="shared" si="34"/>
        <v>34.590000000000003</v>
      </c>
      <c r="F67" s="17">
        <f t="shared" si="34"/>
        <v>18.95</v>
      </c>
      <c r="G67" s="17">
        <f t="shared" si="34"/>
        <v>18.95</v>
      </c>
      <c r="H67" s="161">
        <f t="shared" ref="H67:H77" si="35">F67/E67*100</f>
        <v>54.784619832321468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6">D69+D70</f>
        <v>1.37</v>
      </c>
      <c r="E68" s="17">
        <f t="shared" si="36"/>
        <v>16.37</v>
      </c>
      <c r="F68" s="17">
        <f t="shared" si="36"/>
        <v>1.37</v>
      </c>
      <c r="G68" s="17">
        <f t="shared" si="36"/>
        <v>1.37</v>
      </c>
      <c r="H68" s="161">
        <f t="shared" si="35"/>
        <v>8.3689676237018933</v>
      </c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58" t="s">
        <v>69</v>
      </c>
      <c r="C69" s="30" t="s">
        <v>18</v>
      </c>
      <c r="D69" s="31">
        <f>0.7+0.27</f>
        <v>0.97</v>
      </c>
      <c r="E69" s="31">
        <f>D69+D70</f>
        <v>1.37</v>
      </c>
      <c r="F69" s="31">
        <v>1.37</v>
      </c>
      <c r="G69" s="31">
        <v>1.37</v>
      </c>
      <c r="H69" s="162">
        <f t="shared" si="35"/>
        <v>100</v>
      </c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58" t="s">
        <v>70</v>
      </c>
      <c r="C70" s="30" t="s">
        <v>18</v>
      </c>
      <c r="D70" s="31">
        <v>0.4</v>
      </c>
      <c r="E70" s="31">
        <v>15</v>
      </c>
      <c r="F70" s="31"/>
      <c r="G70" s="31"/>
      <c r="H70" s="161">
        <f t="shared" si="35"/>
        <v>0</v>
      </c>
      <c r="I70" s="31"/>
      <c r="J70" s="126"/>
      <c r="K70" s="28"/>
      <c r="L70" s="35"/>
      <c r="M70" s="126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7">D72+D73</f>
        <v>20.57</v>
      </c>
      <c r="E71" s="17">
        <f t="shared" si="37"/>
        <v>18.22</v>
      </c>
      <c r="F71" s="17">
        <f t="shared" si="37"/>
        <v>17.579999999999998</v>
      </c>
      <c r="G71" s="17">
        <f t="shared" si="37"/>
        <v>17.579999999999998</v>
      </c>
      <c r="H71" s="161">
        <f t="shared" si="35"/>
        <v>96.487376509330403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8">D75+D82</f>
        <v>16.27</v>
      </c>
      <c r="E72" s="87">
        <f t="shared" si="38"/>
        <v>17.579999999999998</v>
      </c>
      <c r="F72" s="87">
        <f t="shared" si="38"/>
        <v>17.579999999999998</v>
      </c>
      <c r="G72" s="87">
        <f t="shared" si="38"/>
        <v>17.579999999999998</v>
      </c>
      <c r="H72" s="161">
        <f t="shared" si="35"/>
        <v>100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9">D76+D83</f>
        <v>4.3</v>
      </c>
      <c r="E73" s="17">
        <f t="shared" si="39"/>
        <v>0.64</v>
      </c>
      <c r="F73" s="17">
        <f t="shared" si="39"/>
        <v>0</v>
      </c>
      <c r="G73" s="17">
        <f t="shared" si="39"/>
        <v>0</v>
      </c>
      <c r="H73" s="161">
        <f t="shared" si="35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40">D75+D76</f>
        <v>16.579999999999998</v>
      </c>
      <c r="E74" s="91">
        <f t="shared" si="40"/>
        <v>17.079999999999998</v>
      </c>
      <c r="F74" s="91">
        <f t="shared" si="40"/>
        <v>16.579999999999998</v>
      </c>
      <c r="G74" s="91">
        <f t="shared" si="40"/>
        <v>16.579999999999998</v>
      </c>
      <c r="H74" s="166">
        <f t="shared" si="35"/>
        <v>97.072599531615921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7" t="s">
        <v>32</v>
      </c>
      <c r="B75" s="93" t="s">
        <v>45</v>
      </c>
      <c r="C75" s="30" t="s">
        <v>18</v>
      </c>
      <c r="D75" s="60">
        <f>8.28+5</f>
        <v>13.28</v>
      </c>
      <c r="E75" s="60">
        <f>D75+D76</f>
        <v>16.579999999999998</v>
      </c>
      <c r="F75" s="60">
        <v>16.579999999999998</v>
      </c>
      <c r="G75" s="60">
        <v>16.579999999999998</v>
      </c>
      <c r="H75" s="162">
        <f t="shared" si="35"/>
        <v>100</v>
      </c>
      <c r="I75" s="31"/>
      <c r="J75" s="126"/>
      <c r="K75" s="126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41">SUM(D77:D80)</f>
        <v>3.3</v>
      </c>
      <c r="E76" s="141">
        <f t="shared" si="41"/>
        <v>0.5</v>
      </c>
      <c r="F76" s="141">
        <f t="shared" si="41"/>
        <v>0</v>
      </c>
      <c r="G76" s="141">
        <f t="shared" si="41"/>
        <v>0</v>
      </c>
      <c r="H76" s="166">
        <f t="shared" si="35"/>
        <v>0</v>
      </c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6" t="s">
        <v>47</v>
      </c>
      <c r="B77" s="94" t="s">
        <v>80</v>
      </c>
      <c r="C77" s="46" t="s">
        <v>18</v>
      </c>
      <c r="D77" s="31">
        <v>2.8</v>
      </c>
      <c r="E77" s="31">
        <v>0.5</v>
      </c>
      <c r="F77" s="31">
        <v>0</v>
      </c>
      <c r="G77" s="31">
        <v>0</v>
      </c>
      <c r="H77" s="166">
        <f t="shared" si="35"/>
        <v>0</v>
      </c>
      <c r="I77" s="31"/>
      <c r="J77" s="142"/>
      <c r="K77" s="138"/>
      <c r="L77" s="97"/>
      <c r="M77" s="143"/>
      <c r="N77" s="143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6" t="s">
        <v>47</v>
      </c>
      <c r="B78" s="94" t="s">
        <v>81</v>
      </c>
      <c r="C78" s="46" t="s">
        <v>18</v>
      </c>
      <c r="D78" s="31">
        <v>0.5</v>
      </c>
      <c r="E78" s="31">
        <v>0</v>
      </c>
      <c r="F78" s="31"/>
      <c r="G78" s="31"/>
      <c r="H78" s="167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167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6" t="s">
        <v>47</v>
      </c>
      <c r="B80" s="144" t="s">
        <v>83</v>
      </c>
      <c r="C80" s="46" t="s">
        <v>18</v>
      </c>
      <c r="D80" s="31"/>
      <c r="E80" s="31"/>
      <c r="F80" s="31"/>
      <c r="G80" s="31"/>
      <c r="H80" s="167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2">D82+D83</f>
        <v>3.99</v>
      </c>
      <c r="E81" s="91">
        <f t="shared" si="42"/>
        <v>1.1400000000000001</v>
      </c>
      <c r="F81" s="91">
        <f t="shared" si="42"/>
        <v>1</v>
      </c>
      <c r="G81" s="91">
        <f t="shared" si="42"/>
        <v>1</v>
      </c>
      <c r="H81" s="166">
        <f t="shared" ref="H81:H83" si="43">F81/E81*100</f>
        <v>87.719298245614027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1.5" customHeight="1" x14ac:dyDescent="0.25">
      <c r="A82" s="107" t="s">
        <v>47</v>
      </c>
      <c r="B82" s="94" t="s">
        <v>85</v>
      </c>
      <c r="C82" s="46" t="s">
        <v>18</v>
      </c>
      <c r="D82" s="71">
        <v>2.99</v>
      </c>
      <c r="E82" s="71">
        <v>1</v>
      </c>
      <c r="F82" s="71">
        <v>1</v>
      </c>
      <c r="G82" s="71">
        <v>1</v>
      </c>
      <c r="H82" s="167">
        <f t="shared" si="43"/>
        <v>100</v>
      </c>
      <c r="I82" s="71"/>
      <c r="J82" s="138"/>
      <c r="K82" s="142"/>
      <c r="L82" s="97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1.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4">SUM(D84:D87)</f>
        <v>1</v>
      </c>
      <c r="E83" s="60">
        <f t="shared" si="44"/>
        <v>0.14000000000000001</v>
      </c>
      <c r="F83" s="60">
        <f t="shared" si="44"/>
        <v>0</v>
      </c>
      <c r="G83" s="60">
        <f t="shared" si="44"/>
        <v>0</v>
      </c>
      <c r="H83" s="167">
        <f t="shared" si="43"/>
        <v>0</v>
      </c>
      <c r="I83" s="60"/>
      <c r="J83" s="138"/>
      <c r="K83" s="138"/>
      <c r="L83" s="138"/>
      <c r="M83" s="138"/>
      <c r="N83" s="13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67"/>
      <c r="I84" s="31"/>
      <c r="J84" s="97"/>
      <c r="K84" s="97"/>
      <c r="L84" s="97"/>
      <c r="M84" s="97"/>
      <c r="N84" s="9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67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67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07" t="s">
        <v>47</v>
      </c>
      <c r="B87" s="94" t="s">
        <v>89</v>
      </c>
      <c r="C87" s="46" t="s">
        <v>18</v>
      </c>
      <c r="D87" s="31">
        <v>1</v>
      </c>
      <c r="E87" s="31">
        <v>0.14000000000000001</v>
      </c>
      <c r="F87" s="31">
        <v>0</v>
      </c>
      <c r="G87" s="31">
        <v>0</v>
      </c>
      <c r="H87" s="167">
        <f t="shared" ref="H87:H91" si="45">F87/E87*100</f>
        <v>0</v>
      </c>
      <c r="I87" s="31"/>
      <c r="J87" s="97"/>
      <c r="K87" s="97"/>
      <c r="L87" s="97"/>
      <c r="M87" s="143"/>
      <c r="N87" s="143"/>
      <c r="O87" s="38"/>
      <c r="P87" s="38"/>
      <c r="Q87" s="38"/>
      <c r="R87" s="45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6">SUM(D89:D93)</f>
        <v>331</v>
      </c>
      <c r="E88" s="17">
        <f t="shared" si="46"/>
        <v>358</v>
      </c>
      <c r="F88" s="17">
        <f t="shared" si="46"/>
        <v>339</v>
      </c>
      <c r="G88" s="17">
        <f t="shared" si="46"/>
        <v>339</v>
      </c>
      <c r="H88" s="161">
        <f t="shared" si="45"/>
        <v>94.692737430167597</v>
      </c>
      <c r="I88" s="17"/>
      <c r="J88" s="28"/>
      <c r="K88" s="28"/>
      <c r="L88" s="39"/>
      <c r="M88" s="39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31</v>
      </c>
      <c r="E89" s="31">
        <f>70+37</f>
        <v>107</v>
      </c>
      <c r="F89" s="31">
        <v>105</v>
      </c>
      <c r="G89" s="31">
        <f t="shared" ref="G89:G91" si="47">F89</f>
        <v>105</v>
      </c>
      <c r="H89" s="162">
        <f t="shared" si="45"/>
        <v>98.130841121495322</v>
      </c>
      <c r="I89" s="31"/>
      <c r="J89" s="55"/>
      <c r="K89" s="79"/>
      <c r="L89" s="78"/>
      <c r="M89" s="108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f>52-5</f>
        <v>47</v>
      </c>
      <c r="E90" s="31">
        <f>30+5</f>
        <v>35</v>
      </c>
      <c r="F90" s="31">
        <v>33</v>
      </c>
      <c r="G90" s="31">
        <f t="shared" si="47"/>
        <v>33</v>
      </c>
      <c r="H90" s="162">
        <f t="shared" si="45"/>
        <v>94.285714285714278</v>
      </c>
      <c r="I90" s="31"/>
      <c r="J90" s="55"/>
      <c r="K90" s="79"/>
      <c r="L90" s="78"/>
      <c r="M90" s="108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f>30-5</f>
        <v>25</v>
      </c>
      <c r="E91" s="31">
        <f>10+3</f>
        <v>13</v>
      </c>
      <c r="F91" s="31">
        <v>11</v>
      </c>
      <c r="G91" s="31">
        <f t="shared" si="47"/>
        <v>11</v>
      </c>
      <c r="H91" s="162">
        <f t="shared" si="45"/>
        <v>84.615384615384613</v>
      </c>
      <c r="I91" s="31"/>
      <c r="J91" s="55"/>
      <c r="K91" s="79"/>
      <c r="L91" s="78"/>
      <c r="M91" s="108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1.5" customHeight="1" x14ac:dyDescent="0.25">
      <c r="A92" s="30">
        <v>4</v>
      </c>
      <c r="B92" s="27" t="s">
        <v>98</v>
      </c>
      <c r="C92" s="30" t="s">
        <v>93</v>
      </c>
      <c r="D92" s="31"/>
      <c r="E92" s="31">
        <v>0</v>
      </c>
      <c r="F92" s="31"/>
      <c r="G92" s="31"/>
      <c r="H92" s="162"/>
      <c r="I92" s="31"/>
      <c r="J92" s="28"/>
      <c r="K92" s="28"/>
      <c r="L92" s="112"/>
      <c r="M92" s="108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99</v>
      </c>
      <c r="C93" s="30" t="s">
        <v>93</v>
      </c>
      <c r="D93" s="31">
        <v>228</v>
      </c>
      <c r="E93" s="31">
        <f>225-22</f>
        <v>203</v>
      </c>
      <c r="F93" s="31">
        <v>190</v>
      </c>
      <c r="G93" s="31">
        <f>F93</f>
        <v>190</v>
      </c>
      <c r="H93" s="162">
        <f>F93/E93*100</f>
        <v>93.596059113300484</v>
      </c>
      <c r="I93" s="31"/>
      <c r="J93" s="79"/>
      <c r="K93" s="79"/>
      <c r="L93" s="112"/>
      <c r="M93" s="108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1.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8">D95</f>
        <v>0</v>
      </c>
      <c r="E94" s="17">
        <f t="shared" si="48"/>
        <v>0</v>
      </c>
      <c r="F94" s="17">
        <f t="shared" si="48"/>
        <v>0</v>
      </c>
      <c r="G94" s="17">
        <f t="shared" si="48"/>
        <v>0</v>
      </c>
      <c r="H94" s="162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6" t="s">
        <v>47</v>
      </c>
      <c r="B95" s="76" t="s">
        <v>102</v>
      </c>
      <c r="C95" s="46" t="s">
        <v>18</v>
      </c>
      <c r="D95" s="31"/>
      <c r="E95" s="31"/>
      <c r="F95" s="31"/>
      <c r="G95" s="31"/>
      <c r="H95" s="162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9">D97+D98</f>
        <v>0</v>
      </c>
      <c r="E96" s="17">
        <f t="shared" si="49"/>
        <v>0.2</v>
      </c>
      <c r="F96" s="17">
        <f t="shared" si="49"/>
        <v>0</v>
      </c>
      <c r="G96" s="17">
        <f t="shared" si="49"/>
        <v>0</v>
      </c>
      <c r="H96" s="162">
        <f t="shared" ref="H96:H97" si="50">F96/E96*100</f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3" t="s">
        <v>263</v>
      </c>
      <c r="C97" s="46" t="s">
        <v>18</v>
      </c>
      <c r="D97" s="31"/>
      <c r="E97" s="31">
        <v>0.2</v>
      </c>
      <c r="F97" s="31"/>
      <c r="G97" s="31"/>
      <c r="H97" s="162">
        <f t="shared" si="50"/>
        <v>0</v>
      </c>
      <c r="I97" s="31"/>
      <c r="J97" s="28"/>
      <c r="K97" s="53"/>
      <c r="L97" s="53"/>
      <c r="M97" s="53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23" t="s">
        <v>47</v>
      </c>
      <c r="B98" s="93" t="s">
        <v>109</v>
      </c>
      <c r="C98" s="46" t="s">
        <v>18</v>
      </c>
      <c r="D98" s="31"/>
      <c r="E98" s="31"/>
      <c r="F98" s="31"/>
      <c r="G98" s="31"/>
      <c r="H98" s="162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47244094488188981" right="0.35433070866141736" top="0.55118110236220474" bottom="0.43307086614173229" header="0" footer="0"/>
  <pageSetup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109375" customWidth="1"/>
    <col min="2" max="2" width="29.33203125" customWidth="1"/>
    <col min="3" max="3" width="9.21875" customWidth="1"/>
    <col min="4" max="4" width="19.21875" customWidth="1"/>
    <col min="5" max="5" width="18.6640625" customWidth="1"/>
    <col min="6" max="8" width="12.6640625" customWidth="1"/>
    <col min="9" max="9" width="10.77734375" customWidth="1"/>
    <col min="10" max="10" width="8.88671875" customWidth="1"/>
    <col min="11" max="11" width="21.109375" customWidth="1"/>
    <col min="12" max="14" width="8.88671875" customWidth="1"/>
    <col min="15" max="21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25">
      <c r="A2" s="334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269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25">
      <c r="A5" s="335" t="str">
        <f>'ĐĂK CHUM 1(3)'!A5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2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36" t="s">
        <v>8</v>
      </c>
      <c r="F7" s="337"/>
      <c r="G7" s="337"/>
      <c r="H7" s="338"/>
      <c r="I7" s="314" t="s">
        <v>265</v>
      </c>
      <c r="J7" s="126"/>
      <c r="K7" s="11" t="s">
        <v>10</v>
      </c>
      <c r="L7" s="160">
        <v>28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60">
        <v>92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32.82</v>
      </c>
      <c r="E9" s="131">
        <f t="shared" si="0"/>
        <v>58.92</v>
      </c>
      <c r="F9" s="131">
        <f t="shared" si="0"/>
        <v>32.54</v>
      </c>
      <c r="G9" s="131">
        <f t="shared" si="0"/>
        <v>32.54</v>
      </c>
      <c r="H9" s="131">
        <f t="shared" ref="H9:H30" si="1">F9/E9*100</f>
        <v>55.227427019687717</v>
      </c>
      <c r="I9" s="131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19.809999999999999</v>
      </c>
      <c r="F10" s="17">
        <f t="shared" si="2"/>
        <v>2.2999999999999998</v>
      </c>
      <c r="G10" s="17">
        <f t="shared" si="2"/>
        <v>2.2999999999999998</v>
      </c>
      <c r="H10" s="131">
        <f t="shared" si="1"/>
        <v>11.610297829379101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69.393340000000009</v>
      </c>
      <c r="F11" s="17">
        <f t="shared" si="3"/>
        <v>0</v>
      </c>
      <c r="G11" s="17">
        <f t="shared" si="3"/>
        <v>0</v>
      </c>
      <c r="H11" s="131">
        <f t="shared" si="1"/>
        <v>0</v>
      </c>
      <c r="I11" s="17"/>
      <c r="J11" s="133"/>
      <c r="K11" s="133"/>
      <c r="L11" s="133"/>
      <c r="M11" s="133"/>
      <c r="N11" s="133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65.703340000000011</v>
      </c>
      <c r="F12" s="17">
        <f t="shared" si="4"/>
        <v>0</v>
      </c>
      <c r="G12" s="17">
        <f t="shared" si="4"/>
        <v>0</v>
      </c>
      <c r="H12" s="131">
        <f t="shared" si="1"/>
        <v>0</v>
      </c>
      <c r="I12" s="17"/>
      <c r="J12" s="133"/>
      <c r="K12" s="133"/>
      <c r="L12" s="133"/>
      <c r="M12" s="133"/>
      <c r="N12" s="133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18.809999999999999</v>
      </c>
      <c r="F13" s="17">
        <f t="shared" si="5"/>
        <v>1.3</v>
      </c>
      <c r="G13" s="17">
        <f t="shared" si="5"/>
        <v>1.3</v>
      </c>
      <c r="H13" s="131">
        <f t="shared" si="1"/>
        <v>6.911217437533228</v>
      </c>
      <c r="I13" s="17"/>
      <c r="J13" s="126"/>
      <c r="K13" s="126"/>
      <c r="L13" s="126"/>
      <c r="M13" s="126"/>
      <c r="N13" s="12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/>
      <c r="E14" s="31">
        <f t="shared" ref="E14:G14" si="6">E15/E13*10</f>
        <v>34.930005316321115</v>
      </c>
      <c r="F14" s="31">
        <f t="shared" si="6"/>
        <v>0</v>
      </c>
      <c r="G14" s="31">
        <f t="shared" si="6"/>
        <v>0</v>
      </c>
      <c r="H14" s="131">
        <f t="shared" si="1"/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D18+D21</f>
        <v>0</v>
      </c>
      <c r="E15" s="31">
        <f t="shared" si="7"/>
        <v>65.703340000000011</v>
      </c>
      <c r="F15" s="31">
        <f t="shared" si="7"/>
        <v>0</v>
      </c>
      <c r="G15" s="31">
        <f t="shared" si="7"/>
        <v>0</v>
      </c>
      <c r="H15" s="131">
        <f t="shared" si="1"/>
        <v>0</v>
      </c>
      <c r="I15" s="31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1.3</v>
      </c>
      <c r="F16" s="17">
        <v>1.3</v>
      </c>
      <c r="G16" s="17">
        <v>1.3</v>
      </c>
      <c r="H16" s="131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9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31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9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4.3550000000000004</v>
      </c>
      <c r="F18" s="31">
        <f t="shared" si="8"/>
        <v>0</v>
      </c>
      <c r="G18" s="31">
        <f t="shared" si="8"/>
        <v>0</v>
      </c>
      <c r="H18" s="131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9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17.509999999999998</v>
      </c>
      <c r="F19" s="17">
        <f t="shared" si="9"/>
        <v>0</v>
      </c>
      <c r="G19" s="17">
        <f t="shared" si="9"/>
        <v>0</v>
      </c>
      <c r="H19" s="131">
        <f t="shared" si="1"/>
        <v>0</v>
      </c>
      <c r="I19" s="17"/>
      <c r="J19" s="28"/>
      <c r="K19" s="28"/>
      <c r="L19" s="28"/>
      <c r="M19" s="28"/>
      <c r="N19" s="44"/>
      <c r="O19" s="86"/>
      <c r="P19" s="86"/>
      <c r="Q19" s="86"/>
      <c r="R19" s="86"/>
      <c r="S19" s="86"/>
      <c r="T19" s="86"/>
      <c r="U19" s="86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/>
      <c r="E20" s="31">
        <f>E21/E19*10</f>
        <v>35.036173615077104</v>
      </c>
      <c r="F20" s="31"/>
      <c r="G20" s="31"/>
      <c r="H20" s="131">
        <f t="shared" si="1"/>
        <v>0</v>
      </c>
      <c r="I20" s="31"/>
      <c r="J20" s="28"/>
      <c r="K20" s="28"/>
      <c r="L20" s="28"/>
      <c r="M20" s="28"/>
      <c r="N20" s="44"/>
      <c r="O20" s="86"/>
      <c r="P20" s="86"/>
      <c r="Q20" s="86"/>
      <c r="R20" s="86"/>
      <c r="S20" s="86"/>
      <c r="T20" s="86"/>
      <c r="U20" s="86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0">D24+D27</f>
        <v>0</v>
      </c>
      <c r="E21" s="31">
        <f t="shared" si="10"/>
        <v>61.348340000000007</v>
      </c>
      <c r="F21" s="31">
        <f t="shared" si="10"/>
        <v>0</v>
      </c>
      <c r="G21" s="31">
        <f t="shared" si="10"/>
        <v>0</v>
      </c>
      <c r="H21" s="131">
        <f t="shared" si="1"/>
        <v>0</v>
      </c>
      <c r="I21" s="31"/>
      <c r="J21" s="28"/>
      <c r="K21" s="28"/>
      <c r="L21" s="28"/>
      <c r="M21" s="28"/>
      <c r="N21" s="44"/>
      <c r="O21" s="86"/>
      <c r="P21" s="86"/>
      <c r="Q21" s="86"/>
      <c r="R21" s="86"/>
      <c r="S21" s="86"/>
      <c r="T21" s="86"/>
      <c r="U21" s="86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1" t="s">
        <v>33</v>
      </c>
      <c r="C22" s="40" t="s">
        <v>18</v>
      </c>
      <c r="D22" s="17"/>
      <c r="E22" s="17">
        <v>15.01</v>
      </c>
      <c r="F22" s="31">
        <v>0</v>
      </c>
      <c r="G22" s="17">
        <v>0</v>
      </c>
      <c r="H22" s="131">
        <f t="shared" si="1"/>
        <v>0</v>
      </c>
      <c r="I22" s="31"/>
      <c r="J22" s="53"/>
      <c r="K22" s="53"/>
      <c r="L22" s="53"/>
      <c r="M22" s="53"/>
      <c r="N22" s="61"/>
      <c r="O22" s="152"/>
      <c r="P22" s="152"/>
      <c r="Q22" s="152"/>
      <c r="R22" s="152"/>
      <c r="S22" s="152"/>
      <c r="T22" s="134"/>
      <c r="U22" s="86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31">
        <f t="shared" si="1"/>
        <v>0</v>
      </c>
      <c r="I23" s="31"/>
      <c r="J23" s="53"/>
      <c r="K23" s="53"/>
      <c r="L23" s="53"/>
      <c r="M23" s="53"/>
      <c r="N23" s="61"/>
      <c r="O23" s="152"/>
      <c r="P23" s="152"/>
      <c r="Q23" s="152"/>
      <c r="R23" s="152"/>
      <c r="S23" s="152"/>
      <c r="T23" s="134"/>
      <c r="U23" s="86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1">D22*D23/10</f>
        <v>0</v>
      </c>
      <c r="E24" s="31">
        <f t="shared" si="11"/>
        <v>57.54834000000001</v>
      </c>
      <c r="F24" s="31">
        <f t="shared" si="11"/>
        <v>0</v>
      </c>
      <c r="G24" s="31">
        <f t="shared" si="11"/>
        <v>0</v>
      </c>
      <c r="H24" s="131">
        <f t="shared" si="1"/>
        <v>0</v>
      </c>
      <c r="I24" s="31"/>
      <c r="J24" s="53"/>
      <c r="K24" s="53"/>
      <c r="L24" s="53"/>
      <c r="M24" s="53"/>
      <c r="N24" s="61"/>
      <c r="O24" s="152"/>
      <c r="P24" s="152"/>
      <c r="Q24" s="152"/>
      <c r="R24" s="152"/>
      <c r="S24" s="152"/>
      <c r="T24" s="134"/>
      <c r="U24" s="86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1" t="s">
        <v>34</v>
      </c>
      <c r="C25" s="40" t="s">
        <v>18</v>
      </c>
      <c r="D25" s="17"/>
      <c r="E25" s="17">
        <v>2.5</v>
      </c>
      <c r="F25" s="31">
        <v>0</v>
      </c>
      <c r="G25" s="17">
        <v>0</v>
      </c>
      <c r="H25" s="131">
        <f t="shared" si="1"/>
        <v>0</v>
      </c>
      <c r="I25" s="31"/>
      <c r="J25" s="53"/>
      <c r="K25" s="53"/>
      <c r="L25" s="53"/>
      <c r="M25" s="53"/>
      <c r="N25" s="53"/>
      <c r="O25" s="33"/>
      <c r="P25" s="33"/>
      <c r="Q25" s="33"/>
      <c r="R25" s="153"/>
      <c r="S25" s="153"/>
      <c r="T25" s="1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31">
        <f t="shared" si="1"/>
        <v>0</v>
      </c>
      <c r="I26" s="31"/>
      <c r="J26" s="53"/>
      <c r="K26" s="53"/>
      <c r="L26" s="53"/>
      <c r="M26" s="53"/>
      <c r="N26" s="53"/>
      <c r="O26" s="33"/>
      <c r="P26" s="33"/>
      <c r="Q26" s="33"/>
      <c r="R26" s="153"/>
      <c r="S26" s="153"/>
      <c r="T26" s="1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>
        <f t="shared" ref="D27:G27" si="12">D25*D26/10</f>
        <v>0</v>
      </c>
      <c r="E27" s="31">
        <f t="shared" si="12"/>
        <v>3.8</v>
      </c>
      <c r="F27" s="31">
        <f t="shared" si="12"/>
        <v>0</v>
      </c>
      <c r="G27" s="31">
        <f t="shared" si="12"/>
        <v>0</v>
      </c>
      <c r="H27" s="131">
        <f t="shared" si="1"/>
        <v>0</v>
      </c>
      <c r="I27" s="31"/>
      <c r="J27" s="53"/>
      <c r="K27" s="53"/>
      <c r="L27" s="53"/>
      <c r="M27" s="53"/>
      <c r="N27" s="53"/>
      <c r="O27" s="33"/>
      <c r="P27" s="33"/>
      <c r="Q27" s="33"/>
      <c r="R27" s="153"/>
      <c r="S27" s="153"/>
      <c r="T27" s="1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131">
        <f t="shared" si="1"/>
        <v>100</v>
      </c>
      <c r="I28" s="17"/>
      <c r="J28" s="28"/>
      <c r="K28" s="28"/>
      <c r="L28" s="28"/>
      <c r="M28" s="28"/>
      <c r="N28" s="28"/>
      <c r="O28" s="2"/>
      <c r="P28" s="2"/>
      <c r="Q28" s="2"/>
      <c r="R28" s="1"/>
      <c r="S28" s="1"/>
      <c r="T28" s="1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E29" si="14">D30/D28*10</f>
        <v>36.85</v>
      </c>
      <c r="E29" s="31">
        <f t="shared" si="14"/>
        <v>36.9</v>
      </c>
      <c r="F29" s="31"/>
      <c r="G29" s="31"/>
      <c r="H29" s="131">
        <f t="shared" si="1"/>
        <v>0</v>
      </c>
      <c r="I29" s="31"/>
      <c r="J29" s="28"/>
      <c r="K29" s="28"/>
      <c r="L29" s="28"/>
      <c r="M29" s="28"/>
      <c r="N29" s="28"/>
      <c r="O29" s="2"/>
      <c r="P29" s="2"/>
      <c r="Q29" s="2"/>
      <c r="R29" s="1"/>
      <c r="S29" s="1"/>
      <c r="T29" s="1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5">D33+D36</f>
        <v>3.6850000000000001</v>
      </c>
      <c r="E30" s="31">
        <f t="shared" si="15"/>
        <v>3.69</v>
      </c>
      <c r="F30" s="31">
        <f t="shared" si="15"/>
        <v>0</v>
      </c>
      <c r="G30" s="31">
        <f t="shared" si="15"/>
        <v>0</v>
      </c>
      <c r="H30" s="131">
        <f t="shared" si="1"/>
        <v>0</v>
      </c>
      <c r="I30" s="31"/>
      <c r="J30" s="28"/>
      <c r="K30" s="28"/>
      <c r="L30" s="28"/>
      <c r="M30" s="28"/>
      <c r="N30" s="28"/>
      <c r="O30" s="2"/>
      <c r="P30" s="2"/>
      <c r="Q30" s="2"/>
      <c r="R30" s="1"/>
      <c r="S30" s="1"/>
      <c r="T30" s="1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31"/>
      <c r="I31" s="17"/>
      <c r="J31" s="28"/>
      <c r="K31" s="35"/>
      <c r="L31" s="28"/>
      <c r="M31" s="28"/>
      <c r="N31" s="28"/>
      <c r="O31" s="2"/>
      <c r="P31" s="2"/>
      <c r="Q31" s="2"/>
      <c r="R31" s="1"/>
      <c r="S31" s="1"/>
      <c r="T31" s="1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31"/>
      <c r="I32" s="17"/>
      <c r="J32" s="28"/>
      <c r="K32" s="35"/>
      <c r="L32" s="28"/>
      <c r="M32" s="28"/>
      <c r="N32" s="28"/>
      <c r="O32" s="2"/>
      <c r="P32" s="2"/>
      <c r="Q32" s="2"/>
      <c r="R32" s="1"/>
      <c r="S32" s="1"/>
      <c r="T32" s="1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31"/>
      <c r="I33" s="17"/>
      <c r="J33" s="28"/>
      <c r="K33" s="35"/>
      <c r="L33" s="28"/>
      <c r="M33" s="28"/>
      <c r="N33" s="28"/>
      <c r="O33" s="2"/>
      <c r="P33" s="2"/>
      <c r="Q33" s="2"/>
      <c r="R33" s="1"/>
      <c r="S33" s="1"/>
      <c r="T33" s="1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31">
        <f t="shared" ref="H34:H39" si="16">F34/E34*100</f>
        <v>100</v>
      </c>
      <c r="I34" s="31"/>
      <c r="J34" s="28"/>
      <c r="K34" s="28"/>
      <c r="L34" s="28"/>
      <c r="M34" s="28"/>
      <c r="N34" s="28"/>
      <c r="O34" s="2"/>
      <c r="P34" s="2"/>
      <c r="Q34" s="2"/>
      <c r="R34" s="2"/>
      <c r="S34" s="2"/>
      <c r="T34" s="2"/>
      <c r="U34" s="2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>
        <v>0</v>
      </c>
      <c r="G35" s="31"/>
      <c r="H35" s="131">
        <f t="shared" si="16"/>
        <v>0</v>
      </c>
      <c r="I35" s="31"/>
      <c r="J35" s="28"/>
      <c r="K35" s="137"/>
      <c r="L35" s="155"/>
      <c r="M35" s="155"/>
      <c r="N35" s="155"/>
      <c r="O35" s="155"/>
      <c r="P35" s="2"/>
      <c r="Q35" s="2"/>
      <c r="R35" s="2"/>
      <c r="S35" s="2"/>
      <c r="T35" s="2"/>
      <c r="U35" s="2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3.6850000000000001</v>
      </c>
      <c r="E36" s="31">
        <f t="shared" si="17"/>
        <v>3.69</v>
      </c>
      <c r="F36" s="31">
        <f t="shared" si="17"/>
        <v>0</v>
      </c>
      <c r="G36" s="31">
        <f t="shared" si="17"/>
        <v>0</v>
      </c>
      <c r="H36" s="131">
        <f t="shared" si="16"/>
        <v>0</v>
      </c>
      <c r="I36" s="31"/>
      <c r="J36" s="28"/>
      <c r="K36" s="44"/>
      <c r="L36" s="44"/>
      <c r="M36" s="44"/>
      <c r="N36" s="44"/>
      <c r="O36" s="44"/>
      <c r="P36" s="2"/>
      <c r="Q36" s="2"/>
      <c r="R36" s="2"/>
      <c r="S36" s="2"/>
      <c r="T36" s="2"/>
      <c r="U36" s="2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3</v>
      </c>
      <c r="E37" s="17">
        <v>3.17</v>
      </c>
      <c r="F37" s="17">
        <v>3.17</v>
      </c>
      <c r="G37" s="17">
        <v>3.17</v>
      </c>
      <c r="H37" s="131">
        <f t="shared" si="16"/>
        <v>100</v>
      </c>
      <c r="I37" s="31"/>
      <c r="J37" s="61"/>
      <c r="K37" s="61"/>
      <c r="L37" s="61"/>
      <c r="M37" s="61"/>
      <c r="N37" s="61"/>
      <c r="O37" s="61"/>
      <c r="P37" s="152"/>
      <c r="Q37" s="152"/>
      <c r="R37" s="152"/>
      <c r="S37" s="152"/>
      <c r="T37" s="152"/>
      <c r="U37" s="152"/>
      <c r="V37" s="1"/>
      <c r="W37" s="1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17"/>
      <c r="E38" s="31">
        <v>140</v>
      </c>
      <c r="F38" s="31"/>
      <c r="G38" s="31"/>
      <c r="H38" s="131">
        <f t="shared" si="16"/>
        <v>0</v>
      </c>
      <c r="I38" s="31"/>
      <c r="J38" s="61"/>
      <c r="K38" s="61"/>
      <c r="L38" s="61"/>
      <c r="M38" s="61"/>
      <c r="N38" s="61"/>
      <c r="O38" s="61"/>
      <c r="P38" s="152"/>
      <c r="Q38" s="152"/>
      <c r="R38" s="152"/>
      <c r="S38" s="152"/>
      <c r="T38" s="152"/>
      <c r="U38" s="152"/>
      <c r="V38" s="1"/>
      <c r="W38" s="1"/>
      <c r="X38" s="1"/>
      <c r="Y38" s="1"/>
      <c r="Z38" s="1"/>
    </row>
    <row r="39" spans="1:26" ht="31.5" customHeight="1" x14ac:dyDescent="0.25">
      <c r="A39" s="9"/>
      <c r="B39" s="47" t="s">
        <v>27</v>
      </c>
      <c r="C39" s="48" t="s">
        <v>21</v>
      </c>
      <c r="D39" s="157"/>
      <c r="E39" s="49">
        <f t="shared" ref="E39:G39" si="18">E37*E38/10</f>
        <v>44.38</v>
      </c>
      <c r="F39" s="49">
        <f t="shared" si="18"/>
        <v>0</v>
      </c>
      <c r="G39" s="49">
        <f t="shared" si="18"/>
        <v>0</v>
      </c>
      <c r="H39" s="131">
        <f t="shared" si="16"/>
        <v>0</v>
      </c>
      <c r="I39" s="31"/>
      <c r="J39" s="61"/>
      <c r="K39" s="61"/>
      <c r="L39" s="61"/>
      <c r="M39" s="61"/>
      <c r="N39" s="61"/>
      <c r="O39" s="61"/>
      <c r="P39" s="152"/>
      <c r="Q39" s="152"/>
      <c r="R39" s="152"/>
      <c r="S39" s="152"/>
      <c r="T39" s="152"/>
      <c r="U39" s="152"/>
      <c r="V39" s="1"/>
      <c r="W39" s="1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</v>
      </c>
      <c r="F40" s="163"/>
      <c r="G40" s="17"/>
      <c r="H40" s="131"/>
      <c r="I40" s="17"/>
      <c r="J40" s="61"/>
      <c r="K40" s="61"/>
      <c r="L40" s="61"/>
      <c r="M40" s="61"/>
      <c r="N40" s="61"/>
      <c r="O40" s="61"/>
      <c r="P40" s="152"/>
      <c r="Q40" s="152"/>
      <c r="R40" s="152"/>
      <c r="S40" s="152"/>
      <c r="T40" s="152"/>
      <c r="U40" s="152"/>
      <c r="V40" s="1"/>
      <c r="W40" s="1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164"/>
      <c r="G41" s="31"/>
      <c r="H41" s="131">
        <f>F41/E41*100</f>
        <v>0</v>
      </c>
      <c r="I41" s="31"/>
      <c r="J41" s="61"/>
      <c r="K41" s="61"/>
      <c r="L41" s="61"/>
      <c r="M41" s="61"/>
      <c r="N41" s="61"/>
      <c r="O41" s="61"/>
      <c r="P41" s="152"/>
      <c r="Q41" s="152"/>
      <c r="R41" s="152"/>
      <c r="S41" s="152"/>
      <c r="T41" s="152"/>
      <c r="U41" s="152"/>
      <c r="V41" s="1"/>
      <c r="W41" s="1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19">E40*E41/10</f>
        <v>0</v>
      </c>
      <c r="F42" s="31">
        <f t="shared" si="19"/>
        <v>0</v>
      </c>
      <c r="G42" s="31">
        <f t="shared" si="19"/>
        <v>0</v>
      </c>
      <c r="H42" s="131"/>
      <c r="I42" s="31"/>
      <c r="J42" s="61"/>
      <c r="K42" s="61"/>
      <c r="L42" s="61"/>
      <c r="M42" s="61"/>
      <c r="N42" s="61"/>
      <c r="O42" s="61"/>
      <c r="P42" s="152"/>
      <c r="Q42" s="152"/>
      <c r="R42" s="152"/>
      <c r="S42" s="152"/>
      <c r="T42" s="152"/>
      <c r="U42" s="152"/>
      <c r="V42" s="1"/>
      <c r="W42" s="1"/>
      <c r="X42" s="1"/>
      <c r="Y42" s="1"/>
      <c r="Z42" s="1"/>
    </row>
    <row r="43" spans="1:26" ht="31.5" customHeight="1" x14ac:dyDescent="0.25">
      <c r="A43" s="165">
        <v>4</v>
      </c>
      <c r="B43" s="16" t="s">
        <v>41</v>
      </c>
      <c r="C43" s="15" t="s">
        <v>18</v>
      </c>
      <c r="D43" s="131">
        <v>0.5</v>
      </c>
      <c r="E43" s="131">
        <v>0.5</v>
      </c>
      <c r="F43" s="17">
        <v>0.27</v>
      </c>
      <c r="G43" s="17">
        <f>F43</f>
        <v>0.27</v>
      </c>
      <c r="H43" s="131">
        <f t="shared" ref="H43:H50" si="20">F43/E43*100</f>
        <v>54</v>
      </c>
      <c r="I43" s="17"/>
      <c r="J43" s="126"/>
      <c r="K43" s="35"/>
      <c r="L43" s="79"/>
      <c r="M43" s="79"/>
      <c r="N43" s="79"/>
      <c r="O43" s="7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31">
        <f t="shared" si="20"/>
        <v>0</v>
      </c>
      <c r="I44" s="31"/>
      <c r="J44" s="126"/>
      <c r="K44" s="135"/>
      <c r="L44" s="126"/>
      <c r="M44" s="126"/>
      <c r="N44" s="12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7" t="s">
        <v>27</v>
      </c>
      <c r="C45" s="48" t="s">
        <v>21</v>
      </c>
      <c r="D45" s="31">
        <f t="shared" ref="D45:G45" si="21">D43*D44/10</f>
        <v>5</v>
      </c>
      <c r="E45" s="31">
        <f t="shared" si="21"/>
        <v>4.9249999999999998</v>
      </c>
      <c r="F45" s="31">
        <f t="shared" si="21"/>
        <v>0</v>
      </c>
      <c r="G45" s="31">
        <f t="shared" si="21"/>
        <v>0</v>
      </c>
      <c r="H45" s="131">
        <f t="shared" si="20"/>
        <v>0</v>
      </c>
      <c r="I45" s="31"/>
      <c r="J45" s="126"/>
      <c r="K45" s="126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2">D47+D55+D64</f>
        <v>17.12</v>
      </c>
      <c r="E46" s="17">
        <f t="shared" si="22"/>
        <v>22.92</v>
      </c>
      <c r="F46" s="17">
        <f t="shared" si="22"/>
        <v>17.419999999999998</v>
      </c>
      <c r="G46" s="17">
        <f t="shared" si="22"/>
        <v>17.419999999999998</v>
      </c>
      <c r="H46" s="131">
        <f t="shared" si="20"/>
        <v>76.003490401396149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3">D48+D49</f>
        <v>12.620000000000001</v>
      </c>
      <c r="E47" s="17">
        <f t="shared" si="23"/>
        <v>17.62</v>
      </c>
      <c r="F47" s="17">
        <f t="shared" si="23"/>
        <v>12.62</v>
      </c>
      <c r="G47" s="17">
        <f t="shared" si="23"/>
        <v>12.62</v>
      </c>
      <c r="H47" s="131">
        <f t="shared" si="20"/>
        <v>71.623155505107832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7" t="s">
        <v>32</v>
      </c>
      <c r="B48" s="58" t="s">
        <v>45</v>
      </c>
      <c r="C48" s="59" t="s">
        <v>18</v>
      </c>
      <c r="D48" s="31">
        <v>9</v>
      </c>
      <c r="E48" s="31">
        <f>D48+D49</f>
        <v>12.620000000000001</v>
      </c>
      <c r="F48" s="31">
        <v>12.62</v>
      </c>
      <c r="G48" s="31">
        <v>12.62</v>
      </c>
      <c r="H48" s="168">
        <f t="shared" si="20"/>
        <v>99.999999999999986</v>
      </c>
      <c r="I48" s="31"/>
      <c r="J48" s="53"/>
      <c r="K48" s="53"/>
      <c r="L48" s="53"/>
      <c r="M48" s="53"/>
      <c r="N48" s="53"/>
      <c r="O48" s="33"/>
      <c r="P48" s="3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4">D50+D51</f>
        <v>3.62</v>
      </c>
      <c r="E49" s="17">
        <f t="shared" si="24"/>
        <v>5</v>
      </c>
      <c r="F49" s="17">
        <f t="shared" si="24"/>
        <v>0</v>
      </c>
      <c r="G49" s="17">
        <f t="shared" si="24"/>
        <v>0</v>
      </c>
      <c r="H49" s="131">
        <f t="shared" si="20"/>
        <v>0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59" t="s">
        <v>47</v>
      </c>
      <c r="B50" s="64" t="s">
        <v>48</v>
      </c>
      <c r="C50" s="59" t="s">
        <v>18</v>
      </c>
      <c r="D50" s="31">
        <v>3.62</v>
      </c>
      <c r="E50" s="31">
        <v>5</v>
      </c>
      <c r="F50" s="31">
        <v>0</v>
      </c>
      <c r="G50" s="31">
        <v>0</v>
      </c>
      <c r="H50" s="131">
        <f t="shared" si="20"/>
        <v>0</v>
      </c>
      <c r="I50" s="31"/>
      <c r="J50" s="135"/>
      <c r="K50" s="115"/>
      <c r="L50" s="115"/>
      <c r="M50" s="115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59" t="s">
        <v>47</v>
      </c>
      <c r="B51" s="64" t="s">
        <v>49</v>
      </c>
      <c r="C51" s="30" t="s">
        <v>18</v>
      </c>
      <c r="D51" s="31"/>
      <c r="E51" s="31"/>
      <c r="F51" s="31"/>
      <c r="G51" s="31"/>
      <c r="H51" s="131"/>
      <c r="I51" s="31"/>
      <c r="J51" s="126"/>
      <c r="K51" s="126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5">D53+D54</f>
        <v>6.85</v>
      </c>
      <c r="E52" s="17">
        <f t="shared" si="25"/>
        <v>7.6499999999999995</v>
      </c>
      <c r="F52" s="17">
        <f t="shared" si="25"/>
        <v>7.65</v>
      </c>
      <c r="G52" s="17">
        <f t="shared" si="25"/>
        <v>7.65</v>
      </c>
      <c r="H52" s="131">
        <f t="shared" ref="H52:H53" si="26">F52/E52*100</f>
        <v>100.00000000000003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66" t="s">
        <v>47</v>
      </c>
      <c r="B53" s="64" t="s">
        <v>51</v>
      </c>
      <c r="C53" s="30" t="s">
        <v>18</v>
      </c>
      <c r="D53" s="31">
        <f>5.85-1</f>
        <v>4.8499999999999996</v>
      </c>
      <c r="E53" s="31">
        <f>D48*85%</f>
        <v>7.6499999999999995</v>
      </c>
      <c r="F53" s="31">
        <v>7.65</v>
      </c>
      <c r="G53" s="31">
        <v>7.65</v>
      </c>
      <c r="H53" s="168">
        <f t="shared" si="26"/>
        <v>100.00000000000003</v>
      </c>
      <c r="I53" s="31"/>
      <c r="J53" s="126"/>
      <c r="K53" s="126"/>
      <c r="L53" s="126"/>
      <c r="M53" s="135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4" t="s">
        <v>52</v>
      </c>
      <c r="C54" s="30" t="s">
        <v>18</v>
      </c>
      <c r="D54" s="31">
        <v>2</v>
      </c>
      <c r="E54" s="31"/>
      <c r="F54" s="31"/>
      <c r="G54" s="31"/>
      <c r="H54" s="168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7">D56+D57</f>
        <v>4.5</v>
      </c>
      <c r="E55" s="17">
        <f t="shared" si="27"/>
        <v>5.3</v>
      </c>
      <c r="F55" s="17">
        <f t="shared" si="27"/>
        <v>4.8</v>
      </c>
      <c r="G55" s="17">
        <f t="shared" si="27"/>
        <v>4.8</v>
      </c>
      <c r="H55" s="131">
        <f t="shared" ref="H55:H63" si="28">F55/E55*100</f>
        <v>90.566037735849065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58" t="s">
        <v>50</v>
      </c>
      <c r="C56" s="30" t="s">
        <v>18</v>
      </c>
      <c r="D56" s="31">
        <v>4.5</v>
      </c>
      <c r="E56" s="31">
        <f>D56+E58</f>
        <v>4.8</v>
      </c>
      <c r="F56" s="31">
        <v>4.8</v>
      </c>
      <c r="G56" s="31">
        <v>4.8</v>
      </c>
      <c r="H56" s="168">
        <f t="shared" si="28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9">D58+D61</f>
        <v>0</v>
      </c>
      <c r="E57" s="31">
        <f t="shared" si="29"/>
        <v>0.5</v>
      </c>
      <c r="F57" s="31">
        <f t="shared" si="29"/>
        <v>0</v>
      </c>
      <c r="G57" s="31">
        <f t="shared" si="29"/>
        <v>0</v>
      </c>
      <c r="H57" s="131">
        <f t="shared" si="28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30">D59+D60</f>
        <v>0</v>
      </c>
      <c r="E58" s="71">
        <f t="shared" si="30"/>
        <v>0.30000000000000004</v>
      </c>
      <c r="F58" s="71">
        <f t="shared" si="30"/>
        <v>0</v>
      </c>
      <c r="G58" s="71">
        <f t="shared" si="30"/>
        <v>0</v>
      </c>
      <c r="H58" s="131">
        <f t="shared" si="28"/>
        <v>0</v>
      </c>
      <c r="I58" s="71"/>
      <c r="J58" s="138"/>
      <c r="K58" s="97"/>
      <c r="L58" s="97"/>
      <c r="M58" s="97"/>
      <c r="N58" s="97"/>
      <c r="O58" s="97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1.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31">
        <f t="shared" si="28"/>
        <v>0</v>
      </c>
      <c r="I59" s="31"/>
      <c r="J59" s="35"/>
      <c r="K59" s="137"/>
      <c r="L59" s="137"/>
      <c r="M59" s="137"/>
      <c r="N59" s="137"/>
      <c r="O59" s="13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31">
        <f t="shared" si="28"/>
        <v>0</v>
      </c>
      <c r="I60" s="31"/>
      <c r="J60" s="35"/>
      <c r="K60" s="137"/>
      <c r="L60" s="137"/>
      <c r="M60" s="137"/>
      <c r="N60" s="137"/>
      <c r="O60" s="13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1">D62+D63</f>
        <v>0</v>
      </c>
      <c r="E61" s="71">
        <f t="shared" si="31"/>
        <v>0.2</v>
      </c>
      <c r="F61" s="71">
        <f t="shared" si="31"/>
        <v>0</v>
      </c>
      <c r="G61" s="71">
        <f t="shared" si="31"/>
        <v>0</v>
      </c>
      <c r="H61" s="131">
        <f t="shared" si="28"/>
        <v>0</v>
      </c>
      <c r="I61" s="71"/>
      <c r="J61" s="35"/>
      <c r="K61" s="97"/>
      <c r="L61" s="138"/>
      <c r="M61" s="138"/>
      <c r="N61" s="138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1.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0.1</v>
      </c>
      <c r="F62" s="31">
        <v>0</v>
      </c>
      <c r="G62" s="31">
        <v>0</v>
      </c>
      <c r="H62" s="131">
        <f t="shared" si="28"/>
        <v>0</v>
      </c>
      <c r="I62" s="31"/>
      <c r="J62" s="35"/>
      <c r="K62" s="137"/>
      <c r="L62" s="137"/>
      <c r="M62" s="137"/>
      <c r="N62" s="137"/>
      <c r="O62" s="13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31">
        <f t="shared" si="28"/>
        <v>0</v>
      </c>
      <c r="I63" s="31"/>
      <c r="J63" s="35"/>
      <c r="K63" s="137"/>
      <c r="L63" s="137"/>
      <c r="M63" s="137"/>
      <c r="N63" s="137"/>
      <c r="O63" s="13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2">D65+D66</f>
        <v>0</v>
      </c>
      <c r="E64" s="17">
        <f t="shared" si="32"/>
        <v>0</v>
      </c>
      <c r="F64" s="17">
        <f t="shared" si="32"/>
        <v>0</v>
      </c>
      <c r="G64" s="17">
        <f t="shared" si="32"/>
        <v>0</v>
      </c>
      <c r="H64" s="131"/>
      <c r="I64" s="17"/>
      <c r="J64" s="35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58" t="s">
        <v>45</v>
      </c>
      <c r="C65" s="30" t="s">
        <v>18</v>
      </c>
      <c r="D65" s="31"/>
      <c r="E65" s="31"/>
      <c r="F65" s="31"/>
      <c r="G65" s="31"/>
      <c r="H65" s="131"/>
      <c r="I65" s="31"/>
      <c r="J65" s="126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31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3">D68+D71</f>
        <v>11.2</v>
      </c>
      <c r="E67" s="17">
        <f t="shared" si="33"/>
        <v>12.52</v>
      </c>
      <c r="F67" s="17">
        <f t="shared" si="33"/>
        <v>9.3800000000000008</v>
      </c>
      <c r="G67" s="17">
        <f t="shared" si="33"/>
        <v>9.3800000000000008</v>
      </c>
      <c r="H67" s="131">
        <f t="shared" ref="H67:H68" si="34">F67/E67*100</f>
        <v>74.920127795527165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5">D69+D70</f>
        <v>0</v>
      </c>
      <c r="E68" s="17">
        <f t="shared" si="35"/>
        <v>3.05</v>
      </c>
      <c r="F68" s="17">
        <f t="shared" si="35"/>
        <v>0</v>
      </c>
      <c r="G68" s="17">
        <f t="shared" si="35"/>
        <v>0</v>
      </c>
      <c r="H68" s="131">
        <f t="shared" si="34"/>
        <v>0</v>
      </c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58" t="s">
        <v>69</v>
      </c>
      <c r="C69" s="30" t="s">
        <v>18</v>
      </c>
      <c r="D69" s="31"/>
      <c r="E69" s="31"/>
      <c r="F69" s="31"/>
      <c r="G69" s="31"/>
      <c r="H69" s="131"/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58" t="s">
        <v>70</v>
      </c>
      <c r="C70" s="30" t="s">
        <v>18</v>
      </c>
      <c r="D70" s="31"/>
      <c r="E70" s="31">
        <f>0.5+2.55</f>
        <v>3.05</v>
      </c>
      <c r="F70" s="31"/>
      <c r="G70" s="31"/>
      <c r="H70" s="131">
        <f t="shared" ref="H70:H75" si="36">F70/E70*100</f>
        <v>0</v>
      </c>
      <c r="I70" s="31"/>
      <c r="J70" s="126"/>
      <c r="K70" s="115"/>
      <c r="L70" s="115"/>
      <c r="M70" s="169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7">D72+D73</f>
        <v>11.2</v>
      </c>
      <c r="E71" s="17">
        <f t="shared" si="37"/>
        <v>9.4699999999999989</v>
      </c>
      <c r="F71" s="17">
        <f t="shared" si="37"/>
        <v>9.3800000000000008</v>
      </c>
      <c r="G71" s="17">
        <f t="shared" si="37"/>
        <v>9.3800000000000008</v>
      </c>
      <c r="H71" s="131">
        <f t="shared" si="36"/>
        <v>99.04963041182684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8">D75+D82</f>
        <v>9.86</v>
      </c>
      <c r="E72" s="87">
        <f t="shared" si="38"/>
        <v>9.379999999999999</v>
      </c>
      <c r="F72" s="87">
        <f t="shared" si="38"/>
        <v>9.3800000000000008</v>
      </c>
      <c r="G72" s="87">
        <f t="shared" si="38"/>
        <v>9.3800000000000008</v>
      </c>
      <c r="H72" s="131">
        <f t="shared" si="36"/>
        <v>100.00000000000003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9">D76+D83</f>
        <v>1.3399999999999999</v>
      </c>
      <c r="E73" s="17">
        <f t="shared" si="39"/>
        <v>0.09</v>
      </c>
      <c r="F73" s="17">
        <f t="shared" si="39"/>
        <v>0</v>
      </c>
      <c r="G73" s="17">
        <f t="shared" si="39"/>
        <v>0</v>
      </c>
      <c r="H73" s="131">
        <f t="shared" si="36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40">D75+D76</f>
        <v>9.379999999999999</v>
      </c>
      <c r="E74" s="91">
        <f t="shared" si="40"/>
        <v>9.379999999999999</v>
      </c>
      <c r="F74" s="91">
        <f t="shared" si="40"/>
        <v>9.3800000000000008</v>
      </c>
      <c r="G74" s="91">
        <f t="shared" si="40"/>
        <v>9.3800000000000008</v>
      </c>
      <c r="H74" s="170">
        <f t="shared" si="36"/>
        <v>100.00000000000003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7" t="s">
        <v>32</v>
      </c>
      <c r="B75" s="93" t="s">
        <v>45</v>
      </c>
      <c r="C75" s="30" t="s">
        <v>18</v>
      </c>
      <c r="D75" s="60">
        <f>5.04+3</f>
        <v>8.0399999999999991</v>
      </c>
      <c r="E75" s="60">
        <f>D75+D76</f>
        <v>9.379999999999999</v>
      </c>
      <c r="F75" s="60">
        <v>9.3800000000000008</v>
      </c>
      <c r="G75" s="60">
        <v>9.3800000000000008</v>
      </c>
      <c r="H75" s="168">
        <f t="shared" si="36"/>
        <v>100.00000000000003</v>
      </c>
      <c r="I75" s="31"/>
      <c r="J75" s="126"/>
      <c r="K75" s="126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41">SUM(D77:D80)</f>
        <v>1.3399999999999999</v>
      </c>
      <c r="E76" s="141">
        <f t="shared" si="41"/>
        <v>0</v>
      </c>
      <c r="F76" s="141">
        <f t="shared" si="41"/>
        <v>0</v>
      </c>
      <c r="G76" s="141">
        <f t="shared" si="41"/>
        <v>0</v>
      </c>
      <c r="H76" s="131"/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6" t="s">
        <v>47</v>
      </c>
      <c r="B77" s="94" t="s">
        <v>80</v>
      </c>
      <c r="C77" s="46" t="s">
        <v>18</v>
      </c>
      <c r="D77" s="31"/>
      <c r="E77" s="31">
        <v>0</v>
      </c>
      <c r="F77" s="31"/>
      <c r="G77" s="31"/>
      <c r="H77" s="131"/>
      <c r="I77" s="31"/>
      <c r="J77" s="138"/>
      <c r="K77" s="138"/>
      <c r="L77" s="97"/>
      <c r="M77" s="143"/>
      <c r="N77" s="143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6" t="s">
        <v>47</v>
      </c>
      <c r="B78" s="94" t="s">
        <v>81</v>
      </c>
      <c r="C78" s="46" t="s">
        <v>18</v>
      </c>
      <c r="D78" s="31">
        <v>0.5</v>
      </c>
      <c r="E78" s="31">
        <v>0</v>
      </c>
      <c r="F78" s="31"/>
      <c r="G78" s="31"/>
      <c r="H78" s="131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131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6" t="s">
        <v>47</v>
      </c>
      <c r="B80" s="144" t="s">
        <v>83</v>
      </c>
      <c r="C80" s="46" t="s">
        <v>18</v>
      </c>
      <c r="D80" s="31">
        <f>1-0.16</f>
        <v>0.84</v>
      </c>
      <c r="E80" s="31"/>
      <c r="F80" s="31"/>
      <c r="G80" s="31"/>
      <c r="H80" s="131"/>
      <c r="I80" s="31"/>
      <c r="J80" s="138"/>
      <c r="K80" s="138"/>
      <c r="L80" s="138"/>
      <c r="M80" s="138"/>
      <c r="N80" s="13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2">D82+D83</f>
        <v>1.82</v>
      </c>
      <c r="E81" s="91">
        <f t="shared" si="42"/>
        <v>0.09</v>
      </c>
      <c r="F81" s="91">
        <f t="shared" si="42"/>
        <v>0</v>
      </c>
      <c r="G81" s="91">
        <f t="shared" si="42"/>
        <v>0</v>
      </c>
      <c r="H81" s="131">
        <f>F81/E81*100</f>
        <v>0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1.5" customHeight="1" x14ac:dyDescent="0.25">
      <c r="A82" s="107" t="s">
        <v>47</v>
      </c>
      <c r="B82" s="94" t="s">
        <v>85</v>
      </c>
      <c r="C82" s="46" t="s">
        <v>18</v>
      </c>
      <c r="D82" s="71">
        <v>1.82</v>
      </c>
      <c r="E82" s="71">
        <v>0</v>
      </c>
      <c r="F82" s="71"/>
      <c r="G82" s="71"/>
      <c r="H82" s="131"/>
      <c r="I82" s="71"/>
      <c r="J82" s="138"/>
      <c r="K82" s="138"/>
      <c r="L82" s="97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1.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3">SUM(D84:D87)</f>
        <v>0</v>
      </c>
      <c r="E83" s="60">
        <f t="shared" si="43"/>
        <v>0.09</v>
      </c>
      <c r="F83" s="60">
        <f t="shared" si="43"/>
        <v>0</v>
      </c>
      <c r="G83" s="60">
        <f t="shared" si="43"/>
        <v>0</v>
      </c>
      <c r="H83" s="131">
        <f>F83/E83*100</f>
        <v>0</v>
      </c>
      <c r="I83" s="60"/>
      <c r="J83" s="138"/>
      <c r="K83" s="138"/>
      <c r="L83" s="97"/>
      <c r="M83" s="97"/>
      <c r="N83" s="97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31"/>
      <c r="I84" s="31"/>
      <c r="J84" s="97"/>
      <c r="K84" s="97"/>
      <c r="L84" s="97"/>
      <c r="M84" s="97"/>
      <c r="N84" s="97"/>
      <c r="O84" s="2"/>
      <c r="P84" s="2"/>
      <c r="Q84" s="2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31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31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07" t="s">
        <v>47</v>
      </c>
      <c r="B87" s="94" t="s">
        <v>89</v>
      </c>
      <c r="C87" s="46" t="s">
        <v>18</v>
      </c>
      <c r="D87" s="31"/>
      <c r="E87" s="31">
        <v>0.09</v>
      </c>
      <c r="F87" s="31">
        <v>0</v>
      </c>
      <c r="G87" s="31">
        <v>0</v>
      </c>
      <c r="H87" s="131">
        <f t="shared" ref="H87:H91" si="44">F87/E87*100</f>
        <v>0</v>
      </c>
      <c r="I87" s="31"/>
      <c r="J87" s="97"/>
      <c r="K87" s="97"/>
      <c r="L87" s="97"/>
      <c r="M87" s="143"/>
      <c r="N87" s="143"/>
      <c r="O87" s="38"/>
      <c r="P87" s="38"/>
      <c r="Q87" s="38"/>
      <c r="R87" s="38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5">SUM(D89:D93)</f>
        <v>207</v>
      </c>
      <c r="E88" s="17">
        <f t="shared" si="45"/>
        <v>220</v>
      </c>
      <c r="F88" s="17">
        <f t="shared" si="45"/>
        <v>196</v>
      </c>
      <c r="G88" s="17">
        <f t="shared" si="45"/>
        <v>196</v>
      </c>
      <c r="H88" s="131">
        <f t="shared" si="44"/>
        <v>89.090909090909093</v>
      </c>
      <c r="I88" s="17"/>
      <c r="J88" s="28"/>
      <c r="K88" s="28"/>
      <c r="L88" s="134"/>
      <c r="M88" s="134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19</v>
      </c>
      <c r="E89" s="31">
        <f>19+10</f>
        <v>29</v>
      </c>
      <c r="F89" s="31">
        <v>27</v>
      </c>
      <c r="G89" s="31">
        <f t="shared" ref="G89:G91" si="46">F89</f>
        <v>27</v>
      </c>
      <c r="H89" s="168">
        <f t="shared" si="44"/>
        <v>93.103448275862064</v>
      </c>
      <c r="I89" s="31"/>
      <c r="J89" s="55"/>
      <c r="K89" s="79"/>
      <c r="L89" s="171"/>
      <c r="M89" s="172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32</v>
      </c>
      <c r="E90" s="31">
        <f>20+3</f>
        <v>23</v>
      </c>
      <c r="F90" s="31">
        <v>22</v>
      </c>
      <c r="G90" s="31">
        <f t="shared" si="46"/>
        <v>22</v>
      </c>
      <c r="H90" s="168">
        <f t="shared" si="44"/>
        <v>95.652173913043484</v>
      </c>
      <c r="I90" s="31"/>
      <c r="J90" s="55"/>
      <c r="K90" s="173"/>
      <c r="L90" s="171"/>
      <c r="M90" s="172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18</v>
      </c>
      <c r="E91" s="31">
        <f>38+12</f>
        <v>50</v>
      </c>
      <c r="F91" s="31">
        <v>47</v>
      </c>
      <c r="G91" s="31">
        <f t="shared" si="46"/>
        <v>47</v>
      </c>
      <c r="H91" s="168">
        <f t="shared" si="44"/>
        <v>94</v>
      </c>
      <c r="I91" s="31"/>
      <c r="J91" s="55"/>
      <c r="K91" s="173"/>
      <c r="L91" s="171"/>
      <c r="M91" s="172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1.5" customHeight="1" x14ac:dyDescent="0.25">
      <c r="A92" s="30">
        <v>4</v>
      </c>
      <c r="B92" s="27" t="s">
        <v>98</v>
      </c>
      <c r="C92" s="30" t="s">
        <v>93</v>
      </c>
      <c r="D92" s="31"/>
      <c r="E92" s="31"/>
      <c r="F92" s="31"/>
      <c r="G92" s="31"/>
      <c r="H92" s="131"/>
      <c r="I92" s="31"/>
      <c r="J92" s="28"/>
      <c r="K92" s="28"/>
      <c r="L92" s="174"/>
      <c r="M92" s="172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99</v>
      </c>
      <c r="C93" s="30" t="s">
        <v>93</v>
      </c>
      <c r="D93" s="31">
        <v>138</v>
      </c>
      <c r="E93" s="31">
        <f>131-13</f>
        <v>118</v>
      </c>
      <c r="F93" s="31">
        <v>100</v>
      </c>
      <c r="G93" s="31">
        <f>F93</f>
        <v>100</v>
      </c>
      <c r="H93" s="168">
        <f>F93/E93*100</f>
        <v>84.745762711864401</v>
      </c>
      <c r="I93" s="31"/>
      <c r="J93" s="79"/>
      <c r="K93" s="79"/>
      <c r="L93" s="174"/>
      <c r="M93" s="172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1.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7">D95</f>
        <v>0</v>
      </c>
      <c r="E94" s="17">
        <f t="shared" si="47"/>
        <v>0</v>
      </c>
      <c r="F94" s="17">
        <f t="shared" si="47"/>
        <v>0</v>
      </c>
      <c r="G94" s="17">
        <f t="shared" si="47"/>
        <v>0</v>
      </c>
      <c r="H94" s="131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6" t="s">
        <v>47</v>
      </c>
      <c r="B95" s="76" t="s">
        <v>102</v>
      </c>
      <c r="C95" s="46" t="s">
        <v>18</v>
      </c>
      <c r="D95" s="31"/>
      <c r="E95" s="31"/>
      <c r="F95" s="31"/>
      <c r="G95" s="31"/>
      <c r="H95" s="131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8">D97+D98</f>
        <v>2.8</v>
      </c>
      <c r="E96" s="17">
        <f t="shared" si="48"/>
        <v>0.64999999999999991</v>
      </c>
      <c r="F96" s="17">
        <f t="shared" si="48"/>
        <v>0</v>
      </c>
      <c r="G96" s="17">
        <f t="shared" si="48"/>
        <v>0</v>
      </c>
      <c r="H96" s="131">
        <f>F96/E96*100</f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3" t="s">
        <v>263</v>
      </c>
      <c r="C97" s="46" t="s">
        <v>18</v>
      </c>
      <c r="D97" s="31"/>
      <c r="E97" s="31"/>
      <c r="F97" s="31"/>
      <c r="G97" s="31"/>
      <c r="H97" s="131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23" t="s">
        <v>47</v>
      </c>
      <c r="B98" s="93" t="s">
        <v>109</v>
      </c>
      <c r="C98" s="46" t="s">
        <v>18</v>
      </c>
      <c r="D98" s="31">
        <v>2.8</v>
      </c>
      <c r="E98" s="31">
        <f>1.9-1.25</f>
        <v>0.64999999999999991</v>
      </c>
      <c r="F98" s="31"/>
      <c r="G98" s="31"/>
      <c r="H98" s="131">
        <f>F98/E98*100</f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39370078740157483" right="0.31496062992125984" top="0.55118110236220474" bottom="0.51181102362204722" header="0" footer="0"/>
  <pageSetup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6.88671875" customWidth="1"/>
    <col min="2" max="2" width="29" customWidth="1"/>
    <col min="3" max="3" width="9.88671875" customWidth="1"/>
    <col min="4" max="5" width="17.77734375" customWidth="1"/>
    <col min="6" max="9" width="12.6640625" customWidth="1"/>
    <col min="10" max="10" width="8.88671875" customWidth="1"/>
    <col min="11" max="11" width="21.21875" customWidth="1"/>
    <col min="12" max="14" width="8.88671875" customWidth="1"/>
    <col min="15" max="22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270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'ĐĂK CHUM II(4)'!A5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2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60">
        <v>78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60">
        <v>283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77.710000000000008</v>
      </c>
      <c r="E9" s="131">
        <f t="shared" si="0"/>
        <v>103.32</v>
      </c>
      <c r="F9" s="131">
        <f t="shared" si="0"/>
        <v>76.84</v>
      </c>
      <c r="G9" s="131">
        <f t="shared" si="0"/>
        <v>76.240000000000009</v>
      </c>
      <c r="H9" s="131">
        <f t="shared" ref="H9:H24" si="1">F9/E9*100</f>
        <v>74.370886566008522</v>
      </c>
      <c r="I9" s="131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22.91</v>
      </c>
      <c r="F10" s="17">
        <f t="shared" si="2"/>
        <v>4.9000000000000004</v>
      </c>
      <c r="G10" s="17">
        <f t="shared" si="2"/>
        <v>4.9000000000000004</v>
      </c>
      <c r="H10" s="131">
        <f t="shared" si="1"/>
        <v>21.388040157136622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85.805340000000015</v>
      </c>
      <c r="F11" s="17">
        <f t="shared" si="3"/>
        <v>0</v>
      </c>
      <c r="G11" s="17">
        <f t="shared" si="3"/>
        <v>0</v>
      </c>
      <c r="H11" s="131">
        <f t="shared" si="1"/>
        <v>0</v>
      </c>
      <c r="I11" s="17"/>
      <c r="J11" s="133"/>
      <c r="K11" s="133"/>
      <c r="L11" s="133"/>
      <c r="M11" s="133"/>
      <c r="N11" s="133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82.115340000000018</v>
      </c>
      <c r="F12" s="17">
        <f t="shared" si="4"/>
        <v>0</v>
      </c>
      <c r="G12" s="17">
        <f t="shared" si="4"/>
        <v>0</v>
      </c>
      <c r="H12" s="131">
        <f t="shared" si="1"/>
        <v>0</v>
      </c>
      <c r="I12" s="17"/>
      <c r="J12" s="133"/>
      <c r="K12" s="133"/>
      <c r="L12" s="133"/>
      <c r="M12" s="133"/>
      <c r="N12" s="133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21.91</v>
      </c>
      <c r="F13" s="17">
        <f t="shared" si="5"/>
        <v>3.9</v>
      </c>
      <c r="G13" s="17">
        <f t="shared" si="5"/>
        <v>3.9</v>
      </c>
      <c r="H13" s="131">
        <f t="shared" si="1"/>
        <v>17.800091282519396</v>
      </c>
      <c r="I13" s="17"/>
      <c r="J13" s="126"/>
      <c r="K13" s="156"/>
      <c r="L13" s="156"/>
      <c r="M13" s="156"/>
      <c r="N13" s="15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/>
      <c r="E14" s="31">
        <f t="shared" ref="E14:G14" si="6">E15/E13*10</f>
        <v>37.47847558192607</v>
      </c>
      <c r="F14" s="31">
        <f t="shared" si="6"/>
        <v>0</v>
      </c>
      <c r="G14" s="31">
        <f t="shared" si="6"/>
        <v>0</v>
      </c>
      <c r="H14" s="131">
        <f t="shared" si="1"/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D18+D21</f>
        <v>0</v>
      </c>
      <c r="E15" s="31">
        <f t="shared" si="7"/>
        <v>82.115340000000018</v>
      </c>
      <c r="F15" s="31">
        <f t="shared" si="7"/>
        <v>0</v>
      </c>
      <c r="G15" s="31">
        <f t="shared" si="7"/>
        <v>0</v>
      </c>
      <c r="H15" s="131">
        <f t="shared" si="1"/>
        <v>0</v>
      </c>
      <c r="I15" s="31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3.9</v>
      </c>
      <c r="F16" s="17">
        <v>3.9</v>
      </c>
      <c r="G16" s="17">
        <v>3.9</v>
      </c>
      <c r="H16" s="131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31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13.065000000000001</v>
      </c>
      <c r="F18" s="31">
        <f t="shared" si="8"/>
        <v>0</v>
      </c>
      <c r="G18" s="31">
        <f t="shared" si="8"/>
        <v>0</v>
      </c>
      <c r="H18" s="131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18.010000000000002</v>
      </c>
      <c r="F19" s="17">
        <f t="shared" si="9"/>
        <v>0</v>
      </c>
      <c r="G19" s="17">
        <f t="shared" si="9"/>
        <v>0</v>
      </c>
      <c r="H19" s="131">
        <f t="shared" si="1"/>
        <v>0</v>
      </c>
      <c r="I19" s="17"/>
      <c r="J19" s="28"/>
      <c r="K19" s="28"/>
      <c r="L19" s="28"/>
      <c r="M19" s="44"/>
      <c r="N19" s="44"/>
      <c r="O19" s="86"/>
      <c r="P19" s="86"/>
      <c r="Q19" s="86"/>
      <c r="R19" s="86"/>
      <c r="S19" s="86"/>
      <c r="T19" s="86"/>
      <c r="U19" s="86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/>
      <c r="E20" s="31">
        <f>E21/E19*10</f>
        <v>38.340000000000011</v>
      </c>
      <c r="F20" s="31"/>
      <c r="G20" s="31"/>
      <c r="H20" s="131">
        <f t="shared" si="1"/>
        <v>0</v>
      </c>
      <c r="I20" s="31"/>
      <c r="J20" s="28"/>
      <c r="K20" s="28"/>
      <c r="L20" s="28"/>
      <c r="M20" s="44"/>
      <c r="N20" s="44"/>
      <c r="O20" s="86"/>
      <c r="P20" s="86"/>
      <c r="Q20" s="86"/>
      <c r="R20" s="86"/>
      <c r="S20" s="86"/>
      <c r="T20" s="86"/>
      <c r="U20" s="86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0">D24+D27</f>
        <v>0</v>
      </c>
      <c r="E21" s="31">
        <f t="shared" si="10"/>
        <v>69.05034000000002</v>
      </c>
      <c r="F21" s="31">
        <f t="shared" si="10"/>
        <v>0</v>
      </c>
      <c r="G21" s="31">
        <f t="shared" si="10"/>
        <v>0</v>
      </c>
      <c r="H21" s="131">
        <f t="shared" si="1"/>
        <v>0</v>
      </c>
      <c r="I21" s="31"/>
      <c r="J21" s="28"/>
      <c r="K21" s="28"/>
      <c r="L21" s="28"/>
      <c r="M21" s="44"/>
      <c r="N21" s="44"/>
      <c r="O21" s="86"/>
      <c r="P21" s="86"/>
      <c r="Q21" s="86"/>
      <c r="R21" s="86"/>
      <c r="S21" s="86"/>
      <c r="T21" s="86"/>
      <c r="U21" s="86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1" t="s">
        <v>33</v>
      </c>
      <c r="C22" s="40" t="s">
        <v>18</v>
      </c>
      <c r="D22" s="17"/>
      <c r="E22" s="17">
        <v>18.010000000000002</v>
      </c>
      <c r="F22" s="31">
        <v>0</v>
      </c>
      <c r="G22" s="17">
        <v>0</v>
      </c>
      <c r="H22" s="131">
        <f t="shared" si="1"/>
        <v>0</v>
      </c>
      <c r="I22" s="31"/>
      <c r="J22" s="53"/>
      <c r="K22" s="53"/>
      <c r="L22" s="53"/>
      <c r="M22" s="61"/>
      <c r="N22" s="61"/>
      <c r="O22" s="152"/>
      <c r="P22" s="152"/>
      <c r="Q22" s="152"/>
      <c r="R22" s="152"/>
      <c r="S22" s="152"/>
      <c r="T22" s="134"/>
      <c r="U22" s="86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31">
        <f t="shared" si="1"/>
        <v>0</v>
      </c>
      <c r="I23" s="31"/>
      <c r="J23" s="53"/>
      <c r="K23" s="53"/>
      <c r="L23" s="53"/>
      <c r="M23" s="61"/>
      <c r="N23" s="61"/>
      <c r="O23" s="152"/>
      <c r="P23" s="152"/>
      <c r="Q23" s="152"/>
      <c r="R23" s="152"/>
      <c r="S23" s="152"/>
      <c r="T23" s="134"/>
      <c r="U23" s="86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1">D22*D23/10</f>
        <v>0</v>
      </c>
      <c r="E24" s="31">
        <f t="shared" si="11"/>
        <v>69.05034000000002</v>
      </c>
      <c r="F24" s="31">
        <f t="shared" si="11"/>
        <v>0</v>
      </c>
      <c r="G24" s="31">
        <f t="shared" si="11"/>
        <v>0</v>
      </c>
      <c r="H24" s="131">
        <f t="shared" si="1"/>
        <v>0</v>
      </c>
      <c r="I24" s="31"/>
      <c r="J24" s="53"/>
      <c r="K24" s="53"/>
      <c r="L24" s="53"/>
      <c r="M24" s="61"/>
      <c r="N24" s="61"/>
      <c r="O24" s="152"/>
      <c r="P24" s="152"/>
      <c r="Q24" s="152"/>
      <c r="R24" s="152"/>
      <c r="S24" s="152"/>
      <c r="T24" s="134"/>
      <c r="U24" s="86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1" t="s">
        <v>34</v>
      </c>
      <c r="C25" s="40" t="s">
        <v>18</v>
      </c>
      <c r="D25" s="17"/>
      <c r="E25" s="17"/>
      <c r="F25" s="31">
        <v>0</v>
      </c>
      <c r="G25" s="31">
        <v>0</v>
      </c>
      <c r="H25" s="131"/>
      <c r="I25" s="31"/>
      <c r="J25" s="53"/>
      <c r="K25" s="53"/>
      <c r="L25" s="53"/>
      <c r="M25" s="53"/>
      <c r="N25" s="53"/>
      <c r="O25" s="33"/>
      <c r="P25" s="33"/>
      <c r="Q25" s="153"/>
      <c r="R25" s="153"/>
      <c r="S25" s="153"/>
      <c r="T25" s="1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/>
      <c r="G26" s="31"/>
      <c r="H26" s="131"/>
      <c r="I26" s="31"/>
      <c r="J26" s="53"/>
      <c r="K26" s="53"/>
      <c r="L26" s="53"/>
      <c r="M26" s="53"/>
      <c r="N26" s="53"/>
      <c r="O26" s="33"/>
      <c r="P26" s="33"/>
      <c r="Q26" s="153"/>
      <c r="R26" s="153"/>
      <c r="S26" s="153"/>
      <c r="T26" s="1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17">
        <f t="shared" ref="D27:G27" si="12">D25*D26/10</f>
        <v>0</v>
      </c>
      <c r="E27" s="17">
        <f t="shared" si="12"/>
        <v>0</v>
      </c>
      <c r="F27" s="17">
        <f t="shared" si="12"/>
        <v>0</v>
      </c>
      <c r="G27" s="17">
        <f t="shared" si="12"/>
        <v>0</v>
      </c>
      <c r="H27" s="131"/>
      <c r="I27" s="17"/>
      <c r="J27" s="53"/>
      <c r="K27" s="53"/>
      <c r="L27" s="53"/>
      <c r="M27" s="53"/>
      <c r="N27" s="53"/>
      <c r="O27" s="33"/>
      <c r="P27" s="33"/>
      <c r="Q27" s="153"/>
      <c r="R27" s="153"/>
      <c r="S27" s="153"/>
      <c r="T27" s="1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131">
        <f>F28/E28*100</f>
        <v>100</v>
      </c>
      <c r="I28" s="17"/>
      <c r="J28" s="154"/>
      <c r="K28" s="154"/>
      <c r="L28" s="154"/>
      <c r="M28" s="154"/>
      <c r="N28" s="154"/>
      <c r="O28" s="153"/>
      <c r="P28" s="153"/>
      <c r="Q28" s="153"/>
      <c r="R28" s="153"/>
      <c r="S28" s="153"/>
      <c r="T28" s="1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E29" si="14">D30/D28*10</f>
        <v>36.85</v>
      </c>
      <c r="E29" s="31">
        <f t="shared" si="14"/>
        <v>36.9</v>
      </c>
      <c r="F29" s="31">
        <v>0</v>
      </c>
      <c r="G29" s="31">
        <v>0</v>
      </c>
      <c r="H29" s="131"/>
      <c r="I29" s="31"/>
      <c r="J29" s="154"/>
      <c r="K29" s="154"/>
      <c r="L29" s="154"/>
      <c r="M29" s="154"/>
      <c r="N29" s="154"/>
      <c r="O29" s="153"/>
      <c r="P29" s="153"/>
      <c r="Q29" s="153"/>
      <c r="R29" s="153"/>
      <c r="S29" s="153"/>
      <c r="T29" s="1"/>
      <c r="U29" s="1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5">D33+D36</f>
        <v>3.6850000000000001</v>
      </c>
      <c r="E30" s="31">
        <f t="shared" si="15"/>
        <v>3.69</v>
      </c>
      <c r="F30" s="31">
        <f t="shared" si="15"/>
        <v>0</v>
      </c>
      <c r="G30" s="31">
        <f t="shared" si="15"/>
        <v>0</v>
      </c>
      <c r="H30" s="131">
        <f>F30/E30*100</f>
        <v>0</v>
      </c>
      <c r="I30" s="31"/>
      <c r="J30" s="154"/>
      <c r="K30" s="154"/>
      <c r="L30" s="154"/>
      <c r="M30" s="154"/>
      <c r="N30" s="154"/>
      <c r="O30" s="153"/>
      <c r="P30" s="153"/>
      <c r="Q30" s="153"/>
      <c r="R30" s="153"/>
      <c r="S30" s="153"/>
      <c r="T30" s="1"/>
      <c r="U30" s="1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31"/>
      <c r="I31" s="17"/>
      <c r="J31" s="154"/>
      <c r="K31" s="154"/>
      <c r="L31" s="154"/>
      <c r="M31" s="154"/>
      <c r="N31" s="154"/>
      <c r="O31" s="153"/>
      <c r="P31" s="153"/>
      <c r="Q31" s="153"/>
      <c r="R31" s="153"/>
      <c r="S31" s="153"/>
      <c r="T31" s="1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31"/>
      <c r="I32" s="17"/>
      <c r="J32" s="154"/>
      <c r="K32" s="154"/>
      <c r="L32" s="154"/>
      <c r="M32" s="154"/>
      <c r="N32" s="154"/>
      <c r="O32" s="153"/>
      <c r="P32" s="153"/>
      <c r="Q32" s="153"/>
      <c r="R32" s="153"/>
      <c r="S32" s="153"/>
      <c r="T32" s="1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31"/>
      <c r="I33" s="17"/>
      <c r="J33" s="154"/>
      <c r="K33" s="154"/>
      <c r="L33" s="154"/>
      <c r="M33" s="154"/>
      <c r="N33" s="154"/>
      <c r="O33" s="153"/>
      <c r="P33" s="153"/>
      <c r="Q33" s="153"/>
      <c r="R33" s="153"/>
      <c r="S33" s="153"/>
      <c r="T33" s="1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31">
        <f t="shared" ref="H34:H39" si="16">F34/E34*100</f>
        <v>100</v>
      </c>
      <c r="I34" s="31"/>
      <c r="J34" s="154"/>
      <c r="K34" s="154"/>
      <c r="L34" s="154"/>
      <c r="M34" s="154"/>
      <c r="N34" s="154"/>
      <c r="O34" s="153"/>
      <c r="P34" s="153"/>
      <c r="Q34" s="153"/>
      <c r="R34" s="153"/>
      <c r="S34" s="153"/>
      <c r="T34" s="1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31">
        <f t="shared" si="16"/>
        <v>0</v>
      </c>
      <c r="I35" s="31"/>
      <c r="J35" s="154"/>
      <c r="K35" s="154"/>
      <c r="L35" s="154"/>
      <c r="M35" s="154"/>
      <c r="N35" s="154"/>
      <c r="O35" s="153"/>
      <c r="P35" s="153"/>
      <c r="Q35" s="153"/>
      <c r="R35" s="153"/>
      <c r="S35" s="153"/>
      <c r="T35" s="1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7">D34*D35/10</f>
        <v>3.6850000000000001</v>
      </c>
      <c r="E36" s="31">
        <f t="shared" si="17"/>
        <v>3.69</v>
      </c>
      <c r="F36" s="31">
        <f t="shared" si="17"/>
        <v>0</v>
      </c>
      <c r="G36" s="31">
        <f t="shared" si="17"/>
        <v>0</v>
      </c>
      <c r="H36" s="131">
        <f t="shared" si="16"/>
        <v>0</v>
      </c>
      <c r="I36" s="31"/>
      <c r="J36" s="154"/>
      <c r="K36" s="137"/>
      <c r="L36" s="155"/>
      <c r="M36" s="155"/>
      <c r="N36" s="155"/>
      <c r="O36" s="155"/>
      <c r="P36" s="152"/>
      <c r="Q36" s="153"/>
      <c r="R36" s="153"/>
      <c r="S36" s="153"/>
      <c r="T36" s="1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12</v>
      </c>
      <c r="E37" s="17">
        <v>11.63</v>
      </c>
      <c r="F37" s="17">
        <v>11.63</v>
      </c>
      <c r="G37" s="17">
        <v>11.63</v>
      </c>
      <c r="H37" s="131">
        <f t="shared" si="16"/>
        <v>100</v>
      </c>
      <c r="I37" s="31"/>
      <c r="J37" s="53"/>
      <c r="K37" s="51"/>
      <c r="L37" s="51"/>
      <c r="M37" s="44"/>
      <c r="N37" s="44"/>
      <c r="O37" s="44"/>
      <c r="P37" s="33"/>
      <c r="Q37" s="33"/>
      <c r="R37" s="33"/>
      <c r="S37" s="33"/>
      <c r="T37" s="33"/>
      <c r="U37" s="33"/>
      <c r="V37" s="33"/>
      <c r="W37" s="1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17"/>
      <c r="E38" s="31">
        <v>140</v>
      </c>
      <c r="F38" s="31"/>
      <c r="G38" s="31"/>
      <c r="H38" s="131">
        <f t="shared" si="16"/>
        <v>0</v>
      </c>
      <c r="I38" s="31"/>
      <c r="J38" s="53"/>
      <c r="K38" s="51"/>
      <c r="L38" s="51"/>
      <c r="M38" s="44"/>
      <c r="N38" s="44"/>
      <c r="O38" s="44"/>
      <c r="P38" s="33"/>
      <c r="Q38" s="33"/>
      <c r="R38" s="33"/>
      <c r="S38" s="33"/>
      <c r="T38" s="33"/>
      <c r="U38" s="33"/>
      <c r="V38" s="33"/>
      <c r="W38" s="1"/>
      <c r="X38" s="1"/>
      <c r="Y38" s="1"/>
      <c r="Z38" s="1"/>
    </row>
    <row r="39" spans="1:26" ht="31.5" customHeight="1" x14ac:dyDescent="0.25">
      <c r="A39" s="9"/>
      <c r="B39" s="47" t="s">
        <v>27</v>
      </c>
      <c r="C39" s="48" t="s">
        <v>21</v>
      </c>
      <c r="D39" s="157"/>
      <c r="E39" s="49">
        <f t="shared" ref="E39:G39" si="18">E37*E38/10</f>
        <v>162.82</v>
      </c>
      <c r="F39" s="49">
        <f t="shared" si="18"/>
        <v>0</v>
      </c>
      <c r="G39" s="49">
        <f t="shared" si="18"/>
        <v>0</v>
      </c>
      <c r="H39" s="131">
        <f t="shared" si="16"/>
        <v>0</v>
      </c>
      <c r="I39" s="31"/>
      <c r="J39" s="53"/>
      <c r="K39" s="51"/>
      <c r="L39" s="51"/>
      <c r="M39" s="44"/>
      <c r="N39" s="44"/>
      <c r="O39" s="44"/>
      <c r="P39" s="33"/>
      <c r="Q39" s="33"/>
      <c r="R39" s="33"/>
      <c r="S39" s="33"/>
      <c r="T39" s="33"/>
      <c r="U39" s="33"/>
      <c r="V39" s="33"/>
      <c r="W39" s="1"/>
      <c r="X39" s="1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</v>
      </c>
      <c r="F40" s="164"/>
      <c r="G40" s="31"/>
      <c r="H40" s="131"/>
      <c r="I40" s="31"/>
      <c r="J40" s="53"/>
      <c r="K40" s="51"/>
      <c r="L40" s="51"/>
      <c r="M40" s="44"/>
      <c r="N40" s="44"/>
      <c r="O40" s="44"/>
      <c r="P40" s="33"/>
      <c r="Q40" s="33"/>
      <c r="R40" s="33"/>
      <c r="S40" s="33"/>
      <c r="T40" s="33"/>
      <c r="U40" s="33"/>
      <c r="V40" s="33"/>
      <c r="W40" s="1"/>
      <c r="X40" s="1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164"/>
      <c r="G41" s="31"/>
      <c r="H41" s="131">
        <f>F41/E41*100</f>
        <v>0</v>
      </c>
      <c r="I41" s="31"/>
      <c r="J41" s="53"/>
      <c r="K41" s="51"/>
      <c r="L41" s="51"/>
      <c r="M41" s="44"/>
      <c r="N41" s="44"/>
      <c r="O41" s="44"/>
      <c r="P41" s="33"/>
      <c r="Q41" s="33"/>
      <c r="R41" s="33"/>
      <c r="S41" s="33"/>
      <c r="T41" s="33"/>
      <c r="U41" s="33"/>
      <c r="V41" s="33"/>
      <c r="W41" s="1"/>
      <c r="X41" s="1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19">E40*E41/10</f>
        <v>0</v>
      </c>
      <c r="F42" s="31">
        <f t="shared" si="19"/>
        <v>0</v>
      </c>
      <c r="G42" s="31">
        <f t="shared" si="19"/>
        <v>0</v>
      </c>
      <c r="H42" s="131"/>
      <c r="I42" s="31"/>
      <c r="J42" s="53"/>
      <c r="K42" s="51"/>
      <c r="L42" s="51"/>
      <c r="M42" s="44"/>
      <c r="N42" s="44"/>
      <c r="O42" s="44"/>
      <c r="P42" s="33"/>
      <c r="Q42" s="33"/>
      <c r="R42" s="33"/>
      <c r="S42" s="33"/>
      <c r="T42" s="33"/>
      <c r="U42" s="33"/>
      <c r="V42" s="33"/>
      <c r="W42" s="1"/>
      <c r="X42" s="1"/>
      <c r="Y42" s="1"/>
      <c r="Z42" s="1"/>
    </row>
    <row r="43" spans="1:26" ht="31.5" customHeight="1" x14ac:dyDescent="0.25">
      <c r="A43" s="165">
        <v>4</v>
      </c>
      <c r="B43" s="16" t="s">
        <v>41</v>
      </c>
      <c r="C43" s="15" t="s">
        <v>18</v>
      </c>
      <c r="D43" s="131">
        <v>0.5</v>
      </c>
      <c r="E43" s="131">
        <v>0.5</v>
      </c>
      <c r="F43" s="17">
        <v>0.27</v>
      </c>
      <c r="G43" s="17">
        <f>F43</f>
        <v>0.27</v>
      </c>
      <c r="H43" s="131">
        <f t="shared" ref="H43:H50" si="20">F43/E43*100</f>
        <v>54</v>
      </c>
      <c r="I43" s="17"/>
      <c r="J43" s="126"/>
      <c r="K43" s="35"/>
      <c r="L43" s="35"/>
      <c r="M43" s="35"/>
      <c r="N43" s="35"/>
      <c r="O43" s="35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31">
        <f t="shared" si="20"/>
        <v>0</v>
      </c>
      <c r="I44" s="31"/>
      <c r="J44" s="126"/>
      <c r="K44" s="35"/>
      <c r="L44" s="79"/>
      <c r="M44" s="79"/>
      <c r="N44" s="79"/>
      <c r="O44" s="79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7" t="s">
        <v>27</v>
      </c>
      <c r="C45" s="48" t="s">
        <v>21</v>
      </c>
      <c r="D45" s="31">
        <f t="shared" ref="D45:G45" si="21">D43*D44/10</f>
        <v>5</v>
      </c>
      <c r="E45" s="31">
        <f t="shared" si="21"/>
        <v>4.9249999999999998</v>
      </c>
      <c r="F45" s="31">
        <f t="shared" si="21"/>
        <v>0</v>
      </c>
      <c r="G45" s="31">
        <f t="shared" si="21"/>
        <v>0</v>
      </c>
      <c r="H45" s="131">
        <f t="shared" si="20"/>
        <v>0</v>
      </c>
      <c r="I45" s="31"/>
      <c r="J45" s="126"/>
      <c r="K45" s="135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2">D47+D55+D64</f>
        <v>40.1</v>
      </c>
      <c r="E46" s="17">
        <f t="shared" si="22"/>
        <v>49</v>
      </c>
      <c r="F46" s="17">
        <f t="shared" si="22"/>
        <v>41</v>
      </c>
      <c r="G46" s="17">
        <f t="shared" si="22"/>
        <v>40.4</v>
      </c>
      <c r="H46" s="131">
        <f t="shared" si="20"/>
        <v>83.673469387755105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3">D48+D49</f>
        <v>35.6</v>
      </c>
      <c r="E47" s="17">
        <f t="shared" si="23"/>
        <v>43.6</v>
      </c>
      <c r="F47" s="17">
        <f t="shared" si="23"/>
        <v>36.200000000000003</v>
      </c>
      <c r="G47" s="17">
        <f t="shared" si="23"/>
        <v>35.6</v>
      </c>
      <c r="H47" s="131">
        <f t="shared" si="20"/>
        <v>83.027522935779814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7" t="s">
        <v>32</v>
      </c>
      <c r="B48" s="58" t="s">
        <v>45</v>
      </c>
      <c r="C48" s="59" t="s">
        <v>18</v>
      </c>
      <c r="D48" s="31">
        <v>20.7</v>
      </c>
      <c r="E48" s="31">
        <f>D48+D49</f>
        <v>35.6</v>
      </c>
      <c r="F48" s="31">
        <v>35.6</v>
      </c>
      <c r="G48" s="31">
        <v>35.6</v>
      </c>
      <c r="H48" s="131">
        <f t="shared" si="20"/>
        <v>100</v>
      </c>
      <c r="I48" s="31"/>
      <c r="J48" s="53"/>
      <c r="K48" s="53"/>
      <c r="L48" s="53"/>
      <c r="M48" s="53"/>
      <c r="N48" s="53"/>
      <c r="O48" s="3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4">D50+D51</f>
        <v>14.9</v>
      </c>
      <c r="E49" s="17">
        <f t="shared" si="24"/>
        <v>8</v>
      </c>
      <c r="F49" s="17">
        <f t="shared" si="24"/>
        <v>0.6</v>
      </c>
      <c r="G49" s="17">
        <f t="shared" si="24"/>
        <v>0</v>
      </c>
      <c r="H49" s="131">
        <f t="shared" si="20"/>
        <v>7.5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59" t="s">
        <v>47</v>
      </c>
      <c r="B50" s="64" t="s">
        <v>48</v>
      </c>
      <c r="C50" s="59" t="s">
        <v>18</v>
      </c>
      <c r="D50" s="31">
        <v>14.9</v>
      </c>
      <c r="E50" s="31">
        <v>8</v>
      </c>
      <c r="F50" s="31">
        <v>0.6</v>
      </c>
      <c r="G50" s="31">
        <v>0</v>
      </c>
      <c r="H50" s="131">
        <f t="shared" si="20"/>
        <v>7.5</v>
      </c>
      <c r="I50" s="31"/>
      <c r="J50" s="35"/>
      <c r="K50" s="126"/>
      <c r="L50" s="126"/>
      <c r="M50" s="126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59" t="s">
        <v>47</v>
      </c>
      <c r="B51" s="64" t="s">
        <v>49</v>
      </c>
      <c r="C51" s="30" t="s">
        <v>18</v>
      </c>
      <c r="D51" s="31"/>
      <c r="E51" s="31"/>
      <c r="F51" s="31"/>
      <c r="G51" s="31"/>
      <c r="H51" s="131"/>
      <c r="I51" s="31"/>
      <c r="J51" s="126"/>
      <c r="K51" s="126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5">D53+D54</f>
        <v>11.46</v>
      </c>
      <c r="E52" s="17">
        <f t="shared" si="25"/>
        <v>17.594999999999999</v>
      </c>
      <c r="F52" s="17">
        <f t="shared" si="25"/>
        <v>17.600000000000001</v>
      </c>
      <c r="G52" s="17">
        <f t="shared" si="25"/>
        <v>17.600000000000001</v>
      </c>
      <c r="H52" s="131">
        <f t="shared" ref="H52:H53" si="26">F52/E52*100</f>
        <v>100.02841716396705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66" t="s">
        <v>47</v>
      </c>
      <c r="B53" s="64" t="s">
        <v>51</v>
      </c>
      <c r="C53" s="30" t="s">
        <v>18</v>
      </c>
      <c r="D53" s="31">
        <f>13.46-5</f>
        <v>8.4600000000000009</v>
      </c>
      <c r="E53" s="31">
        <f>D48*85%</f>
        <v>17.594999999999999</v>
      </c>
      <c r="F53" s="31">
        <v>17.600000000000001</v>
      </c>
      <c r="G53" s="31">
        <v>17.600000000000001</v>
      </c>
      <c r="H53" s="168">
        <f t="shared" si="26"/>
        <v>100.02841716396705</v>
      </c>
      <c r="I53" s="31"/>
      <c r="J53" s="126"/>
      <c r="K53" s="126"/>
      <c r="L53" s="126"/>
      <c r="M53" s="135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4" t="s">
        <v>52</v>
      </c>
      <c r="C54" s="30" t="s">
        <v>18</v>
      </c>
      <c r="D54" s="31">
        <v>3</v>
      </c>
      <c r="E54" s="31"/>
      <c r="F54" s="31"/>
      <c r="G54" s="31"/>
      <c r="H54" s="168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7">D56+D57</f>
        <v>4.5</v>
      </c>
      <c r="E55" s="17">
        <f t="shared" si="27"/>
        <v>5.4</v>
      </c>
      <c r="F55" s="17">
        <f t="shared" si="27"/>
        <v>4.8</v>
      </c>
      <c r="G55" s="17">
        <f t="shared" si="27"/>
        <v>4.8</v>
      </c>
      <c r="H55" s="131">
        <f t="shared" ref="H55:H63" si="28">F55/E55*100</f>
        <v>88.888888888888886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58" t="s">
        <v>50</v>
      </c>
      <c r="C56" s="30" t="s">
        <v>18</v>
      </c>
      <c r="D56" s="31">
        <v>4.5</v>
      </c>
      <c r="E56" s="31">
        <f>D56+E58</f>
        <v>4.8</v>
      </c>
      <c r="F56" s="31">
        <v>4.8</v>
      </c>
      <c r="G56" s="31">
        <v>4.8</v>
      </c>
      <c r="H56" s="168">
        <f t="shared" si="28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29">D58+D61</f>
        <v>0</v>
      </c>
      <c r="E57" s="31">
        <f t="shared" si="29"/>
        <v>0.60000000000000009</v>
      </c>
      <c r="F57" s="31">
        <f t="shared" si="29"/>
        <v>0</v>
      </c>
      <c r="G57" s="31">
        <f t="shared" si="29"/>
        <v>0</v>
      </c>
      <c r="H57" s="131">
        <f t="shared" si="28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30">D59+D60</f>
        <v>0</v>
      </c>
      <c r="E58" s="71">
        <f t="shared" si="30"/>
        <v>0.30000000000000004</v>
      </c>
      <c r="F58" s="71">
        <f t="shared" si="30"/>
        <v>0</v>
      </c>
      <c r="G58" s="71">
        <f t="shared" si="30"/>
        <v>0</v>
      </c>
      <c r="H58" s="131">
        <f t="shared" si="28"/>
        <v>0</v>
      </c>
      <c r="I58" s="71"/>
      <c r="J58" s="138"/>
      <c r="K58" s="97"/>
      <c r="L58" s="97"/>
      <c r="M58" s="97"/>
      <c r="N58" s="97"/>
      <c r="O58" s="97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1.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31">
        <f t="shared" si="28"/>
        <v>0</v>
      </c>
      <c r="I59" s="31"/>
      <c r="J59" s="35"/>
      <c r="K59" s="137"/>
      <c r="L59" s="137"/>
      <c r="M59" s="137"/>
      <c r="N59" s="137"/>
      <c r="O59" s="13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31">
        <f t="shared" si="28"/>
        <v>0</v>
      </c>
      <c r="I60" s="31"/>
      <c r="J60" s="35"/>
      <c r="K60" s="137"/>
      <c r="L60" s="137"/>
      <c r="M60" s="137"/>
      <c r="N60" s="137"/>
      <c r="O60" s="13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1">D62+D63</f>
        <v>0</v>
      </c>
      <c r="E61" s="71">
        <f t="shared" si="31"/>
        <v>0.30000000000000004</v>
      </c>
      <c r="F61" s="71">
        <f t="shared" si="31"/>
        <v>0</v>
      </c>
      <c r="G61" s="71">
        <f t="shared" si="31"/>
        <v>0</v>
      </c>
      <c r="H61" s="131">
        <f t="shared" si="28"/>
        <v>0</v>
      </c>
      <c r="I61" s="71"/>
      <c r="J61" s="35"/>
      <c r="K61" s="97"/>
      <c r="L61" s="138"/>
      <c r="M61" s="138"/>
      <c r="N61" s="138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1.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0.2</v>
      </c>
      <c r="F62" s="31">
        <v>0</v>
      </c>
      <c r="G62" s="31">
        <v>0</v>
      </c>
      <c r="H62" s="131">
        <f t="shared" si="28"/>
        <v>0</v>
      </c>
      <c r="I62" s="31"/>
      <c r="J62" s="35"/>
      <c r="K62" s="137"/>
      <c r="L62" s="137"/>
      <c r="M62" s="137"/>
      <c r="N62" s="137"/>
      <c r="O62" s="13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31">
        <f t="shared" si="28"/>
        <v>0</v>
      </c>
      <c r="I63" s="31"/>
      <c r="J63" s="35"/>
      <c r="K63" s="137"/>
      <c r="L63" s="137"/>
      <c r="M63" s="137"/>
      <c r="N63" s="137"/>
      <c r="O63" s="13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2">D65+D66</f>
        <v>0</v>
      </c>
      <c r="E64" s="17">
        <f t="shared" si="32"/>
        <v>0</v>
      </c>
      <c r="F64" s="17">
        <f t="shared" si="32"/>
        <v>0</v>
      </c>
      <c r="G64" s="17">
        <f t="shared" si="32"/>
        <v>0</v>
      </c>
      <c r="H64" s="131"/>
      <c r="I64" s="17"/>
      <c r="J64" s="126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58" t="s">
        <v>45</v>
      </c>
      <c r="C65" s="30" t="s">
        <v>18</v>
      </c>
      <c r="D65" s="31"/>
      <c r="E65" s="31"/>
      <c r="F65" s="31"/>
      <c r="G65" s="31"/>
      <c r="H65" s="131"/>
      <c r="I65" s="31"/>
      <c r="J65" s="126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31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3">D68+D71</f>
        <v>24.11</v>
      </c>
      <c r="E67" s="17">
        <f t="shared" si="33"/>
        <v>19.279999999999998</v>
      </c>
      <c r="F67" s="17">
        <f t="shared" si="33"/>
        <v>19.04</v>
      </c>
      <c r="G67" s="17">
        <f t="shared" si="33"/>
        <v>19.04</v>
      </c>
      <c r="H67" s="131">
        <f>F67/E67*100</f>
        <v>98.755186721991706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4">D69+D70</f>
        <v>0</v>
      </c>
      <c r="E68" s="17">
        <f t="shared" si="34"/>
        <v>0</v>
      </c>
      <c r="F68" s="17">
        <f t="shared" si="34"/>
        <v>0</v>
      </c>
      <c r="G68" s="17">
        <f t="shared" si="34"/>
        <v>0</v>
      </c>
      <c r="H68" s="131"/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58" t="s">
        <v>69</v>
      </c>
      <c r="C69" s="30" t="s">
        <v>18</v>
      </c>
      <c r="D69" s="31"/>
      <c r="E69" s="31"/>
      <c r="F69" s="31"/>
      <c r="G69" s="31"/>
      <c r="H69" s="131"/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58" t="s">
        <v>70</v>
      </c>
      <c r="C70" s="30" t="s">
        <v>18</v>
      </c>
      <c r="D70" s="31"/>
      <c r="E70" s="31">
        <v>0</v>
      </c>
      <c r="F70" s="31"/>
      <c r="G70" s="31"/>
      <c r="H70" s="131"/>
      <c r="I70" s="31"/>
      <c r="J70" s="126"/>
      <c r="K70" s="53"/>
      <c r="L70" s="53"/>
      <c r="M70" s="175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5">D72+D73</f>
        <v>24.11</v>
      </c>
      <c r="E71" s="17">
        <f t="shared" si="35"/>
        <v>19.279999999999998</v>
      </c>
      <c r="F71" s="17">
        <f t="shared" si="35"/>
        <v>19.04</v>
      </c>
      <c r="G71" s="17">
        <f t="shared" si="35"/>
        <v>19.04</v>
      </c>
      <c r="H71" s="131">
        <f t="shared" ref="H71:H75" si="36">F71/E71*100</f>
        <v>98.755186721991706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7">D75+D82</f>
        <v>23.11</v>
      </c>
      <c r="E72" s="87">
        <f t="shared" si="37"/>
        <v>19.04</v>
      </c>
      <c r="F72" s="87">
        <f t="shared" si="37"/>
        <v>19.04</v>
      </c>
      <c r="G72" s="87">
        <f t="shared" si="37"/>
        <v>19.04</v>
      </c>
      <c r="H72" s="131">
        <f t="shared" si="36"/>
        <v>100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8">D76+D83</f>
        <v>1</v>
      </c>
      <c r="E73" s="17">
        <f t="shared" si="38"/>
        <v>0.24</v>
      </c>
      <c r="F73" s="17">
        <f t="shared" si="38"/>
        <v>0</v>
      </c>
      <c r="G73" s="17">
        <f t="shared" si="38"/>
        <v>0</v>
      </c>
      <c r="H73" s="131">
        <f t="shared" si="36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39">D75+D76</f>
        <v>18.04</v>
      </c>
      <c r="E74" s="91">
        <f t="shared" si="39"/>
        <v>18.04</v>
      </c>
      <c r="F74" s="91">
        <f t="shared" si="39"/>
        <v>18.04</v>
      </c>
      <c r="G74" s="91">
        <f t="shared" si="39"/>
        <v>18.04</v>
      </c>
      <c r="H74" s="170">
        <f t="shared" si="36"/>
        <v>100</v>
      </c>
      <c r="I74" s="91"/>
      <c r="J74" s="140"/>
      <c r="K74" s="140"/>
      <c r="L74" s="98"/>
      <c r="M74" s="98"/>
      <c r="N74" s="98"/>
      <c r="O74" s="98"/>
      <c r="P74" s="98"/>
      <c r="Q74" s="98"/>
      <c r="R74" s="2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7" t="s">
        <v>32</v>
      </c>
      <c r="B75" s="93" t="s">
        <v>45</v>
      </c>
      <c r="C75" s="30" t="s">
        <v>18</v>
      </c>
      <c r="D75" s="60">
        <f>14.04+4</f>
        <v>18.04</v>
      </c>
      <c r="E75" s="60">
        <f>D75+D76</f>
        <v>18.04</v>
      </c>
      <c r="F75" s="60">
        <v>18.04</v>
      </c>
      <c r="G75" s="60">
        <v>18.04</v>
      </c>
      <c r="H75" s="168">
        <f t="shared" si="36"/>
        <v>100</v>
      </c>
      <c r="I75" s="31"/>
      <c r="J75" s="126"/>
      <c r="K75" s="126"/>
      <c r="L75" s="28"/>
      <c r="M75" s="28"/>
      <c r="N75" s="28"/>
      <c r="O75" s="2"/>
      <c r="P75" s="2"/>
      <c r="Q75" s="2"/>
      <c r="R75" s="2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40">SUM(D77:D80)</f>
        <v>0</v>
      </c>
      <c r="E76" s="141">
        <f t="shared" si="40"/>
        <v>0</v>
      </c>
      <c r="F76" s="141">
        <f t="shared" si="40"/>
        <v>0</v>
      </c>
      <c r="G76" s="141">
        <f t="shared" si="40"/>
        <v>0</v>
      </c>
      <c r="H76" s="131"/>
      <c r="I76" s="141"/>
      <c r="J76" s="138"/>
      <c r="K76" s="138"/>
      <c r="L76" s="97"/>
      <c r="M76" s="97"/>
      <c r="N76" s="97"/>
      <c r="O76" s="2"/>
      <c r="P76" s="2"/>
      <c r="Q76" s="2"/>
      <c r="R76" s="2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6" t="s">
        <v>47</v>
      </c>
      <c r="B77" s="94" t="s">
        <v>80</v>
      </c>
      <c r="C77" s="46" t="s">
        <v>18</v>
      </c>
      <c r="D77" s="31"/>
      <c r="E77" s="31"/>
      <c r="F77" s="31"/>
      <c r="G77" s="31"/>
      <c r="H77" s="168"/>
      <c r="I77" s="31"/>
      <c r="J77" s="138"/>
      <c r="K77" s="138"/>
      <c r="L77" s="97"/>
      <c r="M77" s="143"/>
      <c r="N77" s="143"/>
      <c r="O77" s="2"/>
      <c r="P77" s="38"/>
      <c r="Q77" s="38"/>
      <c r="R77" s="2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6" t="s">
        <v>47</v>
      </c>
      <c r="B78" s="94" t="s">
        <v>81</v>
      </c>
      <c r="C78" s="46" t="s">
        <v>18</v>
      </c>
      <c r="D78" s="31"/>
      <c r="E78" s="31">
        <v>0</v>
      </c>
      <c r="F78" s="31"/>
      <c r="G78" s="31"/>
      <c r="H78" s="168"/>
      <c r="I78" s="31"/>
      <c r="J78" s="138"/>
      <c r="K78" s="138"/>
      <c r="L78" s="97"/>
      <c r="M78" s="97"/>
      <c r="N78" s="97"/>
      <c r="O78" s="2"/>
      <c r="P78" s="2"/>
      <c r="Q78" s="2"/>
      <c r="R78" s="2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168"/>
      <c r="I79" s="31"/>
      <c r="J79" s="138"/>
      <c r="K79" s="138"/>
      <c r="L79" s="97"/>
      <c r="M79" s="97"/>
      <c r="N79" s="97"/>
      <c r="O79" s="2"/>
      <c r="P79" s="2"/>
      <c r="Q79" s="2"/>
      <c r="R79" s="2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6" t="s">
        <v>47</v>
      </c>
      <c r="B80" s="144" t="s">
        <v>83</v>
      </c>
      <c r="C80" s="46" t="s">
        <v>18</v>
      </c>
      <c r="D80" s="31"/>
      <c r="E80" s="31"/>
      <c r="F80" s="31"/>
      <c r="G80" s="31"/>
      <c r="H80" s="168"/>
      <c r="I80" s="31"/>
      <c r="J80" s="138"/>
      <c r="K80" s="138"/>
      <c r="L80" s="97"/>
      <c r="M80" s="97"/>
      <c r="N80" s="97"/>
      <c r="O80" s="2"/>
      <c r="P80" s="2"/>
      <c r="Q80" s="2"/>
      <c r="R80" s="2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1">D82+D83</f>
        <v>6.07</v>
      </c>
      <c r="E81" s="91">
        <f t="shared" si="41"/>
        <v>1.24</v>
      </c>
      <c r="F81" s="91">
        <f t="shared" si="41"/>
        <v>1</v>
      </c>
      <c r="G81" s="91">
        <f t="shared" si="41"/>
        <v>1</v>
      </c>
      <c r="H81" s="131">
        <f t="shared" ref="H81:H83" si="42">F81/E81*100</f>
        <v>80.645161290322591</v>
      </c>
      <c r="I81" s="91"/>
      <c r="J81" s="140"/>
      <c r="K81" s="140"/>
      <c r="L81" s="98"/>
      <c r="M81" s="98"/>
      <c r="N81" s="98"/>
      <c r="O81" s="98"/>
      <c r="P81" s="98"/>
      <c r="Q81" s="98"/>
      <c r="R81" s="99"/>
      <c r="S81" s="100"/>
      <c r="T81" s="100"/>
      <c r="U81" s="100"/>
      <c r="V81" s="100"/>
      <c r="W81" s="100"/>
      <c r="X81" s="100"/>
      <c r="Y81" s="100"/>
      <c r="Z81" s="100"/>
    </row>
    <row r="82" spans="1:26" ht="31.5" customHeight="1" x14ac:dyDescent="0.25">
      <c r="A82" s="107" t="s">
        <v>47</v>
      </c>
      <c r="B82" s="94" t="s">
        <v>85</v>
      </c>
      <c r="C82" s="46" t="s">
        <v>18</v>
      </c>
      <c r="D82" s="71">
        <v>5.07</v>
      </c>
      <c r="E82" s="71">
        <v>1</v>
      </c>
      <c r="F82" s="71">
        <v>1</v>
      </c>
      <c r="G82" s="71">
        <v>1</v>
      </c>
      <c r="H82" s="168">
        <f t="shared" si="42"/>
        <v>100</v>
      </c>
      <c r="I82" s="71"/>
      <c r="J82" s="138"/>
      <c r="K82" s="142"/>
      <c r="L82" s="97"/>
      <c r="M82" s="97"/>
      <c r="N82" s="97"/>
      <c r="O82" s="74"/>
      <c r="P82" s="74"/>
      <c r="Q82" s="74"/>
      <c r="R82" s="74"/>
      <c r="S82" s="75"/>
      <c r="T82" s="75"/>
      <c r="U82" s="75"/>
      <c r="V82" s="75"/>
      <c r="W82" s="75"/>
      <c r="X82" s="75"/>
      <c r="Y82" s="75"/>
      <c r="Z82" s="75"/>
    </row>
    <row r="83" spans="1:26" ht="31.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3">SUM(D84:D87)</f>
        <v>1</v>
      </c>
      <c r="E83" s="60">
        <f t="shared" si="43"/>
        <v>0.24</v>
      </c>
      <c r="F83" s="60">
        <f t="shared" si="43"/>
        <v>0</v>
      </c>
      <c r="G83" s="60">
        <f t="shared" si="43"/>
        <v>0</v>
      </c>
      <c r="H83" s="131">
        <f t="shared" si="42"/>
        <v>0</v>
      </c>
      <c r="I83" s="60"/>
      <c r="J83" s="138"/>
      <c r="K83" s="138"/>
      <c r="L83" s="138"/>
      <c r="M83" s="138"/>
      <c r="N83" s="13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31"/>
      <c r="I84" s="31"/>
      <c r="J84" s="97"/>
      <c r="K84" s="97"/>
      <c r="L84" s="97"/>
      <c r="M84" s="97"/>
      <c r="N84" s="9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31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31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07" t="s">
        <v>47</v>
      </c>
      <c r="B87" s="94" t="s">
        <v>89</v>
      </c>
      <c r="C87" s="46" t="s">
        <v>18</v>
      </c>
      <c r="D87" s="31">
        <v>1</v>
      </c>
      <c r="E87" s="31">
        <v>0.24</v>
      </c>
      <c r="F87" s="31">
        <v>0</v>
      </c>
      <c r="G87" s="31">
        <v>0</v>
      </c>
      <c r="H87" s="131">
        <f t="shared" ref="H87:H91" si="44">F87/E87*100</f>
        <v>0</v>
      </c>
      <c r="I87" s="31"/>
      <c r="J87" s="97"/>
      <c r="K87" s="97"/>
      <c r="L87" s="97"/>
      <c r="M87" s="143"/>
      <c r="N87" s="143"/>
      <c r="O87" s="38"/>
      <c r="P87" s="38"/>
      <c r="Q87" s="38"/>
      <c r="R87" s="38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5">SUM(D89:D93)</f>
        <v>567</v>
      </c>
      <c r="E88" s="17">
        <f t="shared" si="45"/>
        <v>548</v>
      </c>
      <c r="F88" s="17">
        <f t="shared" si="45"/>
        <v>459</v>
      </c>
      <c r="G88" s="17">
        <f t="shared" si="45"/>
        <v>459</v>
      </c>
      <c r="H88" s="131">
        <f t="shared" si="44"/>
        <v>83.759124087591246</v>
      </c>
      <c r="I88" s="17"/>
      <c r="J88" s="28"/>
      <c r="K88" s="28"/>
      <c r="L88" s="134"/>
      <c r="M88" s="134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53</v>
      </c>
      <c r="E89" s="31">
        <f>95+51</f>
        <v>146</v>
      </c>
      <c r="F89" s="31">
        <v>144</v>
      </c>
      <c r="G89" s="31">
        <f t="shared" ref="G89:G91" si="46">F89</f>
        <v>144</v>
      </c>
      <c r="H89" s="168">
        <f t="shared" si="44"/>
        <v>98.630136986301366</v>
      </c>
      <c r="I89" s="31"/>
      <c r="J89" s="55"/>
      <c r="K89" s="176"/>
      <c r="L89" s="171"/>
      <c r="M89" s="172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f>88-5</f>
        <v>83</v>
      </c>
      <c r="E90" s="31">
        <f>40+6</f>
        <v>46</v>
      </c>
      <c r="F90" s="31">
        <v>43</v>
      </c>
      <c r="G90" s="31">
        <f t="shared" si="46"/>
        <v>43</v>
      </c>
      <c r="H90" s="168">
        <f t="shared" si="44"/>
        <v>93.478260869565219</v>
      </c>
      <c r="I90" s="31"/>
      <c r="J90" s="55"/>
      <c r="K90" s="176"/>
      <c r="L90" s="171"/>
      <c r="M90" s="172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f>50-5</f>
        <v>45</v>
      </c>
      <c r="E91" s="31">
        <f>20+6</f>
        <v>26</v>
      </c>
      <c r="F91" s="31">
        <v>22</v>
      </c>
      <c r="G91" s="31">
        <f t="shared" si="46"/>
        <v>22</v>
      </c>
      <c r="H91" s="168">
        <f t="shared" si="44"/>
        <v>84.615384615384613</v>
      </c>
      <c r="I91" s="31"/>
      <c r="J91" s="55"/>
      <c r="K91" s="176"/>
      <c r="L91" s="171"/>
      <c r="M91" s="172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1.5" customHeight="1" x14ac:dyDescent="0.25">
      <c r="A92" s="30">
        <v>4</v>
      </c>
      <c r="B92" s="27" t="s">
        <v>98</v>
      </c>
      <c r="C92" s="30" t="s">
        <v>93</v>
      </c>
      <c r="D92" s="31"/>
      <c r="E92" s="31">
        <v>0</v>
      </c>
      <c r="F92" s="31"/>
      <c r="G92" s="31"/>
      <c r="H92" s="131"/>
      <c r="I92" s="31"/>
      <c r="J92" s="28"/>
      <c r="K92" s="53"/>
      <c r="L92" s="174"/>
      <c r="M92" s="172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99</v>
      </c>
      <c r="C93" s="30" t="s">
        <v>93</v>
      </c>
      <c r="D93" s="31">
        <v>386</v>
      </c>
      <c r="E93" s="31">
        <f>365-35</f>
        <v>330</v>
      </c>
      <c r="F93" s="31">
        <v>250</v>
      </c>
      <c r="G93" s="31">
        <f>F93</f>
        <v>250</v>
      </c>
      <c r="H93" s="168">
        <f>F93/E93*100</f>
        <v>75.757575757575751</v>
      </c>
      <c r="I93" s="31"/>
      <c r="J93" s="79"/>
      <c r="K93" s="79"/>
      <c r="L93" s="174"/>
      <c r="M93" s="172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1.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7">D95</f>
        <v>0</v>
      </c>
      <c r="E94" s="17">
        <f t="shared" si="47"/>
        <v>0</v>
      </c>
      <c r="F94" s="17">
        <f t="shared" si="47"/>
        <v>0</v>
      </c>
      <c r="G94" s="17">
        <f t="shared" si="47"/>
        <v>0</v>
      </c>
      <c r="H94" s="131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6" t="s">
        <v>47</v>
      </c>
      <c r="B95" s="76" t="s">
        <v>102</v>
      </c>
      <c r="C95" s="46" t="s">
        <v>18</v>
      </c>
      <c r="D95" s="31"/>
      <c r="E95" s="31"/>
      <c r="F95" s="31"/>
      <c r="G95" s="31"/>
      <c r="H95" s="131"/>
      <c r="I95" s="31"/>
      <c r="J95" s="35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8">D97+D98</f>
        <v>0</v>
      </c>
      <c r="E96" s="17">
        <f t="shared" si="48"/>
        <v>0</v>
      </c>
      <c r="F96" s="17">
        <f t="shared" si="48"/>
        <v>0</v>
      </c>
      <c r="G96" s="17">
        <f t="shared" si="48"/>
        <v>0</v>
      </c>
      <c r="H96" s="131"/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3" t="s">
        <v>263</v>
      </c>
      <c r="C97" s="46" t="s">
        <v>18</v>
      </c>
      <c r="D97" s="31"/>
      <c r="E97" s="31"/>
      <c r="F97" s="31"/>
      <c r="G97" s="31"/>
      <c r="H97" s="131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23" t="s">
        <v>47</v>
      </c>
      <c r="B98" s="93" t="s">
        <v>109</v>
      </c>
      <c r="C98" s="46" t="s">
        <v>18</v>
      </c>
      <c r="D98" s="31"/>
      <c r="E98" s="31"/>
      <c r="F98" s="31"/>
      <c r="G98" s="31"/>
      <c r="H98" s="131"/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43307086614173229" right="0.35433070866141736" top="0.51181102362204722" bottom="0.43307086614173229" header="0" footer="0"/>
  <pageSetup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6640625" customWidth="1"/>
    <col min="2" max="2" width="30.33203125" customWidth="1"/>
    <col min="3" max="3" width="9.77734375" customWidth="1"/>
    <col min="4" max="5" width="18.109375" customWidth="1"/>
    <col min="6" max="8" width="12.6640625" customWidth="1"/>
    <col min="9" max="9" width="11.21875" customWidth="1"/>
    <col min="10" max="10" width="8.88671875" customWidth="1"/>
    <col min="11" max="11" width="19.33203125" customWidth="1"/>
    <col min="12" max="14" width="8.88671875" customWidth="1"/>
    <col min="15" max="24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271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'TU CẤP(5)'!A5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60">
        <v>38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60">
        <v>143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71.73</v>
      </c>
      <c r="E9" s="17">
        <f t="shared" si="0"/>
        <v>75.790000000000006</v>
      </c>
      <c r="F9" s="17">
        <f t="shared" si="0"/>
        <v>59.64</v>
      </c>
      <c r="G9" s="17">
        <f t="shared" si="0"/>
        <v>59.54</v>
      </c>
      <c r="H9" s="17">
        <f t="shared" ref="H9:H19" si="1">F9/E9*100</f>
        <v>78.691120200554153</v>
      </c>
      <c r="I9" s="17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7.57</v>
      </c>
      <c r="F10" s="17">
        <f t="shared" si="2"/>
        <v>2.17</v>
      </c>
      <c r="G10" s="17">
        <f t="shared" si="2"/>
        <v>2.17</v>
      </c>
      <c r="H10" s="17">
        <f t="shared" si="1"/>
        <v>28.66578599735799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31">
        <f t="shared" ref="D11:G11" si="3">D12+D30</f>
        <v>3.6850000000000001</v>
      </c>
      <c r="E11" s="31">
        <f t="shared" si="3"/>
        <v>28.313100000000002</v>
      </c>
      <c r="F11" s="31">
        <f t="shared" si="3"/>
        <v>0</v>
      </c>
      <c r="G11" s="31">
        <f t="shared" si="3"/>
        <v>0</v>
      </c>
      <c r="H11" s="17">
        <f t="shared" si="1"/>
        <v>0</v>
      </c>
      <c r="I11" s="31"/>
      <c r="J11" s="133"/>
      <c r="K11" s="133"/>
      <c r="L11" s="133"/>
      <c r="M11" s="133"/>
      <c r="N11" s="133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1.5" customHeight="1" x14ac:dyDescent="0.25">
      <c r="A12" s="15"/>
      <c r="B12" s="16" t="s">
        <v>22</v>
      </c>
      <c r="C12" s="15" t="s">
        <v>21</v>
      </c>
      <c r="D12" s="31">
        <f t="shared" ref="D12:G12" si="4">D15</f>
        <v>0</v>
      </c>
      <c r="E12" s="31">
        <f t="shared" si="4"/>
        <v>24.623100000000001</v>
      </c>
      <c r="F12" s="31">
        <f t="shared" si="4"/>
        <v>0</v>
      </c>
      <c r="G12" s="31">
        <f t="shared" si="4"/>
        <v>0</v>
      </c>
      <c r="H12" s="17">
        <f t="shared" si="1"/>
        <v>0</v>
      </c>
      <c r="I12" s="31"/>
      <c r="J12" s="133"/>
      <c r="K12" s="133"/>
      <c r="L12" s="133"/>
      <c r="M12" s="133"/>
      <c r="N12" s="133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6.57</v>
      </c>
      <c r="F13" s="17">
        <f t="shared" si="5"/>
        <v>1.17</v>
      </c>
      <c r="G13" s="17">
        <f t="shared" si="5"/>
        <v>1.17</v>
      </c>
      <c r="H13" s="17">
        <f t="shared" si="1"/>
        <v>17.80821917808219</v>
      </c>
      <c r="I13" s="17"/>
      <c r="J13" s="126"/>
      <c r="K13" s="150"/>
      <c r="L13" s="150"/>
      <c r="M13" s="150"/>
      <c r="N13" s="12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/>
      <c r="E14" s="31">
        <f t="shared" ref="E14:G14" si="6">E15/E13*10</f>
        <v>37.478082191780821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26"/>
      <c r="K14" s="126"/>
      <c r="L14" s="126"/>
      <c r="M14" s="126"/>
      <c r="N14" s="12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D18+D21</f>
        <v>0</v>
      </c>
      <c r="E15" s="31">
        <f t="shared" si="7"/>
        <v>24.623100000000001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26"/>
      <c r="K15" s="126"/>
      <c r="L15" s="126"/>
      <c r="M15" s="126"/>
      <c r="N15" s="1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1.17</v>
      </c>
      <c r="F16" s="17">
        <v>1.17</v>
      </c>
      <c r="G16" s="17">
        <v>1.17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/>
      <c r="G17" s="31">
        <v>0</v>
      </c>
      <c r="H17" s="17">
        <f t="shared" si="1"/>
        <v>0</v>
      </c>
      <c r="I17" s="31"/>
      <c r="J17" s="35"/>
      <c r="K17" s="35"/>
      <c r="L17" s="35"/>
      <c r="M17" s="35"/>
      <c r="N17" s="35"/>
      <c r="O17" s="32"/>
      <c r="P17" s="32"/>
      <c r="Q17" s="32"/>
      <c r="R17" s="32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3.9195000000000002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35"/>
      <c r="M18" s="35"/>
      <c r="N18" s="35"/>
      <c r="O18" s="32"/>
      <c r="P18" s="32"/>
      <c r="Q18" s="32"/>
      <c r="R18" s="32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5.4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44"/>
      <c r="O19" s="86"/>
      <c r="P19" s="86"/>
      <c r="Q19" s="86"/>
      <c r="R19" s="86"/>
      <c r="S19" s="86"/>
      <c r="T19" s="86"/>
      <c r="U19" s="86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/>
      <c r="E20" s="31">
        <f>E21/E19*10</f>
        <v>38.340000000000003</v>
      </c>
      <c r="F20" s="31"/>
      <c r="G20" s="31">
        <v>0</v>
      </c>
      <c r="H20" s="17"/>
      <c r="I20" s="31"/>
      <c r="J20" s="28"/>
      <c r="K20" s="28"/>
      <c r="L20" s="28"/>
      <c r="M20" s="28"/>
      <c r="N20" s="44"/>
      <c r="O20" s="86"/>
      <c r="P20" s="86"/>
      <c r="Q20" s="86"/>
      <c r="R20" s="86"/>
      <c r="S20" s="86"/>
      <c r="T20" s="86"/>
      <c r="U20" s="86"/>
      <c r="V20" s="1"/>
      <c r="W20" s="1"/>
      <c r="X20" s="1"/>
      <c r="Y20" s="1"/>
      <c r="Z20" s="1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0">D24+D27</f>
        <v>0</v>
      </c>
      <c r="E21" s="31">
        <f t="shared" si="10"/>
        <v>20.703600000000002</v>
      </c>
      <c r="F21" s="31">
        <f t="shared" si="10"/>
        <v>0</v>
      </c>
      <c r="G21" s="31">
        <f t="shared" si="10"/>
        <v>0</v>
      </c>
      <c r="H21" s="17">
        <f t="shared" ref="H21:H24" si="11">F21/E21*100</f>
        <v>0</v>
      </c>
      <c r="I21" s="31"/>
      <c r="J21" s="28"/>
      <c r="K21" s="28"/>
      <c r="L21" s="28"/>
      <c r="M21" s="28"/>
      <c r="N21" s="44"/>
      <c r="O21" s="86"/>
      <c r="P21" s="86"/>
      <c r="Q21" s="86"/>
      <c r="R21" s="86"/>
      <c r="S21" s="86"/>
      <c r="T21" s="86"/>
      <c r="U21" s="86"/>
      <c r="V21" s="1"/>
      <c r="W21" s="1"/>
      <c r="X21" s="1"/>
      <c r="Y21" s="1"/>
      <c r="Z21" s="1"/>
    </row>
    <row r="22" spans="1:26" ht="31.5" customHeight="1" x14ac:dyDescent="0.25">
      <c r="A22" s="40" t="s">
        <v>32</v>
      </c>
      <c r="B22" s="41" t="s">
        <v>33</v>
      </c>
      <c r="C22" s="40" t="s">
        <v>18</v>
      </c>
      <c r="D22" s="17"/>
      <c r="E22" s="17">
        <v>5.4</v>
      </c>
      <c r="F22" s="31">
        <v>0</v>
      </c>
      <c r="G22" s="17">
        <v>0</v>
      </c>
      <c r="H22" s="17">
        <f t="shared" si="11"/>
        <v>0</v>
      </c>
      <c r="I22" s="31"/>
      <c r="J22" s="53"/>
      <c r="K22" s="53"/>
      <c r="L22" s="53"/>
      <c r="M22" s="53"/>
      <c r="N22" s="61"/>
      <c r="O22" s="152"/>
      <c r="P22" s="152"/>
      <c r="Q22" s="152"/>
      <c r="R22" s="152"/>
      <c r="S22" s="152"/>
      <c r="T22" s="152"/>
      <c r="U22" s="152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>
        <v>0</v>
      </c>
      <c r="G23" s="31"/>
      <c r="H23" s="17">
        <f t="shared" si="11"/>
        <v>0</v>
      </c>
      <c r="I23" s="31"/>
      <c r="J23" s="53"/>
      <c r="K23" s="53"/>
      <c r="L23" s="53"/>
      <c r="M23" s="53"/>
      <c r="N23" s="61"/>
      <c r="O23" s="152"/>
      <c r="P23" s="152"/>
      <c r="Q23" s="152"/>
      <c r="R23" s="152"/>
      <c r="S23" s="152"/>
      <c r="T23" s="152"/>
      <c r="U23" s="152"/>
      <c r="V23" s="1"/>
      <c r="W23" s="1"/>
      <c r="X23" s="1"/>
      <c r="Y23" s="1"/>
      <c r="Z23" s="1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2">D22*D23/10</f>
        <v>0</v>
      </c>
      <c r="E24" s="31">
        <f t="shared" si="12"/>
        <v>20.703600000000002</v>
      </c>
      <c r="F24" s="31">
        <f t="shared" si="12"/>
        <v>0</v>
      </c>
      <c r="G24" s="31">
        <f t="shared" si="12"/>
        <v>0</v>
      </c>
      <c r="H24" s="17">
        <f t="shared" si="11"/>
        <v>0</v>
      </c>
      <c r="I24" s="31"/>
      <c r="J24" s="53"/>
      <c r="K24" s="53"/>
      <c r="L24" s="53"/>
      <c r="M24" s="53"/>
      <c r="N24" s="61"/>
      <c r="O24" s="152"/>
      <c r="P24" s="152"/>
      <c r="Q24" s="152"/>
      <c r="R24" s="152"/>
      <c r="S24" s="152"/>
      <c r="T24" s="152"/>
      <c r="U24" s="152"/>
      <c r="V24" s="1"/>
      <c r="W24" s="1"/>
      <c r="X24" s="1"/>
      <c r="Y24" s="1"/>
      <c r="Z24" s="1"/>
    </row>
    <row r="25" spans="1:26" ht="31.5" customHeight="1" x14ac:dyDescent="0.25">
      <c r="A25" s="40" t="s">
        <v>32</v>
      </c>
      <c r="B25" s="41" t="s">
        <v>34</v>
      </c>
      <c r="C25" s="40" t="s">
        <v>18</v>
      </c>
      <c r="D25" s="17"/>
      <c r="E25" s="17"/>
      <c r="F25" s="31">
        <v>0</v>
      </c>
      <c r="G25" s="31">
        <v>0</v>
      </c>
      <c r="H25" s="17"/>
      <c r="I25" s="31"/>
      <c r="J25" s="53"/>
      <c r="K25" s="53"/>
      <c r="L25" s="53"/>
      <c r="M25" s="53"/>
      <c r="N25" s="53"/>
      <c r="O25" s="33"/>
      <c r="P25" s="33"/>
      <c r="Q25" s="153"/>
      <c r="R25" s="153"/>
      <c r="S25" s="153"/>
      <c r="T25" s="153"/>
      <c r="U25" s="153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0</v>
      </c>
      <c r="F26" s="31">
        <v>0</v>
      </c>
      <c r="G26" s="31">
        <v>0</v>
      </c>
      <c r="H26" s="17"/>
      <c r="I26" s="31"/>
      <c r="J26" s="53"/>
      <c r="K26" s="53"/>
      <c r="L26" s="53"/>
      <c r="M26" s="53"/>
      <c r="N26" s="53"/>
      <c r="O26" s="33"/>
      <c r="P26" s="33"/>
      <c r="Q26" s="153"/>
      <c r="R26" s="153"/>
      <c r="S26" s="153"/>
      <c r="T26" s="153"/>
      <c r="U26" s="153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31">
        <f t="shared" ref="D27:E27" si="13">D25*D26/10</f>
        <v>0</v>
      </c>
      <c r="E27" s="31">
        <f t="shared" si="13"/>
        <v>0</v>
      </c>
      <c r="F27" s="31">
        <v>0</v>
      </c>
      <c r="G27" s="31">
        <v>0</v>
      </c>
      <c r="H27" s="17"/>
      <c r="I27" s="31"/>
      <c r="J27" s="53"/>
      <c r="K27" s="53"/>
      <c r="L27" s="53"/>
      <c r="M27" s="53"/>
      <c r="N27" s="53"/>
      <c r="O27" s="33"/>
      <c r="P27" s="33"/>
      <c r="Q27" s="153"/>
      <c r="R27" s="153"/>
      <c r="S27" s="153"/>
      <c r="T27" s="153"/>
      <c r="U27" s="153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4">D31+D34</f>
        <v>1</v>
      </c>
      <c r="E28" s="17">
        <f t="shared" si="14"/>
        <v>1</v>
      </c>
      <c r="F28" s="17">
        <f t="shared" si="14"/>
        <v>1</v>
      </c>
      <c r="G28" s="17">
        <f t="shared" si="14"/>
        <v>1</v>
      </c>
      <c r="H28" s="17">
        <f t="shared" ref="H28:H30" si="15">F28/E28*100</f>
        <v>100</v>
      </c>
      <c r="I28" s="17"/>
      <c r="J28" s="154"/>
      <c r="K28" s="154"/>
      <c r="L28" s="154"/>
      <c r="M28" s="154"/>
      <c r="N28" s="154"/>
      <c r="O28" s="153"/>
      <c r="P28" s="153"/>
      <c r="Q28" s="153"/>
      <c r="R28" s="153"/>
      <c r="S28" s="153"/>
      <c r="T28" s="153"/>
      <c r="U28" s="153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f t="shared" ref="D29:E29" si="16">D30/D28*10</f>
        <v>36.85</v>
      </c>
      <c r="E29" s="31">
        <f t="shared" si="16"/>
        <v>36.9</v>
      </c>
      <c r="F29" s="31"/>
      <c r="G29" s="31">
        <f>G30/G28*10</f>
        <v>0</v>
      </c>
      <c r="H29" s="17">
        <f t="shared" si="15"/>
        <v>0</v>
      </c>
      <c r="I29" s="31"/>
      <c r="J29" s="154"/>
      <c r="K29" s="154"/>
      <c r="L29" s="154"/>
      <c r="M29" s="154"/>
      <c r="N29" s="154"/>
      <c r="O29" s="153"/>
      <c r="P29" s="153"/>
      <c r="Q29" s="153"/>
      <c r="R29" s="153"/>
      <c r="S29" s="153"/>
      <c r="T29" s="153"/>
      <c r="U29" s="153"/>
      <c r="V29" s="1"/>
      <c r="W29" s="1"/>
      <c r="X29" s="1"/>
      <c r="Y29" s="1"/>
      <c r="Z29" s="1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7">D33+D36</f>
        <v>3.6850000000000001</v>
      </c>
      <c r="E30" s="31">
        <f t="shared" si="17"/>
        <v>3.69</v>
      </c>
      <c r="F30" s="31">
        <f t="shared" si="17"/>
        <v>0</v>
      </c>
      <c r="G30" s="31">
        <f t="shared" si="17"/>
        <v>0</v>
      </c>
      <c r="H30" s="17">
        <f t="shared" si="15"/>
        <v>0</v>
      </c>
      <c r="I30" s="31"/>
      <c r="J30" s="154"/>
      <c r="K30" s="154"/>
      <c r="L30" s="154"/>
      <c r="M30" s="154"/>
      <c r="N30" s="154"/>
      <c r="O30" s="153"/>
      <c r="P30" s="153"/>
      <c r="Q30" s="153"/>
      <c r="R30" s="153"/>
      <c r="S30" s="153"/>
      <c r="T30" s="153"/>
      <c r="U30" s="153"/>
      <c r="V30" s="1"/>
      <c r="W30" s="1"/>
      <c r="X30" s="1"/>
      <c r="Y30" s="1"/>
      <c r="Z30" s="1"/>
    </row>
    <row r="31" spans="1:26" ht="31.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>
        <v>0</v>
      </c>
      <c r="G31" s="17">
        <v>0</v>
      </c>
      <c r="H31" s="17"/>
      <c r="I31" s="17"/>
      <c r="J31" s="154"/>
      <c r="K31" s="154"/>
      <c r="L31" s="154"/>
      <c r="M31" s="154"/>
      <c r="N31" s="154"/>
      <c r="O31" s="153"/>
      <c r="P31" s="153"/>
      <c r="Q31" s="153"/>
      <c r="R31" s="153"/>
      <c r="S31" s="153"/>
      <c r="T31" s="153"/>
      <c r="U31" s="153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154"/>
      <c r="K32" s="154"/>
      <c r="L32" s="154"/>
      <c r="M32" s="154"/>
      <c r="N32" s="154"/>
      <c r="O32" s="153"/>
      <c r="P32" s="153"/>
      <c r="Q32" s="153"/>
      <c r="R32" s="153"/>
      <c r="S32" s="153"/>
      <c r="T32" s="153"/>
      <c r="U32" s="153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154"/>
      <c r="K33" s="154"/>
      <c r="L33" s="154"/>
      <c r="M33" s="154"/>
      <c r="N33" s="154"/>
      <c r="O33" s="153"/>
      <c r="P33" s="153"/>
      <c r="Q33" s="153"/>
      <c r="R33" s="153"/>
      <c r="S33" s="153"/>
      <c r="T33" s="153"/>
      <c r="U33" s="153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7">
        <f t="shared" ref="H34:H39" si="18">F34/E34*100</f>
        <v>100</v>
      </c>
      <c r="I34" s="31"/>
      <c r="J34" s="154"/>
      <c r="K34" s="154"/>
      <c r="L34" s="154"/>
      <c r="M34" s="154"/>
      <c r="N34" s="154"/>
      <c r="O34" s="153"/>
      <c r="P34" s="153"/>
      <c r="Q34" s="153"/>
      <c r="R34" s="153"/>
      <c r="S34" s="153"/>
      <c r="T34" s="153"/>
      <c r="U34" s="153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8"/>
        <v>0</v>
      </c>
      <c r="I35" s="31"/>
      <c r="J35" s="154"/>
      <c r="K35" s="154"/>
      <c r="L35" s="154"/>
      <c r="M35" s="154"/>
      <c r="N35" s="154"/>
      <c r="O35" s="153"/>
      <c r="P35" s="153"/>
      <c r="Q35" s="153"/>
      <c r="R35" s="153"/>
      <c r="S35" s="153"/>
      <c r="T35" s="153"/>
      <c r="U35" s="153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9">D34*D35/10</f>
        <v>3.6850000000000001</v>
      </c>
      <c r="E36" s="31">
        <f t="shared" si="19"/>
        <v>3.69</v>
      </c>
      <c r="F36" s="31">
        <f t="shared" si="19"/>
        <v>0</v>
      </c>
      <c r="G36" s="31">
        <f t="shared" si="19"/>
        <v>0</v>
      </c>
      <c r="H36" s="17">
        <f t="shared" si="18"/>
        <v>0</v>
      </c>
      <c r="I36" s="31"/>
      <c r="J36" s="154"/>
      <c r="K36" s="69"/>
      <c r="L36" s="177"/>
      <c r="M36" s="177"/>
      <c r="N36" s="177"/>
      <c r="O36" s="177"/>
      <c r="P36" s="153"/>
      <c r="Q36" s="153"/>
      <c r="R36" s="153"/>
      <c r="S36" s="153"/>
      <c r="T36" s="153"/>
      <c r="U36" s="153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>
        <v>24</v>
      </c>
      <c r="E37" s="17">
        <v>10.57</v>
      </c>
      <c r="F37" s="17">
        <v>10.57</v>
      </c>
      <c r="G37" s="17">
        <v>10.57</v>
      </c>
      <c r="H37" s="17">
        <f t="shared" si="18"/>
        <v>100</v>
      </c>
      <c r="I37" s="31"/>
      <c r="J37" s="53"/>
      <c r="K37" s="178"/>
      <c r="L37" s="178"/>
      <c r="M37" s="10"/>
      <c r="N37" s="44"/>
      <c r="O37" s="44"/>
      <c r="P37" s="33"/>
      <c r="Q37" s="33"/>
      <c r="R37" s="33"/>
      <c r="S37" s="33"/>
      <c r="T37" s="33"/>
      <c r="U37" s="33"/>
      <c r="V37" s="33"/>
      <c r="W37" s="33"/>
      <c r="X37" s="33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8"/>
        <v>0</v>
      </c>
      <c r="I38" s="31"/>
      <c r="J38" s="53"/>
      <c r="K38" s="51"/>
      <c r="L38" s="51"/>
      <c r="M38" s="44"/>
      <c r="N38" s="44"/>
      <c r="O38" s="44"/>
      <c r="P38" s="33"/>
      <c r="Q38" s="33"/>
      <c r="R38" s="33"/>
      <c r="S38" s="33"/>
      <c r="T38" s="33"/>
      <c r="U38" s="33"/>
      <c r="V38" s="33"/>
      <c r="W38" s="33"/>
      <c r="X38" s="33"/>
      <c r="Y38" s="1"/>
      <c r="Z38" s="1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20">D37*D38/10</f>
        <v>330</v>
      </c>
      <c r="E39" s="31">
        <f t="shared" si="20"/>
        <v>147.97999999999999</v>
      </c>
      <c r="F39" s="31">
        <f t="shared" si="20"/>
        <v>0</v>
      </c>
      <c r="G39" s="31">
        <f t="shared" si="20"/>
        <v>0</v>
      </c>
      <c r="H39" s="17">
        <f t="shared" si="18"/>
        <v>0</v>
      </c>
      <c r="I39" s="31"/>
      <c r="J39" s="53"/>
      <c r="K39" s="51"/>
      <c r="L39" s="51"/>
      <c r="M39" s="44"/>
      <c r="N39" s="44"/>
      <c r="O39" s="44"/>
      <c r="P39" s="33"/>
      <c r="Q39" s="33"/>
      <c r="R39" s="33"/>
      <c r="S39" s="33"/>
      <c r="T39" s="33"/>
      <c r="U39" s="33"/>
      <c r="V39" s="33"/>
      <c r="W39" s="33"/>
      <c r="X39" s="33"/>
      <c r="Y39" s="1"/>
      <c r="Z39" s="1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</v>
      </c>
      <c r="F40" s="31"/>
      <c r="G40" s="31"/>
      <c r="H40" s="17"/>
      <c r="I40" s="31"/>
      <c r="J40" s="53"/>
      <c r="K40" s="51"/>
      <c r="L40" s="51"/>
      <c r="M40" s="44"/>
      <c r="N40" s="44"/>
      <c r="O40" s="44"/>
      <c r="P40" s="33"/>
      <c r="Q40" s="33"/>
      <c r="R40" s="33"/>
      <c r="S40" s="33"/>
      <c r="T40" s="33"/>
      <c r="U40" s="33"/>
      <c r="V40" s="33"/>
      <c r="W40" s="33"/>
      <c r="X40" s="33"/>
      <c r="Y40" s="1"/>
      <c r="Z40" s="1"/>
    </row>
    <row r="41" spans="1:26" ht="31.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31"/>
      <c r="G41" s="31"/>
      <c r="H41" s="17">
        <f>F41/E41*100</f>
        <v>0</v>
      </c>
      <c r="I41" s="31"/>
      <c r="J41" s="53"/>
      <c r="K41" s="51"/>
      <c r="L41" s="51"/>
      <c r="M41" s="44"/>
      <c r="N41" s="44"/>
      <c r="O41" s="44"/>
      <c r="P41" s="33"/>
      <c r="Q41" s="33"/>
      <c r="R41" s="33"/>
      <c r="S41" s="33"/>
      <c r="T41" s="33"/>
      <c r="U41" s="33"/>
      <c r="V41" s="33"/>
      <c r="W41" s="33"/>
      <c r="X41" s="33"/>
      <c r="Y41" s="1"/>
      <c r="Z41" s="1"/>
    </row>
    <row r="42" spans="1:26" ht="31.5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21">E40*E41/10</f>
        <v>0</v>
      </c>
      <c r="F42" s="31">
        <f t="shared" si="21"/>
        <v>0</v>
      </c>
      <c r="G42" s="31">
        <f t="shared" si="21"/>
        <v>0</v>
      </c>
      <c r="H42" s="17"/>
      <c r="I42" s="31"/>
      <c r="J42" s="53"/>
      <c r="K42" s="51"/>
      <c r="L42" s="51"/>
      <c r="M42" s="44"/>
      <c r="N42" s="44"/>
      <c r="O42" s="44"/>
      <c r="P42" s="33"/>
      <c r="Q42" s="33"/>
      <c r="R42" s="33"/>
      <c r="S42" s="33"/>
      <c r="T42" s="33"/>
      <c r="U42" s="33"/>
      <c r="V42" s="33"/>
      <c r="W42" s="33"/>
      <c r="X42" s="33"/>
      <c r="Y42" s="1"/>
      <c r="Z42" s="1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ref="H43:H50" si="22">F43/E43*100</f>
        <v>54</v>
      </c>
      <c r="I43" s="17"/>
      <c r="J43" s="126"/>
      <c r="K43" s="51"/>
      <c r="L43" s="51"/>
      <c r="M43" s="51"/>
      <c r="N43" s="51"/>
      <c r="O43" s="5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22"/>
        <v>0</v>
      </c>
      <c r="I44" s="31"/>
      <c r="J44" s="126"/>
      <c r="K44" s="51"/>
      <c r="L44" s="179"/>
      <c r="M44" s="179"/>
      <c r="N44" s="179"/>
      <c r="O44" s="179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7" t="s">
        <v>27</v>
      </c>
      <c r="C45" s="48" t="s">
        <v>21</v>
      </c>
      <c r="D45" s="31">
        <f t="shared" ref="D45:G45" si="23">D43*D44/10</f>
        <v>5</v>
      </c>
      <c r="E45" s="31">
        <f t="shared" si="23"/>
        <v>4.9249999999999998</v>
      </c>
      <c r="F45" s="31">
        <f t="shared" si="23"/>
        <v>0</v>
      </c>
      <c r="G45" s="31">
        <f t="shared" si="23"/>
        <v>0</v>
      </c>
      <c r="H45" s="17">
        <f t="shared" si="22"/>
        <v>0</v>
      </c>
      <c r="I45" s="31"/>
      <c r="J45" s="126"/>
      <c r="K45" s="135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4">D47+D55+D64</f>
        <v>31.87</v>
      </c>
      <c r="E46" s="17">
        <f t="shared" si="24"/>
        <v>42.67</v>
      </c>
      <c r="F46" s="17">
        <f t="shared" si="24"/>
        <v>32.270000000000003</v>
      </c>
      <c r="G46" s="17">
        <f t="shared" si="24"/>
        <v>32.17</v>
      </c>
      <c r="H46" s="17">
        <f t="shared" si="22"/>
        <v>75.626904148113425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5">D48+D49</f>
        <v>27.37</v>
      </c>
      <c r="E47" s="17">
        <f t="shared" si="25"/>
        <v>37.370000000000005</v>
      </c>
      <c r="F47" s="17">
        <f t="shared" si="25"/>
        <v>27.470000000000002</v>
      </c>
      <c r="G47" s="17">
        <f t="shared" si="25"/>
        <v>27.37</v>
      </c>
      <c r="H47" s="17">
        <f t="shared" si="22"/>
        <v>73.508161626973504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7" t="s">
        <v>32</v>
      </c>
      <c r="B48" s="58" t="s">
        <v>45</v>
      </c>
      <c r="C48" s="59" t="s">
        <v>18</v>
      </c>
      <c r="D48" s="31">
        <v>11.25</v>
      </c>
      <c r="E48" s="31">
        <f>D48+D49</f>
        <v>27.37</v>
      </c>
      <c r="F48" s="31">
        <v>27.37</v>
      </c>
      <c r="G48" s="31">
        <v>27.37</v>
      </c>
      <c r="H48" s="31">
        <f t="shared" si="22"/>
        <v>100</v>
      </c>
      <c r="I48" s="31"/>
      <c r="J48" s="53"/>
      <c r="K48" s="53"/>
      <c r="L48" s="53"/>
      <c r="M48" s="53"/>
      <c r="N48" s="53"/>
      <c r="O48" s="3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6">D50+D51</f>
        <v>16.12</v>
      </c>
      <c r="E49" s="17">
        <f t="shared" si="26"/>
        <v>10</v>
      </c>
      <c r="F49" s="17">
        <f t="shared" si="26"/>
        <v>0.1</v>
      </c>
      <c r="G49" s="17">
        <f t="shared" si="26"/>
        <v>0</v>
      </c>
      <c r="H49" s="17">
        <f t="shared" si="22"/>
        <v>1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59" t="s">
        <v>47</v>
      </c>
      <c r="B50" s="64" t="s">
        <v>48</v>
      </c>
      <c r="C50" s="59" t="s">
        <v>18</v>
      </c>
      <c r="D50" s="31">
        <v>16.12</v>
      </c>
      <c r="E50" s="31">
        <v>10</v>
      </c>
      <c r="F50" s="31">
        <v>0.1</v>
      </c>
      <c r="G50" s="31">
        <v>0</v>
      </c>
      <c r="H50" s="17">
        <f t="shared" si="22"/>
        <v>1</v>
      </c>
      <c r="I50" s="31"/>
      <c r="J50" s="35"/>
      <c r="K50" s="115"/>
      <c r="L50" s="115"/>
      <c r="M50" s="115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59" t="s">
        <v>47</v>
      </c>
      <c r="B51" s="64" t="s">
        <v>49</v>
      </c>
      <c r="C51" s="30" t="s">
        <v>18</v>
      </c>
      <c r="D51" s="31"/>
      <c r="E51" s="31"/>
      <c r="F51" s="31"/>
      <c r="G51" s="31"/>
      <c r="H51" s="17"/>
      <c r="I51" s="31"/>
      <c r="J51" s="126"/>
      <c r="K51" s="126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7">D53+D54</f>
        <v>9.3099999999999987</v>
      </c>
      <c r="E52" s="17">
        <f t="shared" si="27"/>
        <v>9.5625</v>
      </c>
      <c r="F52" s="17">
        <f t="shared" si="27"/>
        <v>9.56</v>
      </c>
      <c r="G52" s="17">
        <f t="shared" si="27"/>
        <v>9.56</v>
      </c>
      <c r="H52" s="17">
        <f t="shared" ref="H52:H53" si="28">F52/E52*100</f>
        <v>99.973856209150341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66" t="s">
        <v>47</v>
      </c>
      <c r="B53" s="64" t="s">
        <v>51</v>
      </c>
      <c r="C53" s="30" t="s">
        <v>18</v>
      </c>
      <c r="D53" s="31">
        <f>7.31-1</f>
        <v>6.31</v>
      </c>
      <c r="E53" s="31">
        <f>D48*85%</f>
        <v>9.5625</v>
      </c>
      <c r="F53" s="31">
        <v>9.56</v>
      </c>
      <c r="G53" s="31">
        <v>9.56</v>
      </c>
      <c r="H53" s="31">
        <f t="shared" si="28"/>
        <v>99.973856209150341</v>
      </c>
      <c r="I53" s="31"/>
      <c r="J53" s="126"/>
      <c r="K53" s="126"/>
      <c r="L53" s="126"/>
      <c r="M53" s="135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4" t="s">
        <v>52</v>
      </c>
      <c r="C54" s="30" t="s">
        <v>18</v>
      </c>
      <c r="D54" s="31">
        <v>3</v>
      </c>
      <c r="E54" s="31"/>
      <c r="F54" s="31"/>
      <c r="G54" s="31"/>
      <c r="H54" s="17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9">D56+D57</f>
        <v>4.5</v>
      </c>
      <c r="E55" s="17">
        <f t="shared" si="29"/>
        <v>5.3</v>
      </c>
      <c r="F55" s="17">
        <f t="shared" si="29"/>
        <v>4.8</v>
      </c>
      <c r="G55" s="17">
        <f t="shared" si="29"/>
        <v>4.8</v>
      </c>
      <c r="H55" s="17">
        <f t="shared" ref="H55:H63" si="30">F55/E55*100</f>
        <v>90.566037735849065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58" t="s">
        <v>50</v>
      </c>
      <c r="C56" s="30" t="s">
        <v>18</v>
      </c>
      <c r="D56" s="31">
        <v>4.5</v>
      </c>
      <c r="E56" s="31">
        <f>D56+E58</f>
        <v>4.8</v>
      </c>
      <c r="F56" s="31">
        <v>4.8</v>
      </c>
      <c r="G56" s="31">
        <v>4.8</v>
      </c>
      <c r="H56" s="31">
        <f t="shared" si="30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31">D58+D61</f>
        <v>0</v>
      </c>
      <c r="E57" s="31">
        <f t="shared" si="31"/>
        <v>0.5</v>
      </c>
      <c r="F57" s="31">
        <f t="shared" si="31"/>
        <v>0</v>
      </c>
      <c r="G57" s="31">
        <f t="shared" si="31"/>
        <v>0</v>
      </c>
      <c r="H57" s="17">
        <f t="shared" si="30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32">D59+D60</f>
        <v>0</v>
      </c>
      <c r="E58" s="71">
        <f t="shared" si="32"/>
        <v>0.30000000000000004</v>
      </c>
      <c r="F58" s="71">
        <f t="shared" si="32"/>
        <v>0</v>
      </c>
      <c r="G58" s="71">
        <f t="shared" si="32"/>
        <v>0</v>
      </c>
      <c r="H58" s="17">
        <f t="shared" si="30"/>
        <v>0</v>
      </c>
      <c r="I58" s="71"/>
      <c r="J58" s="138"/>
      <c r="K58" s="97"/>
      <c r="L58" s="97"/>
      <c r="M58" s="97"/>
      <c r="N58" s="97"/>
      <c r="O58" s="97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1.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7">
        <f t="shared" si="30"/>
        <v>0</v>
      </c>
      <c r="I59" s="31"/>
      <c r="J59" s="35"/>
      <c r="K59" s="137"/>
      <c r="L59" s="137"/>
      <c r="M59" s="137"/>
      <c r="N59" s="137"/>
      <c r="O59" s="13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7">
        <f t="shared" si="30"/>
        <v>0</v>
      </c>
      <c r="I60" s="31"/>
      <c r="J60" s="35"/>
      <c r="K60" s="137"/>
      <c r="L60" s="137"/>
      <c r="M60" s="137"/>
      <c r="N60" s="137"/>
      <c r="O60" s="13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3">D62+D63</f>
        <v>0</v>
      </c>
      <c r="E61" s="71">
        <f t="shared" si="33"/>
        <v>0.2</v>
      </c>
      <c r="F61" s="71">
        <f t="shared" si="33"/>
        <v>0</v>
      </c>
      <c r="G61" s="71">
        <f t="shared" si="33"/>
        <v>0</v>
      </c>
      <c r="H61" s="17">
        <f t="shared" si="30"/>
        <v>0</v>
      </c>
      <c r="I61" s="71"/>
      <c r="J61" s="35"/>
      <c r="K61" s="97"/>
      <c r="L61" s="138"/>
      <c r="M61" s="138"/>
      <c r="N61" s="138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1.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0.1</v>
      </c>
      <c r="F62" s="31">
        <v>0</v>
      </c>
      <c r="G62" s="31">
        <v>0</v>
      </c>
      <c r="H62" s="17">
        <f t="shared" si="30"/>
        <v>0</v>
      </c>
      <c r="I62" s="31"/>
      <c r="J62" s="35"/>
      <c r="K62" s="137"/>
      <c r="L62" s="137"/>
      <c r="M62" s="137"/>
      <c r="N62" s="137"/>
      <c r="O62" s="13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30"/>
        <v>0</v>
      </c>
      <c r="I63" s="31"/>
      <c r="J63" s="35"/>
      <c r="K63" s="137"/>
      <c r="L63" s="137"/>
      <c r="M63" s="137"/>
      <c r="N63" s="137"/>
      <c r="O63" s="13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4">D65+D66</f>
        <v>0</v>
      </c>
      <c r="E64" s="17">
        <f t="shared" si="34"/>
        <v>0</v>
      </c>
      <c r="F64" s="17">
        <f t="shared" si="34"/>
        <v>0</v>
      </c>
      <c r="G64" s="17">
        <f t="shared" si="34"/>
        <v>0</v>
      </c>
      <c r="H64" s="17"/>
      <c r="I64" s="17"/>
      <c r="J64" s="35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58" t="s">
        <v>45</v>
      </c>
      <c r="C65" s="30" t="s">
        <v>18</v>
      </c>
      <c r="D65" s="31"/>
      <c r="E65" s="31"/>
      <c r="F65" s="31"/>
      <c r="G65" s="31"/>
      <c r="H65" s="17"/>
      <c r="I65" s="31"/>
      <c r="J65" s="126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17"/>
      <c r="I66" s="31"/>
      <c r="J66" s="126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5">D68+D71</f>
        <v>14.360000000000001</v>
      </c>
      <c r="E67" s="17">
        <f t="shared" si="35"/>
        <v>14.48</v>
      </c>
      <c r="F67" s="17">
        <f t="shared" si="35"/>
        <v>14.360000000000001</v>
      </c>
      <c r="G67" s="17">
        <f t="shared" si="35"/>
        <v>14.360000000000001</v>
      </c>
      <c r="H67" s="17">
        <f t="shared" ref="H67:H69" si="36">F67/E67*100</f>
        <v>99.171270718232051</v>
      </c>
      <c r="I67" s="17"/>
      <c r="J67" s="126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7">D69+D70</f>
        <v>0.55000000000000004</v>
      </c>
      <c r="E68" s="17">
        <f t="shared" si="37"/>
        <v>0.55000000000000004</v>
      </c>
      <c r="F68" s="17">
        <f t="shared" si="37"/>
        <v>0.55000000000000004</v>
      </c>
      <c r="G68" s="17">
        <f t="shared" si="37"/>
        <v>0.55000000000000004</v>
      </c>
      <c r="H68" s="17">
        <f t="shared" si="36"/>
        <v>100</v>
      </c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58" t="s">
        <v>69</v>
      </c>
      <c r="C69" s="30" t="s">
        <v>18</v>
      </c>
      <c r="D69" s="31">
        <v>0.5</v>
      </c>
      <c r="E69" s="31">
        <f>D69+D70</f>
        <v>0.55000000000000004</v>
      </c>
      <c r="F69" s="31">
        <v>0.55000000000000004</v>
      </c>
      <c r="G69" s="31">
        <v>0.55000000000000004</v>
      </c>
      <c r="H69" s="31">
        <f t="shared" si="36"/>
        <v>100</v>
      </c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58" t="s">
        <v>70</v>
      </c>
      <c r="C70" s="30" t="s">
        <v>18</v>
      </c>
      <c r="D70" s="31">
        <v>0.05</v>
      </c>
      <c r="E70" s="31">
        <v>0</v>
      </c>
      <c r="F70" s="31"/>
      <c r="G70" s="31"/>
      <c r="H70" s="17"/>
      <c r="I70" s="31"/>
      <c r="J70" s="126"/>
      <c r="K70" s="53"/>
      <c r="L70" s="53"/>
      <c r="M70" s="53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8">D72+D73</f>
        <v>13.81</v>
      </c>
      <c r="E71" s="17">
        <f t="shared" si="38"/>
        <v>13.93</v>
      </c>
      <c r="F71" s="17">
        <f t="shared" si="38"/>
        <v>13.81</v>
      </c>
      <c r="G71" s="17">
        <f t="shared" si="38"/>
        <v>13.81</v>
      </c>
      <c r="H71" s="17">
        <f t="shared" ref="H71:H75" si="39">F71/E71*100</f>
        <v>99.138549892318736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40">D75+D82</f>
        <v>12.31</v>
      </c>
      <c r="E72" s="87">
        <f t="shared" si="40"/>
        <v>13.81</v>
      </c>
      <c r="F72" s="87">
        <f t="shared" si="40"/>
        <v>13.81</v>
      </c>
      <c r="G72" s="87">
        <f t="shared" si="40"/>
        <v>13.81</v>
      </c>
      <c r="H72" s="17">
        <f t="shared" si="39"/>
        <v>100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41">D76+D83</f>
        <v>1.5</v>
      </c>
      <c r="E73" s="17">
        <f t="shared" si="41"/>
        <v>0.12</v>
      </c>
      <c r="F73" s="17">
        <f t="shared" si="41"/>
        <v>0</v>
      </c>
      <c r="G73" s="17">
        <f t="shared" si="41"/>
        <v>0</v>
      </c>
      <c r="H73" s="17">
        <f t="shared" si="39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42">D75+D76</f>
        <v>11.34</v>
      </c>
      <c r="E74" s="91">
        <f t="shared" si="42"/>
        <v>11.34</v>
      </c>
      <c r="F74" s="91">
        <f t="shared" si="42"/>
        <v>11.34</v>
      </c>
      <c r="G74" s="91">
        <f t="shared" si="42"/>
        <v>11.34</v>
      </c>
      <c r="H74" s="17">
        <f t="shared" si="39"/>
        <v>100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7" t="s">
        <v>32</v>
      </c>
      <c r="B75" s="93" t="s">
        <v>45</v>
      </c>
      <c r="C75" s="30" t="s">
        <v>18</v>
      </c>
      <c r="D75" s="60">
        <f>6.84+3</f>
        <v>9.84</v>
      </c>
      <c r="E75" s="60">
        <f>D75+D76</f>
        <v>11.34</v>
      </c>
      <c r="F75" s="60">
        <v>11.34</v>
      </c>
      <c r="G75" s="60">
        <v>11.34</v>
      </c>
      <c r="H75" s="31">
        <f t="shared" si="39"/>
        <v>100</v>
      </c>
      <c r="I75" s="31"/>
      <c r="J75" s="126"/>
      <c r="K75" s="126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F76" si="43">SUM(D77:D80)</f>
        <v>1.5</v>
      </c>
      <c r="E76" s="141">
        <f t="shared" si="43"/>
        <v>0</v>
      </c>
      <c r="F76" s="141">
        <f t="shared" si="43"/>
        <v>0</v>
      </c>
      <c r="G76" s="141"/>
      <c r="H76" s="31"/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6" t="s">
        <v>47</v>
      </c>
      <c r="B77" s="94" t="s">
        <v>80</v>
      </c>
      <c r="C77" s="46" t="s">
        <v>18</v>
      </c>
      <c r="D77" s="31"/>
      <c r="E77" s="31">
        <v>0</v>
      </c>
      <c r="F77" s="31"/>
      <c r="G77" s="31"/>
      <c r="H77" s="31"/>
      <c r="I77" s="31"/>
      <c r="J77" s="138"/>
      <c r="K77" s="138"/>
      <c r="L77" s="97"/>
      <c r="M77" s="143"/>
      <c r="N77" s="143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6" t="s">
        <v>47</v>
      </c>
      <c r="B78" s="94" t="s">
        <v>81</v>
      </c>
      <c r="C78" s="46" t="s">
        <v>18</v>
      </c>
      <c r="D78" s="31"/>
      <c r="E78" s="31">
        <v>0</v>
      </c>
      <c r="F78" s="31"/>
      <c r="G78" s="71"/>
      <c r="H78" s="71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71"/>
      <c r="H79" s="71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6" t="s">
        <v>47</v>
      </c>
      <c r="B80" s="144" t="s">
        <v>83</v>
      </c>
      <c r="C80" s="46" t="s">
        <v>18</v>
      </c>
      <c r="D80" s="31">
        <v>1.5</v>
      </c>
      <c r="E80" s="31"/>
      <c r="F80" s="31"/>
      <c r="G80" s="71"/>
      <c r="H80" s="71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4">D82+D83</f>
        <v>2.4700000000000002</v>
      </c>
      <c r="E81" s="91">
        <f t="shared" si="44"/>
        <v>2.5900000000000003</v>
      </c>
      <c r="F81" s="91">
        <f t="shared" si="44"/>
        <v>2.4700000000000002</v>
      </c>
      <c r="G81" s="91">
        <f t="shared" si="44"/>
        <v>2.4700000000000002</v>
      </c>
      <c r="H81" s="96">
        <f t="shared" ref="H81:H83" si="45">F81/E81*100</f>
        <v>95.366795366795358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1.5" customHeight="1" x14ac:dyDescent="0.25">
      <c r="A82" s="107" t="s">
        <v>47</v>
      </c>
      <c r="B82" s="94" t="s">
        <v>85</v>
      </c>
      <c r="C82" s="46" t="s">
        <v>18</v>
      </c>
      <c r="D82" s="71">
        <v>2.4700000000000002</v>
      </c>
      <c r="E82" s="71">
        <f>D82+D83</f>
        <v>2.4700000000000002</v>
      </c>
      <c r="F82" s="71">
        <v>2.4700000000000002</v>
      </c>
      <c r="G82" s="71">
        <v>2.4700000000000002</v>
      </c>
      <c r="H82" s="71">
        <f t="shared" si="45"/>
        <v>100</v>
      </c>
      <c r="I82" s="71"/>
      <c r="J82" s="138"/>
      <c r="K82" s="138"/>
      <c r="L82" s="97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1.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6">SUM(D84:D87)</f>
        <v>0</v>
      </c>
      <c r="E83" s="60">
        <f t="shared" si="46"/>
        <v>0.12</v>
      </c>
      <c r="F83" s="60">
        <f t="shared" si="46"/>
        <v>0</v>
      </c>
      <c r="G83" s="60">
        <f t="shared" si="46"/>
        <v>0</v>
      </c>
      <c r="H83" s="17">
        <f t="shared" si="45"/>
        <v>0</v>
      </c>
      <c r="I83" s="60"/>
      <c r="J83" s="138"/>
      <c r="K83" s="138"/>
      <c r="L83" s="97"/>
      <c r="M83" s="97"/>
      <c r="N83" s="97"/>
      <c r="O83" s="2"/>
      <c r="P83" s="2"/>
      <c r="Q83" s="2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31"/>
      <c r="I84" s="31"/>
      <c r="J84" s="97"/>
      <c r="K84" s="97"/>
      <c r="L84" s="97"/>
      <c r="M84" s="97"/>
      <c r="N84" s="97"/>
      <c r="O84" s="2"/>
      <c r="P84" s="2"/>
      <c r="Q84" s="2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31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31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07" t="s">
        <v>47</v>
      </c>
      <c r="B87" s="94" t="s">
        <v>89</v>
      </c>
      <c r="C87" s="46" t="s">
        <v>18</v>
      </c>
      <c r="D87" s="31"/>
      <c r="E87" s="31">
        <v>0.12</v>
      </c>
      <c r="F87" s="31">
        <v>0</v>
      </c>
      <c r="G87" s="31">
        <v>0</v>
      </c>
      <c r="H87" s="17">
        <f t="shared" ref="H87:H91" si="47">F87/E87*100</f>
        <v>0</v>
      </c>
      <c r="I87" s="31"/>
      <c r="J87" s="97"/>
      <c r="K87" s="97"/>
      <c r="L87" s="97"/>
      <c r="M87" s="143"/>
      <c r="N87" s="143"/>
      <c r="O87" s="38"/>
      <c r="P87" s="38"/>
      <c r="Q87" s="38"/>
      <c r="R87" s="38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8">SUM(D89:D93)</f>
        <v>309</v>
      </c>
      <c r="E88" s="17">
        <f t="shared" si="48"/>
        <v>283</v>
      </c>
      <c r="F88" s="17">
        <f t="shared" si="48"/>
        <v>266</v>
      </c>
      <c r="G88" s="17">
        <f t="shared" si="48"/>
        <v>266</v>
      </c>
      <c r="H88" s="17">
        <f t="shared" si="47"/>
        <v>93.992932862190813</v>
      </c>
      <c r="I88" s="17"/>
      <c r="J88" s="28"/>
      <c r="K88" s="28"/>
      <c r="L88" s="134"/>
      <c r="M88" s="134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f>26+5</f>
        <v>31</v>
      </c>
      <c r="E89" s="31">
        <f>26+14</f>
        <v>40</v>
      </c>
      <c r="F89" s="31">
        <v>39</v>
      </c>
      <c r="G89" s="31">
        <f t="shared" ref="G89:G91" si="49">F89</f>
        <v>39</v>
      </c>
      <c r="H89" s="31">
        <f t="shared" si="47"/>
        <v>97.5</v>
      </c>
      <c r="I89" s="31"/>
      <c r="J89" s="55"/>
      <c r="K89" s="79"/>
      <c r="L89" s="171"/>
      <c r="M89" s="172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f>43+5</f>
        <v>48</v>
      </c>
      <c r="E90" s="31">
        <f>42+7</f>
        <v>49</v>
      </c>
      <c r="F90" s="31">
        <v>46</v>
      </c>
      <c r="G90" s="31">
        <f t="shared" si="49"/>
        <v>46</v>
      </c>
      <c r="H90" s="31">
        <f t="shared" si="47"/>
        <v>93.877551020408163</v>
      </c>
      <c r="I90" s="31"/>
      <c r="J90" s="55"/>
      <c r="K90" s="79"/>
      <c r="L90" s="171"/>
      <c r="M90" s="172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f>35-5</f>
        <v>30</v>
      </c>
      <c r="E91" s="31">
        <f>25+8</f>
        <v>33</v>
      </c>
      <c r="F91" s="31">
        <v>30</v>
      </c>
      <c r="G91" s="31">
        <f t="shared" si="49"/>
        <v>30</v>
      </c>
      <c r="H91" s="31">
        <f t="shared" si="47"/>
        <v>90.909090909090907</v>
      </c>
      <c r="I91" s="31"/>
      <c r="J91" s="55"/>
      <c r="K91" s="79"/>
      <c r="L91" s="171"/>
      <c r="M91" s="172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1.5" customHeight="1" x14ac:dyDescent="0.25">
      <c r="A92" s="30">
        <v>4</v>
      </c>
      <c r="B92" s="27" t="s">
        <v>98</v>
      </c>
      <c r="C92" s="30" t="s">
        <v>93</v>
      </c>
      <c r="D92" s="31">
        <v>3</v>
      </c>
      <c r="E92" s="31"/>
      <c r="F92" s="31"/>
      <c r="G92" s="31"/>
      <c r="H92" s="17"/>
      <c r="I92" s="31"/>
      <c r="J92" s="28"/>
      <c r="K92" s="28"/>
      <c r="L92" s="174"/>
      <c r="M92" s="172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99</v>
      </c>
      <c r="C93" s="30" t="s">
        <v>93</v>
      </c>
      <c r="D93" s="31">
        <f>188+9</f>
        <v>197</v>
      </c>
      <c r="E93" s="31">
        <f>178-17</f>
        <v>161</v>
      </c>
      <c r="F93" s="31">
        <v>151</v>
      </c>
      <c r="G93" s="31">
        <f>F93</f>
        <v>151</v>
      </c>
      <c r="H93" s="31">
        <f>F93/E93*100</f>
        <v>93.788819875776397</v>
      </c>
      <c r="I93" s="31"/>
      <c r="J93" s="79"/>
      <c r="K93" s="79"/>
      <c r="L93" s="174"/>
      <c r="M93" s="172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1.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50">D95</f>
        <v>0</v>
      </c>
      <c r="E94" s="17">
        <f t="shared" si="50"/>
        <v>0</v>
      </c>
      <c r="F94" s="17">
        <f t="shared" si="50"/>
        <v>0</v>
      </c>
      <c r="G94" s="17">
        <f t="shared" si="50"/>
        <v>0</v>
      </c>
      <c r="H94" s="17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6" t="s">
        <v>47</v>
      </c>
      <c r="B95" s="76" t="s">
        <v>102</v>
      </c>
      <c r="C95" s="46" t="s">
        <v>18</v>
      </c>
      <c r="D95" s="31"/>
      <c r="E95" s="31"/>
      <c r="F95" s="31"/>
      <c r="G95" s="31"/>
      <c r="H95" s="17"/>
      <c r="I95" s="31"/>
      <c r="J95" s="28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51">D97+D98</f>
        <v>2.8</v>
      </c>
      <c r="E96" s="17">
        <f t="shared" si="51"/>
        <v>0.65</v>
      </c>
      <c r="F96" s="17">
        <f t="shared" si="51"/>
        <v>0</v>
      </c>
      <c r="G96" s="17">
        <f t="shared" si="51"/>
        <v>0</v>
      </c>
      <c r="H96" s="17">
        <f>F96/E96*100</f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3" t="s">
        <v>263</v>
      </c>
      <c r="C97" s="46" t="s">
        <v>18</v>
      </c>
      <c r="D97" s="31"/>
      <c r="E97" s="31"/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23" t="s">
        <v>47</v>
      </c>
      <c r="B98" s="93" t="s">
        <v>109</v>
      </c>
      <c r="C98" s="46" t="s">
        <v>18</v>
      </c>
      <c r="D98" s="31">
        <v>2.8</v>
      </c>
      <c r="E98" s="31">
        <v>0.65</v>
      </c>
      <c r="F98" s="31"/>
      <c r="G98" s="31"/>
      <c r="H98" s="17">
        <f>F98/E98*100</f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39370078740157483" right="0.35433070866141736" top="0.51181102362204722" bottom="0.55118110236220474" header="0" footer="0"/>
  <pageSetup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21875" defaultRowHeight="15" customHeight="1" x14ac:dyDescent="0.25"/>
  <cols>
    <col min="1" max="1" width="7.5546875" customWidth="1"/>
    <col min="2" max="2" width="29" customWidth="1"/>
    <col min="3" max="3" width="9.44140625" customWidth="1"/>
    <col min="4" max="5" width="18.109375" customWidth="1"/>
    <col min="6" max="8" width="12.6640625" customWidth="1"/>
    <col min="9" max="9" width="11.77734375" customWidth="1"/>
    <col min="10" max="10" width="8.88671875" customWidth="1"/>
    <col min="11" max="11" width="19.21875" customWidth="1"/>
    <col min="12" max="14" width="8.88671875" customWidth="1"/>
    <col min="15" max="21" width="11.21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319"/>
      <c r="I1" s="3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333"/>
      <c r="B2" s="320"/>
      <c r="C2" s="320"/>
      <c r="D2" s="320"/>
      <c r="E2" s="320"/>
      <c r="F2" s="320"/>
      <c r="G2" s="320"/>
      <c r="H2" s="320"/>
      <c r="I2" s="320"/>
      <c r="J2" s="126"/>
      <c r="K2" s="126"/>
      <c r="L2" s="126"/>
      <c r="M2" s="126"/>
      <c r="N2" s="12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334" t="s">
        <v>259</v>
      </c>
      <c r="B3" s="320"/>
      <c r="C3" s="320"/>
      <c r="D3" s="320"/>
      <c r="E3" s="320"/>
      <c r="F3" s="320"/>
      <c r="G3" s="320"/>
      <c r="H3" s="320"/>
      <c r="I3" s="320"/>
      <c r="J3" s="126"/>
      <c r="K3" s="126"/>
      <c r="L3" s="126"/>
      <c r="M3" s="126"/>
      <c r="N3" s="12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334" t="s">
        <v>272</v>
      </c>
      <c r="B4" s="320"/>
      <c r="C4" s="320"/>
      <c r="D4" s="320"/>
      <c r="E4" s="320"/>
      <c r="F4" s="320"/>
      <c r="G4" s="320"/>
      <c r="H4" s="320"/>
      <c r="I4" s="320"/>
      <c r="J4" s="126"/>
      <c r="K4" s="126"/>
      <c r="L4" s="126"/>
      <c r="M4" s="126"/>
      <c r="N4" s="12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335" t="str">
        <f>'ĐĂK KA(6)'!A5</f>
        <v>(Kèm theo Báo cáo số        /BC-UBND, Ngày      tháng 6 năm 2026 của UBND xã Tu Mơ Rông)</v>
      </c>
      <c r="B5" s="320"/>
      <c r="C5" s="320"/>
      <c r="D5" s="320"/>
      <c r="E5" s="320"/>
      <c r="F5" s="320"/>
      <c r="G5" s="320"/>
      <c r="H5" s="320"/>
      <c r="I5" s="320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x14ac:dyDescent="0.25">
      <c r="A6" s="128"/>
      <c r="B6" s="128"/>
      <c r="C6" s="128"/>
      <c r="D6" s="129"/>
      <c r="E6" s="129"/>
      <c r="F6" s="129"/>
      <c r="G6" s="129"/>
      <c r="H6" s="129"/>
      <c r="I6" s="129"/>
      <c r="J6" s="126"/>
      <c r="K6" s="126"/>
      <c r="L6" s="126"/>
      <c r="M6" s="126"/>
      <c r="N6" s="1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314" t="s">
        <v>3</v>
      </c>
      <c r="B7" s="314" t="s">
        <v>4</v>
      </c>
      <c r="C7" s="314" t="s">
        <v>5</v>
      </c>
      <c r="D7" s="314" t="s">
        <v>6</v>
      </c>
      <c r="E7" s="316" t="s">
        <v>8</v>
      </c>
      <c r="F7" s="317"/>
      <c r="G7" s="317"/>
      <c r="H7" s="318"/>
      <c r="I7" s="314" t="s">
        <v>265</v>
      </c>
      <c r="J7" s="126"/>
      <c r="K7" s="11" t="s">
        <v>10</v>
      </c>
      <c r="L7" s="160">
        <v>36</v>
      </c>
      <c r="M7" s="126"/>
      <c r="N7" s="12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315"/>
      <c r="B8" s="315"/>
      <c r="C8" s="315"/>
      <c r="D8" s="315"/>
      <c r="E8" s="14" t="s">
        <v>11</v>
      </c>
      <c r="F8" s="14" t="s">
        <v>261</v>
      </c>
      <c r="G8" s="14" t="s">
        <v>262</v>
      </c>
      <c r="H8" s="14" t="s">
        <v>14</v>
      </c>
      <c r="I8" s="315"/>
      <c r="J8" s="126"/>
      <c r="K8" s="11" t="s">
        <v>15</v>
      </c>
      <c r="L8" s="160">
        <v>173</v>
      </c>
      <c r="M8" s="126"/>
      <c r="N8" s="12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25">
      <c r="A9" s="15" t="s">
        <v>16</v>
      </c>
      <c r="B9" s="16" t="s">
        <v>17</v>
      </c>
      <c r="C9" s="15" t="s">
        <v>18</v>
      </c>
      <c r="D9" s="17">
        <f t="shared" ref="D9:G9" si="0">D13+D28+D37+D43+D46+D67</f>
        <v>54.019999999999996</v>
      </c>
      <c r="E9" s="17">
        <f t="shared" si="0"/>
        <v>70.949999999999989</v>
      </c>
      <c r="F9" s="17">
        <f t="shared" si="0"/>
        <v>54.11</v>
      </c>
      <c r="G9" s="17">
        <f t="shared" si="0"/>
        <v>54.11</v>
      </c>
      <c r="H9" s="17">
        <f t="shared" ref="H9:H24" si="1">F9/E9*100</f>
        <v>76.264975334742786</v>
      </c>
      <c r="I9" s="17"/>
      <c r="J9" s="133"/>
      <c r="K9" s="133"/>
      <c r="L9" s="133"/>
      <c r="M9" s="133"/>
      <c r="N9" s="133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1.5" customHeight="1" x14ac:dyDescent="0.25">
      <c r="A10" s="15">
        <v>1</v>
      </c>
      <c r="B10" s="16" t="s">
        <v>19</v>
      </c>
      <c r="C10" s="15" t="s">
        <v>18</v>
      </c>
      <c r="D10" s="17">
        <f t="shared" ref="D10:G10" si="2">D13+D28</f>
        <v>1</v>
      </c>
      <c r="E10" s="17">
        <f t="shared" si="2"/>
        <v>8.3000000000000007</v>
      </c>
      <c r="F10" s="17">
        <f t="shared" si="2"/>
        <v>2.2999999999999998</v>
      </c>
      <c r="G10" s="17">
        <f t="shared" si="2"/>
        <v>2.2999999999999998</v>
      </c>
      <c r="H10" s="17">
        <f t="shared" si="1"/>
        <v>27.710843373493972</v>
      </c>
      <c r="I10" s="17"/>
      <c r="J10" s="133"/>
      <c r="K10" s="133"/>
      <c r="L10" s="133"/>
      <c r="M10" s="133"/>
      <c r="N10" s="133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5" customHeight="1" x14ac:dyDescent="0.25">
      <c r="A11" s="15"/>
      <c r="B11" s="24" t="s">
        <v>20</v>
      </c>
      <c r="C11" s="15" t="s">
        <v>21</v>
      </c>
      <c r="D11" s="17">
        <f t="shared" ref="D11:G11" si="3">D12+D30</f>
        <v>3.6850000000000001</v>
      </c>
      <c r="E11" s="17">
        <f t="shared" si="3"/>
        <v>25.688550000000003</v>
      </c>
      <c r="F11" s="17">
        <f t="shared" si="3"/>
        <v>0</v>
      </c>
      <c r="G11" s="17">
        <f t="shared" si="3"/>
        <v>0</v>
      </c>
      <c r="H11" s="17">
        <f t="shared" si="1"/>
        <v>0</v>
      </c>
      <c r="I11" s="17"/>
      <c r="J11" s="133"/>
      <c r="K11" s="133"/>
      <c r="L11" s="180"/>
      <c r="M11" s="180"/>
      <c r="N11" s="180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</row>
    <row r="12" spans="1:26" ht="31.5" customHeight="1" x14ac:dyDescent="0.25">
      <c r="A12" s="15"/>
      <c r="B12" s="16" t="s">
        <v>22</v>
      </c>
      <c r="C12" s="15" t="s">
        <v>21</v>
      </c>
      <c r="D12" s="17">
        <f t="shared" ref="D12:G12" si="4">D15</f>
        <v>0</v>
      </c>
      <c r="E12" s="17">
        <f t="shared" si="4"/>
        <v>21.998550000000002</v>
      </c>
      <c r="F12" s="17">
        <f t="shared" si="4"/>
        <v>0</v>
      </c>
      <c r="G12" s="17">
        <f t="shared" si="4"/>
        <v>0</v>
      </c>
      <c r="H12" s="17">
        <f t="shared" si="1"/>
        <v>0</v>
      </c>
      <c r="I12" s="17"/>
      <c r="J12" s="133"/>
      <c r="K12" s="133"/>
      <c r="L12" s="180"/>
      <c r="M12" s="180"/>
      <c r="N12" s="180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</row>
    <row r="13" spans="1:26" ht="31.5" customHeight="1" x14ac:dyDescent="0.25">
      <c r="A13" s="15" t="s">
        <v>23</v>
      </c>
      <c r="B13" s="16" t="s">
        <v>24</v>
      </c>
      <c r="C13" s="15" t="s">
        <v>18</v>
      </c>
      <c r="D13" s="17">
        <f t="shared" ref="D13:G13" si="5">D16+D19</f>
        <v>0</v>
      </c>
      <c r="E13" s="17">
        <f t="shared" si="5"/>
        <v>7.3</v>
      </c>
      <c r="F13" s="17">
        <f t="shared" si="5"/>
        <v>1.3</v>
      </c>
      <c r="G13" s="17">
        <f t="shared" si="5"/>
        <v>1.3</v>
      </c>
      <c r="H13" s="17">
        <f t="shared" si="1"/>
        <v>17.808219178082194</v>
      </c>
      <c r="I13" s="17"/>
      <c r="J13" s="126"/>
      <c r="K13" s="156"/>
      <c r="L13" s="156"/>
      <c r="M13" s="156"/>
      <c r="N13" s="12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5">
      <c r="A14" s="15"/>
      <c r="B14" s="27" t="s">
        <v>25</v>
      </c>
      <c r="C14" s="30" t="s">
        <v>26</v>
      </c>
      <c r="D14" s="31">
        <f t="shared" ref="D14:G14" si="6">(D17+D20)/2</f>
        <v>30.125</v>
      </c>
      <c r="E14" s="31">
        <f t="shared" si="6"/>
        <v>30.135000000000002</v>
      </c>
      <c r="F14" s="31">
        <f t="shared" si="6"/>
        <v>0</v>
      </c>
      <c r="G14" s="31">
        <f t="shared" si="6"/>
        <v>0</v>
      </c>
      <c r="H14" s="17">
        <f t="shared" si="1"/>
        <v>0</v>
      </c>
      <c r="I14" s="31"/>
      <c r="J14" s="126"/>
      <c r="K14" s="126"/>
      <c r="L14" s="182"/>
      <c r="M14" s="182"/>
      <c r="N14" s="182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</row>
    <row r="15" spans="1:26" ht="31.5" customHeight="1" x14ac:dyDescent="0.25">
      <c r="A15" s="15"/>
      <c r="B15" s="27" t="s">
        <v>27</v>
      </c>
      <c r="C15" s="30" t="s">
        <v>21</v>
      </c>
      <c r="D15" s="31">
        <f t="shared" ref="D15:G15" si="7">D13*D14/10</f>
        <v>0</v>
      </c>
      <c r="E15" s="31">
        <f t="shared" si="7"/>
        <v>21.998550000000002</v>
      </c>
      <c r="F15" s="31">
        <f t="shared" si="7"/>
        <v>0</v>
      </c>
      <c r="G15" s="31">
        <f t="shared" si="7"/>
        <v>0</v>
      </c>
      <c r="H15" s="17">
        <f t="shared" si="1"/>
        <v>0</v>
      </c>
      <c r="I15" s="31"/>
      <c r="J15" s="126"/>
      <c r="K15" s="126"/>
      <c r="L15" s="182"/>
      <c r="M15" s="182"/>
      <c r="N15" s="182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 spans="1:26" ht="31.5" customHeight="1" x14ac:dyDescent="0.25">
      <c r="A16" s="15" t="s">
        <v>28</v>
      </c>
      <c r="B16" s="16" t="s">
        <v>29</v>
      </c>
      <c r="C16" s="15" t="s">
        <v>18</v>
      </c>
      <c r="D16" s="17"/>
      <c r="E16" s="17">
        <v>1.3</v>
      </c>
      <c r="F16" s="17">
        <v>1.3</v>
      </c>
      <c r="G16" s="17">
        <v>1.3</v>
      </c>
      <c r="H16" s="17">
        <f t="shared" si="1"/>
        <v>100</v>
      </c>
      <c r="I16" s="17"/>
      <c r="J16" s="35"/>
      <c r="K16" s="35"/>
      <c r="L16" s="35"/>
      <c r="M16" s="35"/>
      <c r="N16" s="35"/>
      <c r="O16" s="32"/>
      <c r="P16" s="32"/>
      <c r="Q16" s="32"/>
      <c r="R16" s="32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5"/>
      <c r="B17" s="27" t="s">
        <v>25</v>
      </c>
      <c r="C17" s="30" t="s">
        <v>26</v>
      </c>
      <c r="D17" s="31">
        <v>33.5</v>
      </c>
      <c r="E17" s="31">
        <v>33.5</v>
      </c>
      <c r="F17" s="31">
        <v>0</v>
      </c>
      <c r="G17" s="31">
        <v>0</v>
      </c>
      <c r="H17" s="17">
        <f t="shared" si="1"/>
        <v>0</v>
      </c>
      <c r="I17" s="31"/>
      <c r="J17" s="35"/>
      <c r="K17" s="35"/>
      <c r="L17" s="184"/>
      <c r="M17" s="184"/>
      <c r="N17" s="184"/>
      <c r="O17" s="185"/>
      <c r="P17" s="185"/>
      <c r="Q17" s="185"/>
      <c r="R17" s="185"/>
      <c r="S17" s="183"/>
      <c r="T17" s="183"/>
      <c r="U17" s="183"/>
      <c r="V17" s="183"/>
      <c r="W17" s="183"/>
      <c r="X17" s="183"/>
      <c r="Y17" s="183"/>
      <c r="Z17" s="183"/>
    </row>
    <row r="18" spans="1:26" ht="31.5" customHeight="1" x14ac:dyDescent="0.25">
      <c r="A18" s="15"/>
      <c r="B18" s="27" t="s">
        <v>27</v>
      </c>
      <c r="C18" s="30" t="s">
        <v>21</v>
      </c>
      <c r="D18" s="31">
        <f t="shared" ref="D18:G18" si="8">D16*D17/10</f>
        <v>0</v>
      </c>
      <c r="E18" s="31">
        <f t="shared" si="8"/>
        <v>4.3550000000000004</v>
      </c>
      <c r="F18" s="31">
        <f t="shared" si="8"/>
        <v>0</v>
      </c>
      <c r="G18" s="31">
        <f t="shared" si="8"/>
        <v>0</v>
      </c>
      <c r="H18" s="17">
        <f t="shared" si="1"/>
        <v>0</v>
      </c>
      <c r="I18" s="31"/>
      <c r="J18" s="35"/>
      <c r="K18" s="35"/>
      <c r="L18" s="184"/>
      <c r="M18" s="184"/>
      <c r="N18" s="184"/>
      <c r="O18" s="185"/>
      <c r="P18" s="185"/>
      <c r="Q18" s="185"/>
      <c r="R18" s="185"/>
      <c r="S18" s="183"/>
      <c r="T18" s="183"/>
      <c r="U18" s="183"/>
      <c r="V18" s="183"/>
      <c r="W18" s="183"/>
      <c r="X18" s="183"/>
      <c r="Y18" s="183"/>
      <c r="Z18" s="183"/>
    </row>
    <row r="19" spans="1:26" ht="31.5" customHeight="1" x14ac:dyDescent="0.25">
      <c r="A19" s="40" t="s">
        <v>30</v>
      </c>
      <c r="B19" s="41" t="s">
        <v>31</v>
      </c>
      <c r="C19" s="40" t="s">
        <v>18</v>
      </c>
      <c r="D19" s="17">
        <f t="shared" ref="D19:G19" si="9">D22+D25</f>
        <v>0</v>
      </c>
      <c r="E19" s="17">
        <f t="shared" si="9"/>
        <v>6</v>
      </c>
      <c r="F19" s="17">
        <f t="shared" si="9"/>
        <v>0</v>
      </c>
      <c r="G19" s="17">
        <f t="shared" si="9"/>
        <v>0</v>
      </c>
      <c r="H19" s="17">
        <f t="shared" si="1"/>
        <v>0</v>
      </c>
      <c r="I19" s="17"/>
      <c r="J19" s="28"/>
      <c r="K19" s="28"/>
      <c r="L19" s="28"/>
      <c r="M19" s="28"/>
      <c r="N19" s="44"/>
      <c r="O19" s="86"/>
      <c r="P19" s="86"/>
      <c r="Q19" s="86"/>
      <c r="R19" s="86"/>
      <c r="S19" s="86"/>
      <c r="T19" s="86"/>
      <c r="U19" s="82"/>
      <c r="V19" s="1"/>
      <c r="W19" s="1"/>
      <c r="X19" s="1"/>
      <c r="Y19" s="1"/>
      <c r="Z19" s="1"/>
    </row>
    <row r="20" spans="1:26" ht="31.5" customHeight="1" x14ac:dyDescent="0.25">
      <c r="A20" s="40"/>
      <c r="B20" s="27" t="s">
        <v>25</v>
      </c>
      <c r="C20" s="30" t="s">
        <v>26</v>
      </c>
      <c r="D20" s="31">
        <f t="shared" ref="D20:G20" si="10">(D23+D26)/2</f>
        <v>26.75</v>
      </c>
      <c r="E20" s="31">
        <f t="shared" si="10"/>
        <v>26.770000000000003</v>
      </c>
      <c r="F20" s="31">
        <f t="shared" si="10"/>
        <v>0</v>
      </c>
      <c r="G20" s="31">
        <f t="shared" si="10"/>
        <v>0</v>
      </c>
      <c r="H20" s="17">
        <f t="shared" si="1"/>
        <v>0</v>
      </c>
      <c r="I20" s="31"/>
      <c r="J20" s="28"/>
      <c r="K20" s="28"/>
      <c r="L20" s="175"/>
      <c r="M20" s="175"/>
      <c r="N20" s="186"/>
      <c r="O20" s="187"/>
      <c r="P20" s="187"/>
      <c r="Q20" s="187"/>
      <c r="R20" s="187"/>
      <c r="S20" s="187"/>
      <c r="T20" s="187"/>
      <c r="U20" s="188"/>
      <c r="V20" s="183"/>
      <c r="W20" s="183"/>
      <c r="X20" s="183"/>
      <c r="Y20" s="183"/>
      <c r="Z20" s="183"/>
    </row>
    <row r="21" spans="1:26" ht="31.5" customHeight="1" x14ac:dyDescent="0.25">
      <c r="A21" s="40"/>
      <c r="B21" s="27" t="s">
        <v>27</v>
      </c>
      <c r="C21" s="30" t="s">
        <v>21</v>
      </c>
      <c r="D21" s="31">
        <f t="shared" ref="D21:G21" si="11">D19*D20/10</f>
        <v>0</v>
      </c>
      <c r="E21" s="31">
        <f t="shared" si="11"/>
        <v>16.062000000000001</v>
      </c>
      <c r="F21" s="31">
        <f t="shared" si="11"/>
        <v>0</v>
      </c>
      <c r="G21" s="31">
        <f t="shared" si="11"/>
        <v>0</v>
      </c>
      <c r="H21" s="17">
        <f t="shared" si="1"/>
        <v>0</v>
      </c>
      <c r="I21" s="31"/>
      <c r="J21" s="28"/>
      <c r="K21" s="28"/>
      <c r="L21" s="175"/>
      <c r="M21" s="175"/>
      <c r="N21" s="186"/>
      <c r="O21" s="187"/>
      <c r="P21" s="187"/>
      <c r="Q21" s="187"/>
      <c r="R21" s="187"/>
      <c r="S21" s="187"/>
      <c r="T21" s="187"/>
      <c r="U21" s="188"/>
      <c r="V21" s="183"/>
      <c r="W21" s="183"/>
      <c r="X21" s="183"/>
      <c r="Y21" s="183"/>
      <c r="Z21" s="183"/>
    </row>
    <row r="22" spans="1:26" ht="31.5" customHeight="1" x14ac:dyDescent="0.25">
      <c r="A22" s="40" t="s">
        <v>32</v>
      </c>
      <c r="B22" s="41" t="s">
        <v>33</v>
      </c>
      <c r="C22" s="40" t="s">
        <v>18</v>
      </c>
      <c r="D22" s="17"/>
      <c r="E22" s="17">
        <v>6</v>
      </c>
      <c r="F22" s="31">
        <v>0</v>
      </c>
      <c r="G22" s="17">
        <v>0</v>
      </c>
      <c r="H22" s="17">
        <f t="shared" si="1"/>
        <v>0</v>
      </c>
      <c r="I22" s="31"/>
      <c r="J22" s="53"/>
      <c r="K22" s="53"/>
      <c r="L22" s="53"/>
      <c r="M22" s="53"/>
      <c r="N22" s="61"/>
      <c r="O22" s="152"/>
      <c r="P22" s="152"/>
      <c r="Q22" s="152"/>
      <c r="R22" s="152"/>
      <c r="S22" s="152"/>
      <c r="T22" s="152"/>
      <c r="U22" s="82"/>
      <c r="V22" s="1"/>
      <c r="W22" s="1"/>
      <c r="X22" s="1"/>
      <c r="Y22" s="1"/>
      <c r="Z22" s="1"/>
    </row>
    <row r="23" spans="1:26" ht="31.5" customHeight="1" x14ac:dyDescent="0.25">
      <c r="A23" s="40"/>
      <c r="B23" s="27" t="s">
        <v>25</v>
      </c>
      <c r="C23" s="30" t="s">
        <v>26</v>
      </c>
      <c r="D23" s="31">
        <v>38.299999999999997</v>
      </c>
      <c r="E23" s="31">
        <v>38.340000000000003</v>
      </c>
      <c r="F23" s="31"/>
      <c r="G23" s="31"/>
      <c r="H23" s="17">
        <f t="shared" si="1"/>
        <v>0</v>
      </c>
      <c r="I23" s="31"/>
      <c r="J23" s="53"/>
      <c r="K23" s="53"/>
      <c r="L23" s="189"/>
      <c r="M23" s="189"/>
      <c r="N23" s="190"/>
      <c r="O23" s="191"/>
      <c r="P23" s="191"/>
      <c r="Q23" s="191"/>
      <c r="R23" s="191"/>
      <c r="S23" s="191"/>
      <c r="T23" s="191"/>
      <c r="U23" s="188"/>
      <c r="V23" s="183"/>
      <c r="W23" s="183"/>
      <c r="X23" s="183"/>
      <c r="Y23" s="183"/>
      <c r="Z23" s="183"/>
    </row>
    <row r="24" spans="1:26" ht="31.5" customHeight="1" x14ac:dyDescent="0.25">
      <c r="A24" s="40"/>
      <c r="B24" s="27" t="s">
        <v>27</v>
      </c>
      <c r="C24" s="30" t="s">
        <v>21</v>
      </c>
      <c r="D24" s="31">
        <f t="shared" ref="D24:G24" si="12">D22*D23/10</f>
        <v>0</v>
      </c>
      <c r="E24" s="31">
        <f t="shared" si="12"/>
        <v>23.004000000000001</v>
      </c>
      <c r="F24" s="31">
        <f t="shared" si="12"/>
        <v>0</v>
      </c>
      <c r="G24" s="31">
        <f t="shared" si="12"/>
        <v>0</v>
      </c>
      <c r="H24" s="17">
        <f t="shared" si="1"/>
        <v>0</v>
      </c>
      <c r="I24" s="31"/>
      <c r="J24" s="53"/>
      <c r="K24" s="53"/>
      <c r="L24" s="189"/>
      <c r="M24" s="189"/>
      <c r="N24" s="190"/>
      <c r="O24" s="191"/>
      <c r="P24" s="191"/>
      <c r="Q24" s="191"/>
      <c r="R24" s="191"/>
      <c r="S24" s="191"/>
      <c r="T24" s="191"/>
      <c r="U24" s="188"/>
      <c r="V24" s="183"/>
      <c r="W24" s="183"/>
      <c r="X24" s="183"/>
      <c r="Y24" s="183"/>
      <c r="Z24" s="183"/>
    </row>
    <row r="25" spans="1:26" ht="31.5" customHeight="1" x14ac:dyDescent="0.25">
      <c r="A25" s="40" t="s">
        <v>32</v>
      </c>
      <c r="B25" s="41" t="s">
        <v>34</v>
      </c>
      <c r="C25" s="40" t="s">
        <v>18</v>
      </c>
      <c r="D25" s="17"/>
      <c r="E25" s="17"/>
      <c r="F25" s="31">
        <v>0</v>
      </c>
      <c r="G25" s="31">
        <v>0</v>
      </c>
      <c r="H25" s="17"/>
      <c r="I25" s="31"/>
      <c r="J25" s="53"/>
      <c r="K25" s="53"/>
      <c r="L25" s="53"/>
      <c r="M25" s="53"/>
      <c r="N25" s="53"/>
      <c r="O25" s="33"/>
      <c r="P25" s="33"/>
      <c r="Q25" s="153"/>
      <c r="R25" s="153"/>
      <c r="S25" s="153"/>
      <c r="T25" s="153"/>
      <c r="U25" s="1"/>
      <c r="V25" s="1"/>
      <c r="W25" s="1"/>
      <c r="X25" s="1"/>
      <c r="Y25" s="1"/>
      <c r="Z25" s="1"/>
    </row>
    <row r="26" spans="1:26" ht="31.5" customHeight="1" x14ac:dyDescent="0.25">
      <c r="A26" s="40"/>
      <c r="B26" s="27" t="s">
        <v>25</v>
      </c>
      <c r="C26" s="30" t="s">
        <v>26</v>
      </c>
      <c r="D26" s="31">
        <v>15.2</v>
      </c>
      <c r="E26" s="31">
        <v>15.2</v>
      </c>
      <c r="F26" s="31"/>
      <c r="G26" s="31"/>
      <c r="H26" s="17">
        <f>F26/E26*100</f>
        <v>0</v>
      </c>
      <c r="I26" s="31"/>
      <c r="J26" s="53"/>
      <c r="K26" s="53"/>
      <c r="L26" s="53"/>
      <c r="M26" s="53"/>
      <c r="N26" s="53"/>
      <c r="O26" s="33"/>
      <c r="P26" s="33"/>
      <c r="Q26" s="153"/>
      <c r="R26" s="153"/>
      <c r="S26" s="153"/>
      <c r="T26" s="153"/>
      <c r="U26" s="1"/>
      <c r="V26" s="1"/>
      <c r="W26" s="1"/>
      <c r="X26" s="1"/>
      <c r="Y26" s="1"/>
      <c r="Z26" s="1"/>
    </row>
    <row r="27" spans="1:26" ht="31.5" customHeight="1" x14ac:dyDescent="0.25">
      <c r="A27" s="40"/>
      <c r="B27" s="27" t="s">
        <v>27</v>
      </c>
      <c r="C27" s="30" t="s">
        <v>21</v>
      </c>
      <c r="D27" s="17"/>
      <c r="E27" s="17"/>
      <c r="F27" s="31"/>
      <c r="G27" s="31"/>
      <c r="H27" s="17"/>
      <c r="I27" s="31"/>
      <c r="J27" s="53"/>
      <c r="K27" s="53"/>
      <c r="L27" s="53"/>
      <c r="M27" s="53"/>
      <c r="N27" s="53"/>
      <c r="O27" s="33"/>
      <c r="P27" s="33"/>
      <c r="Q27" s="153"/>
      <c r="R27" s="153"/>
      <c r="S27" s="153"/>
      <c r="T27" s="153"/>
      <c r="U27" s="1"/>
      <c r="V27" s="1"/>
      <c r="W27" s="1"/>
      <c r="X27" s="1"/>
      <c r="Y27" s="1"/>
      <c r="Z27" s="1"/>
    </row>
    <row r="28" spans="1:26" ht="31.5" customHeight="1" x14ac:dyDescent="0.25">
      <c r="A28" s="15" t="s">
        <v>35</v>
      </c>
      <c r="B28" s="16" t="s">
        <v>36</v>
      </c>
      <c r="C28" s="15" t="s">
        <v>18</v>
      </c>
      <c r="D28" s="17">
        <f t="shared" ref="D28:G28" si="13">D31+D34</f>
        <v>1</v>
      </c>
      <c r="E28" s="17">
        <f t="shared" si="13"/>
        <v>1</v>
      </c>
      <c r="F28" s="17">
        <f t="shared" si="13"/>
        <v>1</v>
      </c>
      <c r="G28" s="17">
        <f t="shared" si="13"/>
        <v>1</v>
      </c>
      <c r="H28" s="17">
        <f t="shared" ref="H28:H30" si="14">F28/E28*100</f>
        <v>100</v>
      </c>
      <c r="I28" s="17"/>
      <c r="J28" s="154"/>
      <c r="K28" s="154"/>
      <c r="L28" s="154"/>
      <c r="M28" s="154"/>
      <c r="N28" s="154"/>
      <c r="O28" s="153"/>
      <c r="P28" s="153"/>
      <c r="Q28" s="153"/>
      <c r="R28" s="153"/>
      <c r="S28" s="153"/>
      <c r="T28" s="153"/>
      <c r="U28" s="1"/>
      <c r="V28" s="1"/>
      <c r="W28" s="1"/>
      <c r="X28" s="1"/>
      <c r="Y28" s="1"/>
      <c r="Z28" s="1"/>
    </row>
    <row r="29" spans="1:26" ht="31.5" customHeight="1" x14ac:dyDescent="0.25">
      <c r="A29" s="15"/>
      <c r="B29" s="27" t="s">
        <v>25</v>
      </c>
      <c r="C29" s="30" t="s">
        <v>26</v>
      </c>
      <c r="D29" s="31">
        <v>36.85</v>
      </c>
      <c r="E29" s="31">
        <f t="shared" ref="E29:G29" si="15">E35</f>
        <v>36.9</v>
      </c>
      <c r="F29" s="31">
        <f t="shared" si="15"/>
        <v>0</v>
      </c>
      <c r="G29" s="31">
        <f t="shared" si="15"/>
        <v>0</v>
      </c>
      <c r="H29" s="17">
        <f t="shared" si="14"/>
        <v>0</v>
      </c>
      <c r="I29" s="31"/>
      <c r="J29" s="154"/>
      <c r="K29" s="154"/>
      <c r="L29" s="192"/>
      <c r="M29" s="192"/>
      <c r="N29" s="192"/>
      <c r="O29" s="193"/>
      <c r="P29" s="193"/>
      <c r="Q29" s="193"/>
      <c r="R29" s="193"/>
      <c r="S29" s="193"/>
      <c r="T29" s="193"/>
      <c r="U29" s="183"/>
      <c r="V29" s="183"/>
      <c r="W29" s="183"/>
      <c r="X29" s="183"/>
      <c r="Y29" s="183"/>
      <c r="Z29" s="183"/>
    </row>
    <row r="30" spans="1:26" ht="31.5" customHeight="1" x14ac:dyDescent="0.25">
      <c r="A30" s="15"/>
      <c r="B30" s="27" t="s">
        <v>27</v>
      </c>
      <c r="C30" s="30" t="s">
        <v>21</v>
      </c>
      <c r="D30" s="31">
        <f t="shared" ref="D30:G30" si="16">D28*D29/10</f>
        <v>3.6850000000000001</v>
      </c>
      <c r="E30" s="31">
        <f t="shared" si="16"/>
        <v>3.69</v>
      </c>
      <c r="F30" s="31">
        <f t="shared" si="16"/>
        <v>0</v>
      </c>
      <c r="G30" s="31">
        <f t="shared" si="16"/>
        <v>0</v>
      </c>
      <c r="H30" s="17">
        <f t="shared" si="14"/>
        <v>0</v>
      </c>
      <c r="I30" s="31"/>
      <c r="J30" s="154"/>
      <c r="K30" s="154"/>
      <c r="L30" s="192"/>
      <c r="M30" s="192"/>
      <c r="N30" s="192"/>
      <c r="O30" s="193"/>
      <c r="P30" s="193"/>
      <c r="Q30" s="193"/>
      <c r="R30" s="193"/>
      <c r="S30" s="193"/>
      <c r="T30" s="193"/>
      <c r="U30" s="183"/>
      <c r="V30" s="183"/>
      <c r="W30" s="183"/>
      <c r="X30" s="183"/>
      <c r="Y30" s="183"/>
      <c r="Z30" s="183"/>
    </row>
    <row r="31" spans="1:26" ht="31.5" customHeight="1" x14ac:dyDescent="0.25">
      <c r="A31" s="40" t="s">
        <v>28</v>
      </c>
      <c r="B31" s="43" t="s">
        <v>37</v>
      </c>
      <c r="C31" s="40" t="s">
        <v>18</v>
      </c>
      <c r="D31" s="17"/>
      <c r="E31" s="17"/>
      <c r="F31" s="17"/>
      <c r="G31" s="17"/>
      <c r="H31" s="17"/>
      <c r="I31" s="17"/>
      <c r="J31" s="154"/>
      <c r="K31" s="154"/>
      <c r="L31" s="154"/>
      <c r="M31" s="154"/>
      <c r="N31" s="154"/>
      <c r="O31" s="153"/>
      <c r="P31" s="153"/>
      <c r="Q31" s="153"/>
      <c r="R31" s="153"/>
      <c r="S31" s="153"/>
      <c r="T31" s="153"/>
      <c r="U31" s="1"/>
      <c r="V31" s="1"/>
      <c r="W31" s="1"/>
      <c r="X31" s="1"/>
      <c r="Y31" s="1"/>
      <c r="Z31" s="1"/>
    </row>
    <row r="32" spans="1:26" ht="31.5" customHeight="1" x14ac:dyDescent="0.25">
      <c r="A32" s="40"/>
      <c r="B32" s="27" t="s">
        <v>25</v>
      </c>
      <c r="C32" s="30" t="s">
        <v>26</v>
      </c>
      <c r="D32" s="17"/>
      <c r="E32" s="17"/>
      <c r="F32" s="17"/>
      <c r="G32" s="17"/>
      <c r="H32" s="17"/>
      <c r="I32" s="17"/>
      <c r="J32" s="154"/>
      <c r="K32" s="154"/>
      <c r="L32" s="154"/>
      <c r="M32" s="154"/>
      <c r="N32" s="154"/>
      <c r="O32" s="153"/>
      <c r="P32" s="153"/>
      <c r="Q32" s="153"/>
      <c r="R32" s="153"/>
      <c r="S32" s="153"/>
      <c r="T32" s="153"/>
      <c r="U32" s="1"/>
      <c r="V32" s="1"/>
      <c r="W32" s="1"/>
      <c r="X32" s="1"/>
      <c r="Y32" s="1"/>
      <c r="Z32" s="1"/>
    </row>
    <row r="33" spans="1:26" ht="31.5" customHeight="1" x14ac:dyDescent="0.25">
      <c r="A33" s="40"/>
      <c r="B33" s="27" t="s">
        <v>27</v>
      </c>
      <c r="C33" s="30" t="s">
        <v>21</v>
      </c>
      <c r="D33" s="17"/>
      <c r="E33" s="17"/>
      <c r="F33" s="17"/>
      <c r="G33" s="17"/>
      <c r="H33" s="17"/>
      <c r="I33" s="17"/>
      <c r="J33" s="154"/>
      <c r="K33" s="154"/>
      <c r="L33" s="154"/>
      <c r="M33" s="154"/>
      <c r="N33" s="154"/>
      <c r="O33" s="153"/>
      <c r="P33" s="153"/>
      <c r="Q33" s="153"/>
      <c r="R33" s="153"/>
      <c r="S33" s="153"/>
      <c r="T33" s="153"/>
      <c r="U33" s="1"/>
      <c r="V33" s="1"/>
      <c r="W33" s="1"/>
      <c r="X33" s="1"/>
      <c r="Y33" s="1"/>
      <c r="Z33" s="1"/>
    </row>
    <row r="34" spans="1:26" ht="31.5" customHeight="1" x14ac:dyDescent="0.25">
      <c r="A34" s="40" t="s">
        <v>30</v>
      </c>
      <c r="B34" s="41" t="s">
        <v>38</v>
      </c>
      <c r="C34" s="40" t="s">
        <v>18</v>
      </c>
      <c r="D34" s="96">
        <v>1</v>
      </c>
      <c r="E34" s="96">
        <v>1</v>
      </c>
      <c r="F34" s="96">
        <v>1</v>
      </c>
      <c r="G34" s="96">
        <v>1</v>
      </c>
      <c r="H34" s="17">
        <f t="shared" ref="H34:H39" si="17">F34/E34*100</f>
        <v>100</v>
      </c>
      <c r="I34" s="31"/>
      <c r="J34" s="126"/>
      <c r="K34" s="126"/>
      <c r="L34" s="126"/>
      <c r="M34" s="126"/>
      <c r="N34" s="126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customHeight="1" x14ac:dyDescent="0.25">
      <c r="A35" s="40"/>
      <c r="B35" s="27" t="s">
        <v>25</v>
      </c>
      <c r="C35" s="30" t="s">
        <v>26</v>
      </c>
      <c r="D35" s="31">
        <v>36.85</v>
      </c>
      <c r="E35" s="31">
        <v>36.9</v>
      </c>
      <c r="F35" s="31"/>
      <c r="G35" s="31"/>
      <c r="H35" s="17">
        <f t="shared" si="17"/>
        <v>0</v>
      </c>
      <c r="I35" s="31"/>
      <c r="J35" s="126"/>
      <c r="K35" s="126"/>
      <c r="L35" s="126"/>
      <c r="M35" s="126"/>
      <c r="N35" s="126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customHeight="1" x14ac:dyDescent="0.25">
      <c r="A36" s="40"/>
      <c r="B36" s="27" t="s">
        <v>27</v>
      </c>
      <c r="C36" s="30" t="s">
        <v>21</v>
      </c>
      <c r="D36" s="31">
        <f t="shared" ref="D36:G36" si="18">D34*D35/10</f>
        <v>3.6850000000000001</v>
      </c>
      <c r="E36" s="31">
        <f t="shared" si="18"/>
        <v>3.69</v>
      </c>
      <c r="F36" s="31">
        <f t="shared" si="18"/>
        <v>0</v>
      </c>
      <c r="G36" s="31">
        <f t="shared" si="18"/>
        <v>0</v>
      </c>
      <c r="H36" s="17">
        <f t="shared" si="17"/>
        <v>0</v>
      </c>
      <c r="I36" s="31"/>
      <c r="J36" s="126"/>
      <c r="K36" s="126"/>
      <c r="L36" s="126"/>
      <c r="M36" s="126"/>
      <c r="N36" s="126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.5" customHeight="1" x14ac:dyDescent="0.25">
      <c r="A37" s="15">
        <v>2</v>
      </c>
      <c r="B37" s="16" t="s">
        <v>39</v>
      </c>
      <c r="C37" s="15" t="s">
        <v>18</v>
      </c>
      <c r="D37" s="17"/>
      <c r="E37" s="17">
        <v>1.06</v>
      </c>
      <c r="F37" s="17">
        <v>1.06</v>
      </c>
      <c r="G37" s="17">
        <v>1.06</v>
      </c>
      <c r="H37" s="17">
        <f t="shared" si="17"/>
        <v>100</v>
      </c>
      <c r="I37" s="17"/>
      <c r="J37" s="126"/>
      <c r="K37" s="51"/>
      <c r="L37" s="44"/>
      <c r="M37" s="44"/>
      <c r="N37" s="44"/>
      <c r="O37" s="44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 customHeight="1" x14ac:dyDescent="0.25">
      <c r="A38" s="15"/>
      <c r="B38" s="27" t="s">
        <v>25</v>
      </c>
      <c r="C38" s="30" t="s">
        <v>26</v>
      </c>
      <c r="D38" s="31">
        <v>137.5</v>
      </c>
      <c r="E38" s="31">
        <v>140</v>
      </c>
      <c r="F38" s="31"/>
      <c r="G38" s="31"/>
      <c r="H38" s="17">
        <f t="shared" si="17"/>
        <v>0</v>
      </c>
      <c r="I38" s="31"/>
      <c r="J38" s="126"/>
      <c r="K38" s="44"/>
      <c r="L38" s="186"/>
      <c r="M38" s="186"/>
      <c r="N38" s="186"/>
      <c r="O38" s="186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</row>
    <row r="39" spans="1:26" ht="31.5" customHeight="1" x14ac:dyDescent="0.25">
      <c r="A39" s="15"/>
      <c r="B39" s="27" t="s">
        <v>27</v>
      </c>
      <c r="C39" s="30" t="s">
        <v>21</v>
      </c>
      <c r="D39" s="31">
        <f t="shared" ref="D39:G39" si="19">D37*D38/10</f>
        <v>0</v>
      </c>
      <c r="E39" s="31">
        <f t="shared" si="19"/>
        <v>14.84</v>
      </c>
      <c r="F39" s="31">
        <f t="shared" si="19"/>
        <v>0</v>
      </c>
      <c r="G39" s="31">
        <f t="shared" si="19"/>
        <v>0</v>
      </c>
      <c r="H39" s="17">
        <f t="shared" si="17"/>
        <v>0</v>
      </c>
      <c r="I39" s="31"/>
      <c r="J39" s="126"/>
      <c r="K39" s="44"/>
      <c r="L39" s="186"/>
      <c r="M39" s="186"/>
      <c r="N39" s="186"/>
      <c r="O39" s="186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</row>
    <row r="40" spans="1:26" ht="31.5" customHeight="1" x14ac:dyDescent="0.25">
      <c r="A40" s="15">
        <v>3</v>
      </c>
      <c r="B40" s="16" t="s">
        <v>40</v>
      </c>
      <c r="C40" s="15" t="s">
        <v>18</v>
      </c>
      <c r="D40" s="17"/>
      <c r="E40" s="17">
        <v>0</v>
      </c>
      <c r="F40" s="31"/>
      <c r="G40" s="31"/>
      <c r="H40" s="17"/>
      <c r="I40" s="31"/>
      <c r="J40" s="126"/>
      <c r="K40" s="44"/>
      <c r="L40" s="186"/>
      <c r="M40" s="186"/>
      <c r="N40" s="186"/>
      <c r="O40" s="186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</row>
    <row r="41" spans="1:26" ht="31.5" customHeight="1" x14ac:dyDescent="0.25">
      <c r="A41" s="15"/>
      <c r="B41" s="27" t="s">
        <v>25</v>
      </c>
      <c r="C41" s="30" t="s">
        <v>26</v>
      </c>
      <c r="D41" s="31"/>
      <c r="E41" s="31">
        <v>24.1</v>
      </c>
      <c r="F41" s="31"/>
      <c r="G41" s="31"/>
      <c r="H41" s="17">
        <f>F41/E41*100</f>
        <v>0</v>
      </c>
      <c r="I41" s="31"/>
      <c r="J41" s="126"/>
      <c r="K41" s="44"/>
      <c r="L41" s="186"/>
      <c r="M41" s="186"/>
      <c r="N41" s="186"/>
      <c r="O41" s="186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</row>
    <row r="42" spans="1:26" ht="31.5" customHeight="1" x14ac:dyDescent="0.25">
      <c r="A42" s="15"/>
      <c r="B42" s="27" t="s">
        <v>27</v>
      </c>
      <c r="C42" s="30" t="s">
        <v>21</v>
      </c>
      <c r="D42" s="31"/>
      <c r="E42" s="31">
        <f t="shared" ref="E42:G42" si="20">E40*E41/10</f>
        <v>0</v>
      </c>
      <c r="F42" s="31">
        <f t="shared" si="20"/>
        <v>0</v>
      </c>
      <c r="G42" s="31">
        <f t="shared" si="20"/>
        <v>0</v>
      </c>
      <c r="H42" s="17"/>
      <c r="I42" s="31"/>
      <c r="J42" s="126"/>
      <c r="K42" s="44"/>
      <c r="L42" s="186"/>
      <c r="M42" s="186"/>
      <c r="N42" s="186"/>
      <c r="O42" s="186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</row>
    <row r="43" spans="1:26" ht="31.5" customHeight="1" x14ac:dyDescent="0.25">
      <c r="A43" s="15">
        <v>4</v>
      </c>
      <c r="B43" s="16" t="s">
        <v>41</v>
      </c>
      <c r="C43" s="15" t="s">
        <v>18</v>
      </c>
      <c r="D43" s="17">
        <v>0.5</v>
      </c>
      <c r="E43" s="17">
        <v>0.5</v>
      </c>
      <c r="F43" s="17">
        <v>0.27</v>
      </c>
      <c r="G43" s="17">
        <f>F43</f>
        <v>0.27</v>
      </c>
      <c r="H43" s="17">
        <f t="shared" ref="H43:H50" si="21">F43/E43*100</f>
        <v>54</v>
      </c>
      <c r="I43" s="17"/>
      <c r="J43" s="126"/>
      <c r="K43" s="126"/>
      <c r="L43" s="126"/>
      <c r="M43" s="126"/>
      <c r="N43" s="126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30"/>
      <c r="B44" s="27" t="s">
        <v>25</v>
      </c>
      <c r="C44" s="30" t="s">
        <v>26</v>
      </c>
      <c r="D44" s="31">
        <v>100</v>
      </c>
      <c r="E44" s="31">
        <v>98.5</v>
      </c>
      <c r="F44" s="31"/>
      <c r="G44" s="31"/>
      <c r="H44" s="17">
        <f t="shared" si="21"/>
        <v>0</v>
      </c>
      <c r="I44" s="31"/>
      <c r="J44" s="126"/>
      <c r="K44" s="126"/>
      <c r="L44" s="126"/>
      <c r="M44" s="126"/>
      <c r="N44" s="12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30"/>
      <c r="B45" s="47" t="s">
        <v>27</v>
      </c>
      <c r="C45" s="48" t="s">
        <v>21</v>
      </c>
      <c r="D45" s="31">
        <f t="shared" ref="D45:G45" si="22">D43*D44/10</f>
        <v>5</v>
      </c>
      <c r="E45" s="31">
        <f t="shared" si="22"/>
        <v>4.9249999999999998</v>
      </c>
      <c r="F45" s="31">
        <f t="shared" si="22"/>
        <v>0</v>
      </c>
      <c r="G45" s="31">
        <f t="shared" si="22"/>
        <v>0</v>
      </c>
      <c r="H45" s="17">
        <f t="shared" si="21"/>
        <v>0</v>
      </c>
      <c r="I45" s="31"/>
      <c r="J45" s="126"/>
      <c r="K45" s="126"/>
      <c r="L45" s="126"/>
      <c r="M45" s="126"/>
      <c r="N45" s="12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5">
        <v>5</v>
      </c>
      <c r="B46" s="16" t="s">
        <v>42</v>
      </c>
      <c r="C46" s="15" t="s">
        <v>18</v>
      </c>
      <c r="D46" s="17">
        <f t="shared" ref="D46:G46" si="23">D47+D55+D64</f>
        <v>39.15</v>
      </c>
      <c r="E46" s="17">
        <f t="shared" si="23"/>
        <v>49.949999999999996</v>
      </c>
      <c r="F46" s="17">
        <f t="shared" si="23"/>
        <v>39.449999999999996</v>
      </c>
      <c r="G46" s="17">
        <f t="shared" si="23"/>
        <v>39.449999999999996</v>
      </c>
      <c r="H46" s="17">
        <f t="shared" si="21"/>
        <v>78.978978978978972</v>
      </c>
      <c r="I46" s="17"/>
      <c r="J46" s="126"/>
      <c r="K46" s="126"/>
      <c r="L46" s="126"/>
      <c r="M46" s="126"/>
      <c r="N46" s="12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54" t="s">
        <v>43</v>
      </c>
      <c r="B47" s="16" t="s">
        <v>44</v>
      </c>
      <c r="C47" s="15" t="s">
        <v>18</v>
      </c>
      <c r="D47" s="17">
        <f t="shared" ref="D47:G47" si="24">D48+D49</f>
        <v>34.65</v>
      </c>
      <c r="E47" s="17">
        <f t="shared" si="24"/>
        <v>44.65</v>
      </c>
      <c r="F47" s="17">
        <f t="shared" si="24"/>
        <v>34.65</v>
      </c>
      <c r="G47" s="17">
        <f t="shared" si="24"/>
        <v>34.65</v>
      </c>
      <c r="H47" s="17">
        <f t="shared" si="21"/>
        <v>77.603583426651738</v>
      </c>
      <c r="I47" s="17"/>
      <c r="J47" s="126"/>
      <c r="K47" s="126"/>
      <c r="L47" s="126"/>
      <c r="M47" s="126"/>
      <c r="N47" s="12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57" t="s">
        <v>32</v>
      </c>
      <c r="B48" s="58" t="s">
        <v>45</v>
      </c>
      <c r="C48" s="59" t="s">
        <v>18</v>
      </c>
      <c r="D48" s="31">
        <v>24</v>
      </c>
      <c r="E48" s="31">
        <f>D48+D49</f>
        <v>34.65</v>
      </c>
      <c r="F48" s="31">
        <v>34.65</v>
      </c>
      <c r="G48" s="31">
        <v>34.65</v>
      </c>
      <c r="H48" s="31">
        <f t="shared" si="21"/>
        <v>100</v>
      </c>
      <c r="I48" s="31"/>
      <c r="J48" s="53"/>
      <c r="K48" s="53"/>
      <c r="L48" s="53"/>
      <c r="M48" s="53"/>
      <c r="N48" s="53"/>
      <c r="O48" s="33"/>
      <c r="P48" s="33"/>
      <c r="Q48" s="33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25">
      <c r="A49" s="15" t="s">
        <v>28</v>
      </c>
      <c r="B49" s="16" t="s">
        <v>46</v>
      </c>
      <c r="C49" s="62" t="s">
        <v>18</v>
      </c>
      <c r="D49" s="17">
        <f t="shared" ref="D49:G49" si="25">D50+D51</f>
        <v>10.65</v>
      </c>
      <c r="E49" s="17">
        <f t="shared" si="25"/>
        <v>10</v>
      </c>
      <c r="F49" s="17">
        <f t="shared" si="25"/>
        <v>0</v>
      </c>
      <c r="G49" s="17">
        <f t="shared" si="25"/>
        <v>0</v>
      </c>
      <c r="H49" s="17">
        <f t="shared" si="21"/>
        <v>0</v>
      </c>
      <c r="I49" s="17"/>
      <c r="J49" s="133"/>
      <c r="K49" s="133"/>
      <c r="L49" s="133"/>
      <c r="M49" s="133"/>
      <c r="N49" s="13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1.5" customHeight="1" x14ac:dyDescent="0.25">
      <c r="A50" s="59" t="s">
        <v>47</v>
      </c>
      <c r="B50" s="64" t="s">
        <v>48</v>
      </c>
      <c r="C50" s="59" t="s">
        <v>18</v>
      </c>
      <c r="D50" s="31">
        <f>8.65-1</f>
        <v>7.65</v>
      </c>
      <c r="E50" s="31">
        <v>10</v>
      </c>
      <c r="F50" s="31">
        <v>0</v>
      </c>
      <c r="G50" s="31">
        <v>0</v>
      </c>
      <c r="H50" s="17">
        <f t="shared" si="21"/>
        <v>0</v>
      </c>
      <c r="I50" s="31"/>
      <c r="J50" s="126"/>
      <c r="K50" s="53"/>
      <c r="L50" s="53"/>
      <c r="M50" s="126"/>
      <c r="N50" s="12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25">
      <c r="A51" s="59" t="s">
        <v>47</v>
      </c>
      <c r="B51" s="64" t="s">
        <v>49</v>
      </c>
      <c r="C51" s="30" t="s">
        <v>18</v>
      </c>
      <c r="D51" s="31">
        <v>3</v>
      </c>
      <c r="E51" s="31"/>
      <c r="F51" s="31"/>
      <c r="G51" s="31"/>
      <c r="H51" s="17"/>
      <c r="I51" s="31"/>
      <c r="J51" s="126"/>
      <c r="K51" s="126"/>
      <c r="L51" s="126"/>
      <c r="M51" s="126"/>
      <c r="N51" s="12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25">
      <c r="A52" s="14" t="s">
        <v>30</v>
      </c>
      <c r="B52" s="24" t="s">
        <v>50</v>
      </c>
      <c r="C52" s="15" t="s">
        <v>18</v>
      </c>
      <c r="D52" s="17">
        <f t="shared" ref="D52:G52" si="26">D53+D54</f>
        <v>15.6</v>
      </c>
      <c r="E52" s="17">
        <f t="shared" si="26"/>
        <v>20.399999999999999</v>
      </c>
      <c r="F52" s="17">
        <f t="shared" si="26"/>
        <v>20.399999999999999</v>
      </c>
      <c r="G52" s="17">
        <f t="shared" si="26"/>
        <v>20.399999999999999</v>
      </c>
      <c r="H52" s="17">
        <f t="shared" ref="H52:H53" si="27">F52/E52*100</f>
        <v>100</v>
      </c>
      <c r="I52" s="17"/>
      <c r="J52" s="133"/>
      <c r="K52" s="133"/>
      <c r="L52" s="133"/>
      <c r="M52" s="133"/>
      <c r="N52" s="133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31.5" customHeight="1" x14ac:dyDescent="0.25">
      <c r="A53" s="66" t="s">
        <v>47</v>
      </c>
      <c r="B53" s="64" t="s">
        <v>51</v>
      </c>
      <c r="C53" s="30" t="s">
        <v>18</v>
      </c>
      <c r="D53" s="31">
        <v>15.6</v>
      </c>
      <c r="E53" s="31">
        <f>D48*85%</f>
        <v>20.399999999999999</v>
      </c>
      <c r="F53" s="31">
        <v>20.399999999999999</v>
      </c>
      <c r="G53" s="31">
        <v>20.399999999999999</v>
      </c>
      <c r="H53" s="17">
        <f t="shared" si="27"/>
        <v>100</v>
      </c>
      <c r="I53" s="31"/>
      <c r="J53" s="126"/>
      <c r="K53" s="126"/>
      <c r="L53" s="126"/>
      <c r="M53" s="135"/>
      <c r="N53" s="12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25">
      <c r="A54" s="30"/>
      <c r="B54" s="64" t="s">
        <v>52</v>
      </c>
      <c r="C54" s="30" t="s">
        <v>18</v>
      </c>
      <c r="D54" s="31"/>
      <c r="E54" s="31"/>
      <c r="F54" s="31"/>
      <c r="G54" s="31"/>
      <c r="H54" s="17"/>
      <c r="I54" s="31"/>
      <c r="J54" s="126"/>
      <c r="K54" s="126"/>
      <c r="L54" s="126"/>
      <c r="M54" s="126"/>
      <c r="N54" s="12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25">
      <c r="A55" s="15" t="s">
        <v>53</v>
      </c>
      <c r="B55" s="16" t="s">
        <v>54</v>
      </c>
      <c r="C55" s="15" t="s">
        <v>18</v>
      </c>
      <c r="D55" s="17">
        <f t="shared" ref="D55:G55" si="28">D56+D57</f>
        <v>4.5</v>
      </c>
      <c r="E55" s="17">
        <f t="shared" si="28"/>
        <v>5.3</v>
      </c>
      <c r="F55" s="17">
        <f t="shared" si="28"/>
        <v>4.8</v>
      </c>
      <c r="G55" s="17">
        <f t="shared" si="28"/>
        <v>4.8</v>
      </c>
      <c r="H55" s="17">
        <f t="shared" ref="H55:H63" si="29">F55/E55*100</f>
        <v>90.566037735849065</v>
      </c>
      <c r="I55" s="17"/>
      <c r="J55" s="126"/>
      <c r="K55" s="126"/>
      <c r="L55" s="126"/>
      <c r="M55" s="126"/>
      <c r="N55" s="12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25">
      <c r="A56" s="30" t="s">
        <v>32</v>
      </c>
      <c r="B56" s="58" t="s">
        <v>50</v>
      </c>
      <c r="C56" s="30" t="s">
        <v>18</v>
      </c>
      <c r="D56" s="31">
        <v>4.5</v>
      </c>
      <c r="E56" s="31">
        <f>D56+E58</f>
        <v>4.8</v>
      </c>
      <c r="F56" s="31">
        <v>4.8</v>
      </c>
      <c r="G56" s="31">
        <v>4.8</v>
      </c>
      <c r="H56" s="17">
        <f t="shared" si="29"/>
        <v>100</v>
      </c>
      <c r="I56" s="31"/>
      <c r="J56" s="126"/>
      <c r="K56" s="126"/>
      <c r="L56" s="126"/>
      <c r="M56" s="126"/>
      <c r="N56" s="12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5">
      <c r="A57" s="30" t="s">
        <v>32</v>
      </c>
      <c r="B57" s="27" t="s">
        <v>56</v>
      </c>
      <c r="C57" s="30" t="s">
        <v>18</v>
      </c>
      <c r="D57" s="31">
        <f t="shared" ref="D57:G57" si="30">D58+D61</f>
        <v>0</v>
      </c>
      <c r="E57" s="31">
        <f t="shared" si="30"/>
        <v>0.5</v>
      </c>
      <c r="F57" s="31">
        <f t="shared" si="30"/>
        <v>0</v>
      </c>
      <c r="G57" s="31">
        <f t="shared" si="30"/>
        <v>0</v>
      </c>
      <c r="H57" s="17">
        <f t="shared" si="29"/>
        <v>0</v>
      </c>
      <c r="I57" s="31"/>
      <c r="J57" s="126"/>
      <c r="K57" s="126"/>
      <c r="L57" s="126"/>
      <c r="M57" s="126"/>
      <c r="N57" s="12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25">
      <c r="A58" s="46" t="s">
        <v>28</v>
      </c>
      <c r="B58" s="70" t="s">
        <v>57</v>
      </c>
      <c r="C58" s="30" t="s">
        <v>18</v>
      </c>
      <c r="D58" s="71">
        <f t="shared" ref="D58:G58" si="31">D59+D60</f>
        <v>0</v>
      </c>
      <c r="E58" s="71">
        <f t="shared" si="31"/>
        <v>0.30000000000000004</v>
      </c>
      <c r="F58" s="71">
        <f t="shared" si="31"/>
        <v>0</v>
      </c>
      <c r="G58" s="71">
        <f t="shared" si="31"/>
        <v>0</v>
      </c>
      <c r="H58" s="17">
        <f t="shared" si="29"/>
        <v>0</v>
      </c>
      <c r="I58" s="71"/>
      <c r="J58" s="138"/>
      <c r="K58" s="97"/>
      <c r="L58" s="97"/>
      <c r="M58" s="97"/>
      <c r="N58" s="97"/>
      <c r="O58" s="97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31.5" customHeight="1" x14ac:dyDescent="0.25">
      <c r="A59" s="30" t="s">
        <v>47</v>
      </c>
      <c r="B59" s="58" t="s">
        <v>58</v>
      </c>
      <c r="C59" s="30" t="s">
        <v>18</v>
      </c>
      <c r="D59" s="31"/>
      <c r="E59" s="31">
        <v>0.2</v>
      </c>
      <c r="F59" s="31">
        <v>0</v>
      </c>
      <c r="G59" s="31">
        <v>0</v>
      </c>
      <c r="H59" s="17">
        <f t="shared" si="29"/>
        <v>0</v>
      </c>
      <c r="I59" s="31"/>
      <c r="J59" s="35"/>
      <c r="K59" s="137"/>
      <c r="L59" s="137"/>
      <c r="M59" s="137"/>
      <c r="N59" s="137"/>
      <c r="O59" s="137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25">
      <c r="A60" s="30" t="s">
        <v>47</v>
      </c>
      <c r="B60" s="58" t="s">
        <v>59</v>
      </c>
      <c r="C60" s="30" t="s">
        <v>18</v>
      </c>
      <c r="D60" s="31"/>
      <c r="E60" s="31">
        <v>0.1</v>
      </c>
      <c r="F60" s="31">
        <v>0</v>
      </c>
      <c r="G60" s="31">
        <v>0</v>
      </c>
      <c r="H60" s="17">
        <f t="shared" si="29"/>
        <v>0</v>
      </c>
      <c r="I60" s="31"/>
      <c r="J60" s="35"/>
      <c r="K60" s="137"/>
      <c r="L60" s="137"/>
      <c r="M60" s="137"/>
      <c r="N60" s="137"/>
      <c r="O60" s="137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25">
      <c r="A61" s="46" t="s">
        <v>30</v>
      </c>
      <c r="B61" s="76" t="s">
        <v>60</v>
      </c>
      <c r="C61" s="30" t="s">
        <v>18</v>
      </c>
      <c r="D61" s="71">
        <f t="shared" ref="D61:G61" si="32">D62+D63</f>
        <v>0</v>
      </c>
      <c r="E61" s="71">
        <f t="shared" si="32"/>
        <v>0.2</v>
      </c>
      <c r="F61" s="71">
        <f t="shared" si="32"/>
        <v>0</v>
      </c>
      <c r="G61" s="71">
        <f t="shared" si="32"/>
        <v>0</v>
      </c>
      <c r="H61" s="17">
        <f t="shared" si="29"/>
        <v>0</v>
      </c>
      <c r="I61" s="71"/>
      <c r="J61" s="35"/>
      <c r="K61" s="97"/>
      <c r="L61" s="138"/>
      <c r="M61" s="138"/>
      <c r="N61" s="138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31.5" customHeight="1" x14ac:dyDescent="0.25">
      <c r="A62" s="30" t="s">
        <v>47</v>
      </c>
      <c r="B62" s="58" t="s">
        <v>61</v>
      </c>
      <c r="C62" s="30" t="s">
        <v>18</v>
      </c>
      <c r="D62" s="31"/>
      <c r="E62" s="31">
        <v>0.1</v>
      </c>
      <c r="F62" s="31">
        <v>0</v>
      </c>
      <c r="G62" s="31">
        <v>0</v>
      </c>
      <c r="H62" s="17">
        <f t="shared" si="29"/>
        <v>0</v>
      </c>
      <c r="I62" s="31"/>
      <c r="J62" s="35"/>
      <c r="K62" s="137"/>
      <c r="L62" s="137"/>
      <c r="M62" s="137"/>
      <c r="N62" s="137"/>
      <c r="O62" s="137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25">
      <c r="A63" s="30" t="s">
        <v>47</v>
      </c>
      <c r="B63" s="58" t="s">
        <v>62</v>
      </c>
      <c r="C63" s="30" t="s">
        <v>18</v>
      </c>
      <c r="D63" s="31"/>
      <c r="E63" s="31">
        <v>0.1</v>
      </c>
      <c r="F63" s="31">
        <v>0</v>
      </c>
      <c r="G63" s="31">
        <v>0</v>
      </c>
      <c r="H63" s="17">
        <f t="shared" si="29"/>
        <v>0</v>
      </c>
      <c r="I63" s="31"/>
      <c r="J63" s="35"/>
      <c r="K63" s="137"/>
      <c r="L63" s="137"/>
      <c r="M63" s="137"/>
      <c r="N63" s="137"/>
      <c r="O63" s="137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25">
      <c r="A64" s="15" t="s">
        <v>63</v>
      </c>
      <c r="B64" s="16" t="s">
        <v>64</v>
      </c>
      <c r="C64" s="15" t="s">
        <v>18</v>
      </c>
      <c r="D64" s="17">
        <f t="shared" ref="D64:G64" si="33">D65+D66</f>
        <v>0</v>
      </c>
      <c r="E64" s="17">
        <f t="shared" si="33"/>
        <v>0</v>
      </c>
      <c r="F64" s="17">
        <f t="shared" si="33"/>
        <v>0</v>
      </c>
      <c r="G64" s="17">
        <f t="shared" si="33"/>
        <v>0</v>
      </c>
      <c r="H64" s="31"/>
      <c r="I64" s="17"/>
      <c r="J64" s="28"/>
      <c r="K64" s="126"/>
      <c r="L64" s="126"/>
      <c r="M64" s="126"/>
      <c r="N64" s="12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25">
      <c r="A65" s="30" t="s">
        <v>47</v>
      </c>
      <c r="B65" s="58" t="s">
        <v>45</v>
      </c>
      <c r="C65" s="30" t="s">
        <v>18</v>
      </c>
      <c r="D65" s="31"/>
      <c r="E65" s="31"/>
      <c r="F65" s="31"/>
      <c r="G65" s="31"/>
      <c r="H65" s="31"/>
      <c r="I65" s="31"/>
      <c r="J65" s="28"/>
      <c r="K65" s="126"/>
      <c r="L65" s="126"/>
      <c r="M65" s="126"/>
      <c r="N65" s="12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30" t="s">
        <v>47</v>
      </c>
      <c r="B66" s="27" t="s">
        <v>65</v>
      </c>
      <c r="C66" s="30" t="s">
        <v>18</v>
      </c>
      <c r="D66" s="31"/>
      <c r="E66" s="31"/>
      <c r="F66" s="31"/>
      <c r="G66" s="31"/>
      <c r="H66" s="31"/>
      <c r="I66" s="31"/>
      <c r="J66" s="28"/>
      <c r="K66" s="126"/>
      <c r="L66" s="126"/>
      <c r="M66" s="126"/>
      <c r="N66" s="12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25">
      <c r="A67" s="15">
        <v>6</v>
      </c>
      <c r="B67" s="16" t="s">
        <v>66</v>
      </c>
      <c r="C67" s="15" t="s">
        <v>18</v>
      </c>
      <c r="D67" s="17">
        <f t="shared" ref="D67:G67" si="34">D68+D71</f>
        <v>13.370000000000001</v>
      </c>
      <c r="E67" s="17">
        <f t="shared" si="34"/>
        <v>11.14</v>
      </c>
      <c r="F67" s="17">
        <f t="shared" si="34"/>
        <v>11.03</v>
      </c>
      <c r="G67" s="17">
        <f t="shared" si="34"/>
        <v>11.03</v>
      </c>
      <c r="H67" s="17">
        <f>F67/E67*100</f>
        <v>99.0125673249551</v>
      </c>
      <c r="I67" s="17"/>
      <c r="J67" s="28"/>
      <c r="K67" s="126"/>
      <c r="L67" s="126"/>
      <c r="M67" s="126"/>
      <c r="N67" s="12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25">
      <c r="A68" s="15" t="s">
        <v>67</v>
      </c>
      <c r="B68" s="16" t="s">
        <v>68</v>
      </c>
      <c r="C68" s="15" t="s">
        <v>18</v>
      </c>
      <c r="D68" s="17">
        <f t="shared" ref="D68:G68" si="35">D69+D70</f>
        <v>0</v>
      </c>
      <c r="E68" s="17">
        <f t="shared" si="35"/>
        <v>0</v>
      </c>
      <c r="F68" s="17">
        <f t="shared" si="35"/>
        <v>0</v>
      </c>
      <c r="G68" s="17">
        <f t="shared" si="35"/>
        <v>0</v>
      </c>
      <c r="H68" s="31"/>
      <c r="I68" s="17"/>
      <c r="J68" s="126"/>
      <c r="K68" s="126"/>
      <c r="L68" s="126"/>
      <c r="M68" s="126"/>
      <c r="N68" s="12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25">
      <c r="A69" s="30" t="s">
        <v>47</v>
      </c>
      <c r="B69" s="58" t="s">
        <v>69</v>
      </c>
      <c r="C69" s="30" t="s">
        <v>18</v>
      </c>
      <c r="D69" s="31"/>
      <c r="E69" s="31"/>
      <c r="F69" s="31"/>
      <c r="G69" s="31"/>
      <c r="H69" s="31"/>
      <c r="I69" s="31"/>
      <c r="J69" s="126"/>
      <c r="K69" s="126"/>
      <c r="L69" s="126"/>
      <c r="M69" s="126"/>
      <c r="N69" s="12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25">
      <c r="A70" s="30" t="s">
        <v>47</v>
      </c>
      <c r="B70" s="58" t="s">
        <v>70</v>
      </c>
      <c r="C70" s="30" t="s">
        <v>18</v>
      </c>
      <c r="D70" s="31"/>
      <c r="E70" s="31"/>
      <c r="F70" s="31"/>
      <c r="G70" s="31"/>
      <c r="H70" s="31"/>
      <c r="I70" s="31"/>
      <c r="J70" s="126"/>
      <c r="K70" s="126"/>
      <c r="L70" s="126"/>
      <c r="M70" s="126"/>
      <c r="N70" s="12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25">
      <c r="A71" s="15" t="s">
        <v>72</v>
      </c>
      <c r="B71" s="24" t="s">
        <v>73</v>
      </c>
      <c r="C71" s="15" t="s">
        <v>18</v>
      </c>
      <c r="D71" s="17">
        <f t="shared" ref="D71:G71" si="36">D72+D73</f>
        <v>13.370000000000001</v>
      </c>
      <c r="E71" s="17">
        <f t="shared" si="36"/>
        <v>11.14</v>
      </c>
      <c r="F71" s="17">
        <f t="shared" si="36"/>
        <v>11.03</v>
      </c>
      <c r="G71" s="17">
        <f t="shared" si="36"/>
        <v>11.03</v>
      </c>
      <c r="H71" s="17">
        <f t="shared" ref="H71:H75" si="37">F71/E71*100</f>
        <v>99.0125673249551</v>
      </c>
      <c r="I71" s="17"/>
      <c r="J71" s="126"/>
      <c r="K71" s="126"/>
      <c r="L71" s="126"/>
      <c r="M71" s="126"/>
      <c r="N71" s="12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25">
      <c r="A72" s="54" t="s">
        <v>32</v>
      </c>
      <c r="B72" s="24" t="s">
        <v>74</v>
      </c>
      <c r="C72" s="15" t="s">
        <v>18</v>
      </c>
      <c r="D72" s="87">
        <f t="shared" ref="D72:G72" si="38">D75+D82</f>
        <v>12.370000000000001</v>
      </c>
      <c r="E72" s="87">
        <f t="shared" si="38"/>
        <v>11.030000000000001</v>
      </c>
      <c r="F72" s="87">
        <f t="shared" si="38"/>
        <v>11.03</v>
      </c>
      <c r="G72" s="87">
        <f t="shared" si="38"/>
        <v>11.03</v>
      </c>
      <c r="H72" s="17">
        <f t="shared" si="37"/>
        <v>99.999999999999986</v>
      </c>
      <c r="I72" s="87"/>
      <c r="J72" s="126"/>
      <c r="K72" s="126"/>
      <c r="L72" s="126"/>
      <c r="M72" s="126"/>
      <c r="N72" s="12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25">
      <c r="A73" s="54" t="s">
        <v>32</v>
      </c>
      <c r="B73" s="24" t="s">
        <v>76</v>
      </c>
      <c r="C73" s="15" t="s">
        <v>18</v>
      </c>
      <c r="D73" s="17">
        <f t="shared" ref="D73:G73" si="39">D76+D83</f>
        <v>1</v>
      </c>
      <c r="E73" s="17">
        <f t="shared" si="39"/>
        <v>0.11</v>
      </c>
      <c r="F73" s="17">
        <f t="shared" si="39"/>
        <v>0</v>
      </c>
      <c r="G73" s="17">
        <f t="shared" si="39"/>
        <v>0</v>
      </c>
      <c r="H73" s="17">
        <f t="shared" si="37"/>
        <v>0</v>
      </c>
      <c r="I73" s="17"/>
      <c r="J73" s="133"/>
      <c r="K73" s="133"/>
      <c r="L73" s="133"/>
      <c r="M73" s="133"/>
      <c r="N73" s="13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25">
      <c r="A74" s="90" t="s">
        <v>28</v>
      </c>
      <c r="B74" s="43" t="s">
        <v>77</v>
      </c>
      <c r="C74" s="40" t="s">
        <v>18</v>
      </c>
      <c r="D74" s="91">
        <f t="shared" ref="D74:G74" si="40">D75+D76</f>
        <v>10.030000000000001</v>
      </c>
      <c r="E74" s="91">
        <f t="shared" si="40"/>
        <v>10.030000000000001</v>
      </c>
      <c r="F74" s="91">
        <f t="shared" si="40"/>
        <v>10.029999999999999</v>
      </c>
      <c r="G74" s="91">
        <f t="shared" si="40"/>
        <v>10.029999999999999</v>
      </c>
      <c r="H74" s="96">
        <f t="shared" si="37"/>
        <v>99.999999999999972</v>
      </c>
      <c r="I74" s="91"/>
      <c r="J74" s="140"/>
      <c r="K74" s="140"/>
      <c r="L74" s="98"/>
      <c r="M74" s="98"/>
      <c r="N74" s="98"/>
      <c r="O74" s="98"/>
      <c r="P74" s="98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25">
      <c r="A75" s="57" t="s">
        <v>32</v>
      </c>
      <c r="B75" s="93" t="s">
        <v>45</v>
      </c>
      <c r="C75" s="30" t="s">
        <v>18</v>
      </c>
      <c r="D75" s="60">
        <f>6.48+3.55</f>
        <v>10.030000000000001</v>
      </c>
      <c r="E75" s="60">
        <f>D75+D76</f>
        <v>10.030000000000001</v>
      </c>
      <c r="F75" s="31">
        <v>10.029999999999999</v>
      </c>
      <c r="G75" s="31">
        <v>10.029999999999999</v>
      </c>
      <c r="H75" s="31">
        <f t="shared" si="37"/>
        <v>99.999999999999972</v>
      </c>
      <c r="I75" s="31"/>
      <c r="J75" s="126"/>
      <c r="K75" s="126"/>
      <c r="L75" s="28"/>
      <c r="M75" s="28"/>
      <c r="N75" s="28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25">
      <c r="A76" s="107" t="s">
        <v>78</v>
      </c>
      <c r="B76" s="76" t="s">
        <v>79</v>
      </c>
      <c r="C76" s="46" t="s">
        <v>18</v>
      </c>
      <c r="D76" s="141">
        <f t="shared" ref="D76:G76" si="41">SUM(D77:D80)</f>
        <v>0</v>
      </c>
      <c r="E76" s="141">
        <f t="shared" si="41"/>
        <v>0</v>
      </c>
      <c r="F76" s="141">
        <f t="shared" si="41"/>
        <v>0</v>
      </c>
      <c r="G76" s="141">
        <f t="shared" si="41"/>
        <v>0</v>
      </c>
      <c r="H76" s="31"/>
      <c r="I76" s="141"/>
      <c r="J76" s="138"/>
      <c r="K76" s="138"/>
      <c r="L76" s="97"/>
      <c r="M76" s="97"/>
      <c r="N76" s="97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25">
      <c r="A77" s="46" t="s">
        <v>47</v>
      </c>
      <c r="B77" s="94" t="s">
        <v>80</v>
      </c>
      <c r="C77" s="46" t="s">
        <v>18</v>
      </c>
      <c r="D77" s="31"/>
      <c r="E77" s="31">
        <v>0</v>
      </c>
      <c r="F77" s="31"/>
      <c r="G77" s="31"/>
      <c r="H77" s="31"/>
      <c r="I77" s="31"/>
      <c r="J77" s="138"/>
      <c r="K77" s="138"/>
      <c r="L77" s="97"/>
      <c r="M77" s="143"/>
      <c r="N77" s="143"/>
      <c r="O77" s="2"/>
      <c r="P77" s="38"/>
      <c r="Q77" s="38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25">
      <c r="A78" s="46" t="s">
        <v>47</v>
      </c>
      <c r="B78" s="94" t="s">
        <v>81</v>
      </c>
      <c r="C78" s="46" t="s">
        <v>18</v>
      </c>
      <c r="D78" s="31"/>
      <c r="E78" s="31">
        <v>0</v>
      </c>
      <c r="F78" s="31"/>
      <c r="G78" s="31"/>
      <c r="H78" s="31"/>
      <c r="I78" s="31"/>
      <c r="J78" s="138"/>
      <c r="K78" s="138"/>
      <c r="L78" s="97"/>
      <c r="M78" s="97"/>
      <c r="N78" s="97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25">
      <c r="A79" s="46" t="s">
        <v>47</v>
      </c>
      <c r="B79" s="94" t="s">
        <v>82</v>
      </c>
      <c r="C79" s="46" t="s">
        <v>18</v>
      </c>
      <c r="D79" s="31"/>
      <c r="E79" s="31"/>
      <c r="F79" s="31"/>
      <c r="G79" s="31"/>
      <c r="H79" s="31"/>
      <c r="I79" s="31"/>
      <c r="J79" s="138"/>
      <c r="K79" s="138"/>
      <c r="L79" s="97"/>
      <c r="M79" s="97"/>
      <c r="N79" s="97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25">
      <c r="A80" s="46" t="s">
        <v>47</v>
      </c>
      <c r="B80" s="144" t="s">
        <v>83</v>
      </c>
      <c r="C80" s="46" t="s">
        <v>18</v>
      </c>
      <c r="D80" s="31"/>
      <c r="E80" s="31"/>
      <c r="F80" s="31"/>
      <c r="G80" s="31"/>
      <c r="H80" s="31"/>
      <c r="I80" s="31"/>
      <c r="J80" s="138"/>
      <c r="K80" s="138"/>
      <c r="L80" s="97"/>
      <c r="M80" s="97"/>
      <c r="N80" s="97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">
      <c r="A81" s="90" t="s">
        <v>30</v>
      </c>
      <c r="B81" s="43" t="s">
        <v>84</v>
      </c>
      <c r="C81" s="40" t="s">
        <v>18</v>
      </c>
      <c r="D81" s="91">
        <f t="shared" ref="D81:G81" si="42">D82+D83</f>
        <v>3.34</v>
      </c>
      <c r="E81" s="91">
        <f t="shared" si="42"/>
        <v>1.1100000000000001</v>
      </c>
      <c r="F81" s="91">
        <f t="shared" si="42"/>
        <v>1</v>
      </c>
      <c r="G81" s="91">
        <f t="shared" si="42"/>
        <v>1</v>
      </c>
      <c r="H81" s="96">
        <f t="shared" ref="H81:H83" si="43">F81/E81*100</f>
        <v>90.090090090090087</v>
      </c>
      <c r="I81" s="91"/>
      <c r="J81" s="140"/>
      <c r="K81" s="140"/>
      <c r="L81" s="98"/>
      <c r="M81" s="98"/>
      <c r="N81" s="98"/>
      <c r="O81" s="98"/>
      <c r="P81" s="98"/>
      <c r="Q81" s="98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31.5" customHeight="1" x14ac:dyDescent="0.25">
      <c r="A82" s="107" t="s">
        <v>47</v>
      </c>
      <c r="B82" s="94" t="s">
        <v>85</v>
      </c>
      <c r="C82" s="46" t="s">
        <v>18</v>
      </c>
      <c r="D82" s="71">
        <v>2.34</v>
      </c>
      <c r="E82" s="71">
        <v>1</v>
      </c>
      <c r="F82" s="71">
        <v>1</v>
      </c>
      <c r="G82" s="71">
        <v>1</v>
      </c>
      <c r="H82" s="71">
        <f t="shared" si="43"/>
        <v>100</v>
      </c>
      <c r="I82" s="71"/>
      <c r="J82" s="138"/>
      <c r="K82" s="142"/>
      <c r="L82" s="97"/>
      <c r="M82" s="97"/>
      <c r="N82" s="97"/>
      <c r="O82" s="74"/>
      <c r="P82" s="74"/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31.5" customHeight="1" x14ac:dyDescent="0.25">
      <c r="A83" s="107" t="s">
        <v>78</v>
      </c>
      <c r="B83" s="76" t="s">
        <v>79</v>
      </c>
      <c r="C83" s="30" t="s">
        <v>18</v>
      </c>
      <c r="D83" s="60">
        <f t="shared" ref="D83:G83" si="44">SUM(D84:D87)</f>
        <v>1</v>
      </c>
      <c r="E83" s="60">
        <f t="shared" si="44"/>
        <v>0.11</v>
      </c>
      <c r="F83" s="60">
        <f t="shared" si="44"/>
        <v>0</v>
      </c>
      <c r="G83" s="60">
        <f t="shared" si="44"/>
        <v>0</v>
      </c>
      <c r="H83" s="17">
        <f t="shared" si="43"/>
        <v>0</v>
      </c>
      <c r="I83" s="60"/>
      <c r="J83" s="138"/>
      <c r="K83" s="138"/>
      <c r="L83" s="138"/>
      <c r="M83" s="138"/>
      <c r="N83" s="13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25">
      <c r="A84" s="107" t="s">
        <v>47</v>
      </c>
      <c r="B84" s="76" t="s">
        <v>86</v>
      </c>
      <c r="C84" s="46" t="s">
        <v>18</v>
      </c>
      <c r="D84" s="31"/>
      <c r="E84" s="31"/>
      <c r="F84" s="31"/>
      <c r="G84" s="31"/>
      <c r="H84" s="17"/>
      <c r="I84" s="31"/>
      <c r="J84" s="97"/>
      <c r="K84" s="97"/>
      <c r="L84" s="97"/>
      <c r="M84" s="97"/>
      <c r="N84" s="9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25">
      <c r="A85" s="107" t="s">
        <v>47</v>
      </c>
      <c r="B85" s="76" t="s">
        <v>87</v>
      </c>
      <c r="C85" s="46" t="s">
        <v>18</v>
      </c>
      <c r="D85" s="31"/>
      <c r="E85" s="31"/>
      <c r="F85" s="31"/>
      <c r="G85" s="31"/>
      <c r="H85" s="17"/>
      <c r="I85" s="31"/>
      <c r="J85" s="97"/>
      <c r="K85" s="97"/>
      <c r="L85" s="97"/>
      <c r="M85" s="97"/>
      <c r="N85" s="9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25">
      <c r="A86" s="107" t="s">
        <v>47</v>
      </c>
      <c r="B86" s="76" t="s">
        <v>88</v>
      </c>
      <c r="C86" s="46"/>
      <c r="D86" s="31"/>
      <c r="E86" s="31"/>
      <c r="F86" s="31"/>
      <c r="G86" s="31"/>
      <c r="H86" s="17"/>
      <c r="I86" s="31"/>
      <c r="J86" s="97"/>
      <c r="K86" s="97"/>
      <c r="L86" s="97"/>
      <c r="M86" s="97"/>
      <c r="N86" s="2"/>
      <c r="O86" s="2"/>
      <c r="P86" s="2"/>
      <c r="Q86" s="2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25">
      <c r="A87" s="107" t="s">
        <v>47</v>
      </c>
      <c r="B87" s="94" t="s">
        <v>89</v>
      </c>
      <c r="C87" s="46" t="s">
        <v>18</v>
      </c>
      <c r="D87" s="31">
        <v>1</v>
      </c>
      <c r="E87" s="31">
        <v>0.11</v>
      </c>
      <c r="F87" s="31">
        <v>0</v>
      </c>
      <c r="G87" s="31">
        <v>0</v>
      </c>
      <c r="H87" s="17">
        <f t="shared" ref="H87:H91" si="45">F87/E87*100</f>
        <v>0</v>
      </c>
      <c r="I87" s="31"/>
      <c r="J87" s="97"/>
      <c r="K87" s="97"/>
      <c r="L87" s="97"/>
      <c r="M87" s="143"/>
      <c r="N87" s="143"/>
      <c r="O87" s="38"/>
      <c r="P87" s="38"/>
      <c r="Q87" s="38"/>
      <c r="R87" s="45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25">
      <c r="A88" s="15" t="s">
        <v>90</v>
      </c>
      <c r="B88" s="24" t="s">
        <v>91</v>
      </c>
      <c r="C88" s="15"/>
      <c r="D88" s="17">
        <f t="shared" ref="D88:G88" si="46">SUM(D89:D93)</f>
        <v>266</v>
      </c>
      <c r="E88" s="17">
        <f t="shared" si="46"/>
        <v>208</v>
      </c>
      <c r="F88" s="17">
        <f t="shared" si="46"/>
        <v>172</v>
      </c>
      <c r="G88" s="17">
        <f t="shared" si="46"/>
        <v>172</v>
      </c>
      <c r="H88" s="17">
        <f t="shared" si="45"/>
        <v>82.692307692307693</v>
      </c>
      <c r="I88" s="17"/>
      <c r="J88" s="28"/>
      <c r="K88" s="28"/>
      <c r="L88" s="134"/>
      <c r="M88" s="134"/>
      <c r="N88" s="2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25">
      <c r="A89" s="30">
        <v>1</v>
      </c>
      <c r="B89" s="27" t="s">
        <v>92</v>
      </c>
      <c r="C89" s="30" t="s">
        <v>93</v>
      </c>
      <c r="D89" s="31">
        <v>24</v>
      </c>
      <c r="E89" s="31">
        <f>9+5</f>
        <v>14</v>
      </c>
      <c r="F89" s="31">
        <v>12</v>
      </c>
      <c r="G89" s="31">
        <f t="shared" ref="G89:G91" si="47">F89</f>
        <v>12</v>
      </c>
      <c r="H89" s="31">
        <f t="shared" si="45"/>
        <v>85.714285714285708</v>
      </c>
      <c r="I89" s="31"/>
      <c r="J89" s="55"/>
      <c r="K89" s="173"/>
      <c r="L89" s="171"/>
      <c r="M89" s="172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31.5" customHeight="1" x14ac:dyDescent="0.25">
      <c r="A90" s="30">
        <v>2</v>
      </c>
      <c r="B90" s="27" t="s">
        <v>94</v>
      </c>
      <c r="C90" s="30" t="s">
        <v>93</v>
      </c>
      <c r="D90" s="31">
        <v>41</v>
      </c>
      <c r="E90" s="31">
        <f>11+2</f>
        <v>13</v>
      </c>
      <c r="F90" s="31">
        <v>12</v>
      </c>
      <c r="G90" s="31">
        <f t="shared" si="47"/>
        <v>12</v>
      </c>
      <c r="H90" s="31">
        <f t="shared" si="45"/>
        <v>92.307692307692307</v>
      </c>
      <c r="I90" s="31"/>
      <c r="J90" s="55"/>
      <c r="K90" s="173"/>
      <c r="L90" s="171"/>
      <c r="M90" s="172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31.5" customHeight="1" x14ac:dyDescent="0.25">
      <c r="A91" s="30">
        <v>3</v>
      </c>
      <c r="B91" s="27" t="s">
        <v>97</v>
      </c>
      <c r="C91" s="30" t="s">
        <v>93</v>
      </c>
      <c r="D91" s="31">
        <v>23</v>
      </c>
      <c r="E91" s="31">
        <f>23+7</f>
        <v>30</v>
      </c>
      <c r="F91" s="31">
        <v>26</v>
      </c>
      <c r="G91" s="31">
        <f t="shared" si="47"/>
        <v>26</v>
      </c>
      <c r="H91" s="31">
        <f t="shared" si="45"/>
        <v>86.666666666666671</v>
      </c>
      <c r="I91" s="31"/>
      <c r="J91" s="55"/>
      <c r="K91" s="79"/>
      <c r="L91" s="171"/>
      <c r="M91" s="172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31.5" customHeight="1" x14ac:dyDescent="0.25">
      <c r="A92" s="30">
        <v>4</v>
      </c>
      <c r="B92" s="27" t="s">
        <v>98</v>
      </c>
      <c r="C92" s="30" t="s">
        <v>93</v>
      </c>
      <c r="D92" s="31"/>
      <c r="E92" s="31"/>
      <c r="F92" s="31"/>
      <c r="G92" s="31"/>
      <c r="H92" s="17"/>
      <c r="I92" s="31"/>
      <c r="J92" s="28"/>
      <c r="K92" s="28"/>
      <c r="L92" s="174"/>
      <c r="M92" s="172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25">
      <c r="A93" s="30">
        <v>5</v>
      </c>
      <c r="B93" s="27" t="s">
        <v>99</v>
      </c>
      <c r="C93" s="30" t="s">
        <v>93</v>
      </c>
      <c r="D93" s="31">
        <v>178</v>
      </c>
      <c r="E93" s="31">
        <f>168-17</f>
        <v>151</v>
      </c>
      <c r="F93" s="31">
        <v>122</v>
      </c>
      <c r="G93" s="31">
        <f>F93</f>
        <v>122</v>
      </c>
      <c r="H93" s="31">
        <f>F93/E93*100</f>
        <v>80.794701986754973</v>
      </c>
      <c r="I93" s="31"/>
      <c r="J93" s="79"/>
      <c r="K93" s="79"/>
      <c r="L93" s="174"/>
      <c r="M93" s="172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31.5" customHeight="1" x14ac:dyDescent="0.25">
      <c r="A94" s="15" t="s">
        <v>100</v>
      </c>
      <c r="B94" s="16" t="s">
        <v>101</v>
      </c>
      <c r="C94" s="15" t="s">
        <v>18</v>
      </c>
      <c r="D94" s="17">
        <f t="shared" ref="D94:G94" si="48">D95</f>
        <v>0</v>
      </c>
      <c r="E94" s="17">
        <f t="shared" si="48"/>
        <v>0</v>
      </c>
      <c r="F94" s="17">
        <f t="shared" si="48"/>
        <v>0</v>
      </c>
      <c r="G94" s="17">
        <f t="shared" si="48"/>
        <v>0</v>
      </c>
      <c r="H94" s="17"/>
      <c r="I94" s="17"/>
      <c r="J94" s="19"/>
      <c r="K94" s="19"/>
      <c r="L94" s="19"/>
      <c r="M94" s="19"/>
      <c r="N94" s="19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31.5" customHeight="1" x14ac:dyDescent="0.25">
      <c r="A95" s="46" t="s">
        <v>47</v>
      </c>
      <c r="B95" s="76" t="s">
        <v>102</v>
      </c>
      <c r="C95" s="46" t="s">
        <v>18</v>
      </c>
      <c r="D95" s="31"/>
      <c r="E95" s="31"/>
      <c r="F95" s="31"/>
      <c r="G95" s="31"/>
      <c r="H95" s="17"/>
      <c r="I95" s="31"/>
      <c r="J95" s="35"/>
      <c r="K95" s="28"/>
      <c r="L95" s="28"/>
      <c r="M95" s="28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25">
      <c r="A96" s="15" t="s">
        <v>104</v>
      </c>
      <c r="B96" s="16" t="s">
        <v>105</v>
      </c>
      <c r="C96" s="15" t="s">
        <v>18</v>
      </c>
      <c r="D96" s="17">
        <f t="shared" ref="D96:G96" si="49">D97+D98</f>
        <v>2.8</v>
      </c>
      <c r="E96" s="17">
        <f t="shared" si="49"/>
        <v>0.64999999999999991</v>
      </c>
      <c r="F96" s="17">
        <f t="shared" si="49"/>
        <v>0</v>
      </c>
      <c r="G96" s="17">
        <f t="shared" si="49"/>
        <v>0</v>
      </c>
      <c r="H96" s="17">
        <f>F96/E96*100</f>
        <v>0</v>
      </c>
      <c r="I96" s="17"/>
      <c r="J96" s="28"/>
      <c r="K96" s="28"/>
      <c r="L96" s="28"/>
      <c r="M96" s="28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25">
      <c r="A97" s="30" t="s">
        <v>47</v>
      </c>
      <c r="B97" s="93" t="s">
        <v>263</v>
      </c>
      <c r="C97" s="46" t="s">
        <v>18</v>
      </c>
      <c r="D97" s="31"/>
      <c r="E97" s="31"/>
      <c r="F97" s="31"/>
      <c r="G97" s="31"/>
      <c r="H97" s="17"/>
      <c r="I97" s="31"/>
      <c r="J97" s="28"/>
      <c r="K97" s="28"/>
      <c r="L97" s="28"/>
      <c r="M97" s="28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25">
      <c r="A98" s="123" t="s">
        <v>47</v>
      </c>
      <c r="B98" s="93" t="s">
        <v>109</v>
      </c>
      <c r="C98" s="46" t="s">
        <v>18</v>
      </c>
      <c r="D98" s="31">
        <v>2.8</v>
      </c>
      <c r="E98" s="31">
        <f>1.9-1.25</f>
        <v>0.64999999999999991</v>
      </c>
      <c r="F98" s="31"/>
      <c r="G98" s="31"/>
      <c r="H98" s="17">
        <f>F98/E98*100</f>
        <v>0</v>
      </c>
      <c r="I98" s="31"/>
      <c r="J98" s="28"/>
      <c r="K98" s="28"/>
      <c r="L98" s="28"/>
      <c r="M98" s="28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26"/>
      <c r="B99" s="126"/>
      <c r="C99" s="126"/>
      <c r="D99" s="127"/>
      <c r="E99" s="127"/>
      <c r="F99" s="127"/>
      <c r="G99" s="127"/>
      <c r="H99" s="127"/>
      <c r="I99" s="127"/>
      <c r="J99" s="126"/>
      <c r="K99" s="126"/>
      <c r="L99" s="126"/>
      <c r="M99" s="126"/>
      <c r="N99" s="12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26"/>
      <c r="B100" s="126"/>
      <c r="C100" s="126"/>
      <c r="D100" s="127"/>
      <c r="E100" s="127"/>
      <c r="F100" s="127"/>
      <c r="G100" s="127"/>
      <c r="H100" s="127"/>
      <c r="I100" s="127"/>
      <c r="J100" s="126"/>
      <c r="K100" s="126"/>
      <c r="L100" s="126"/>
      <c r="M100" s="126"/>
      <c r="N100" s="12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26"/>
      <c r="B101" s="126"/>
      <c r="C101" s="126"/>
      <c r="D101" s="127"/>
      <c r="E101" s="127"/>
      <c r="F101" s="127"/>
      <c r="G101" s="127"/>
      <c r="H101" s="127"/>
      <c r="I101" s="127"/>
      <c r="J101" s="126"/>
      <c r="K101" s="126"/>
      <c r="L101" s="126"/>
      <c r="M101" s="126"/>
      <c r="N101" s="12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26"/>
      <c r="B102" s="126"/>
      <c r="C102" s="126"/>
      <c r="D102" s="148"/>
      <c r="E102" s="148"/>
      <c r="F102" s="148"/>
      <c r="G102" s="148"/>
      <c r="H102" s="148"/>
      <c r="I102" s="148"/>
      <c r="J102" s="126"/>
      <c r="K102" s="126"/>
      <c r="L102" s="126"/>
      <c r="M102" s="126"/>
      <c r="N102" s="12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26"/>
      <c r="B103" s="126"/>
      <c r="C103" s="126"/>
      <c r="D103" s="127"/>
      <c r="E103" s="127"/>
      <c r="F103" s="127"/>
      <c r="G103" s="127"/>
      <c r="H103" s="127"/>
      <c r="I103" s="127"/>
      <c r="J103" s="126"/>
      <c r="K103" s="126"/>
      <c r="L103" s="126"/>
      <c r="M103" s="126"/>
      <c r="N103" s="12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26"/>
      <c r="B104" s="126"/>
      <c r="C104" s="126"/>
      <c r="D104" s="127"/>
      <c r="E104" s="127"/>
      <c r="F104" s="127"/>
      <c r="G104" s="127"/>
      <c r="H104" s="127"/>
      <c r="I104" s="127"/>
      <c r="J104" s="126"/>
      <c r="K104" s="126"/>
      <c r="L104" s="126"/>
      <c r="M104" s="126"/>
      <c r="N104" s="12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26"/>
      <c r="B105" s="140"/>
      <c r="C105" s="126"/>
      <c r="D105" s="127"/>
      <c r="E105" s="127"/>
      <c r="F105" s="127"/>
      <c r="G105" s="127"/>
      <c r="H105" s="127"/>
      <c r="I105" s="127"/>
      <c r="J105" s="126"/>
      <c r="K105" s="126"/>
      <c r="L105" s="126"/>
      <c r="M105" s="126"/>
      <c r="N105" s="12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26"/>
      <c r="B106" s="126"/>
      <c r="C106" s="126"/>
      <c r="D106" s="127"/>
      <c r="E106" s="127"/>
      <c r="F106" s="127"/>
      <c r="G106" s="127"/>
      <c r="H106" s="127"/>
      <c r="I106" s="127"/>
      <c r="J106" s="126"/>
      <c r="K106" s="126"/>
      <c r="L106" s="126"/>
      <c r="M106" s="126"/>
      <c r="N106" s="12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26"/>
      <c r="B107" s="126"/>
      <c r="C107" s="126"/>
      <c r="D107" s="127"/>
      <c r="E107" s="127"/>
      <c r="F107" s="127"/>
      <c r="G107" s="127"/>
      <c r="H107" s="127"/>
      <c r="I107" s="127"/>
      <c r="J107" s="126"/>
      <c r="K107" s="126"/>
      <c r="L107" s="126"/>
      <c r="M107" s="126"/>
      <c r="N107" s="12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26"/>
      <c r="B108" s="126"/>
      <c r="C108" s="126"/>
      <c r="D108" s="127"/>
      <c r="E108" s="127"/>
      <c r="F108" s="127"/>
      <c r="G108" s="127"/>
      <c r="H108" s="127"/>
      <c r="I108" s="127"/>
      <c r="J108" s="126"/>
      <c r="K108" s="126"/>
      <c r="L108" s="126"/>
      <c r="M108" s="126"/>
      <c r="N108" s="12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26"/>
      <c r="B109" s="126"/>
      <c r="C109" s="126"/>
      <c r="D109" s="127"/>
      <c r="E109" s="127"/>
      <c r="F109" s="127"/>
      <c r="G109" s="127"/>
      <c r="H109" s="127"/>
      <c r="I109" s="127"/>
      <c r="J109" s="126"/>
      <c r="K109" s="126"/>
      <c r="L109" s="126"/>
      <c r="M109" s="126"/>
      <c r="N109" s="12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26"/>
      <c r="B110" s="126"/>
      <c r="C110" s="126"/>
      <c r="D110" s="127"/>
      <c r="E110" s="127"/>
      <c r="F110" s="127"/>
      <c r="G110" s="127"/>
      <c r="H110" s="127"/>
      <c r="I110" s="127"/>
      <c r="J110" s="126"/>
      <c r="K110" s="126"/>
      <c r="L110" s="126"/>
      <c r="M110" s="126"/>
      <c r="N110" s="12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26"/>
      <c r="B111" s="126"/>
      <c r="C111" s="126"/>
      <c r="D111" s="127"/>
      <c r="E111" s="127"/>
      <c r="F111" s="127"/>
      <c r="G111" s="127"/>
      <c r="H111" s="127"/>
      <c r="I111" s="127"/>
      <c r="J111" s="126"/>
      <c r="K111" s="126"/>
      <c r="L111" s="126"/>
      <c r="M111" s="126"/>
      <c r="N111" s="12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26"/>
      <c r="B112" s="126"/>
      <c r="C112" s="126"/>
      <c r="D112" s="127"/>
      <c r="E112" s="127"/>
      <c r="F112" s="127"/>
      <c r="G112" s="127"/>
      <c r="H112" s="127"/>
      <c r="I112" s="127"/>
      <c r="J112" s="126"/>
      <c r="K112" s="126"/>
      <c r="L112" s="126"/>
      <c r="M112" s="126"/>
      <c r="N112" s="12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26"/>
      <c r="B113" s="126"/>
      <c r="C113" s="126"/>
      <c r="D113" s="127"/>
      <c r="E113" s="127"/>
      <c r="F113" s="127"/>
      <c r="G113" s="127"/>
      <c r="H113" s="127"/>
      <c r="I113" s="127"/>
      <c r="J113" s="126"/>
      <c r="K113" s="126"/>
      <c r="L113" s="126"/>
      <c r="M113" s="126"/>
      <c r="N113" s="12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26"/>
      <c r="B114" s="126"/>
      <c r="C114" s="126"/>
      <c r="D114" s="127"/>
      <c r="E114" s="127"/>
      <c r="F114" s="127"/>
      <c r="G114" s="127"/>
      <c r="H114" s="127"/>
      <c r="I114" s="127"/>
      <c r="J114" s="126"/>
      <c r="K114" s="126"/>
      <c r="L114" s="126"/>
      <c r="M114" s="126"/>
      <c r="N114" s="12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26"/>
      <c r="B115" s="126"/>
      <c r="C115" s="126"/>
      <c r="D115" s="127"/>
      <c r="E115" s="127"/>
      <c r="F115" s="127"/>
      <c r="G115" s="127"/>
      <c r="H115" s="127"/>
      <c r="I115" s="127"/>
      <c r="J115" s="126"/>
      <c r="K115" s="126"/>
      <c r="L115" s="126"/>
      <c r="M115" s="126"/>
      <c r="N115" s="12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26"/>
      <c r="B116" s="126"/>
      <c r="C116" s="126"/>
      <c r="D116" s="127"/>
      <c r="E116" s="127"/>
      <c r="F116" s="127"/>
      <c r="G116" s="127"/>
      <c r="H116" s="127"/>
      <c r="I116" s="127"/>
      <c r="J116" s="126"/>
      <c r="K116" s="126"/>
      <c r="L116" s="126"/>
      <c r="M116" s="126"/>
      <c r="N116" s="12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26"/>
      <c r="B117" s="126"/>
      <c r="C117" s="126"/>
      <c r="D117" s="127"/>
      <c r="E117" s="127"/>
      <c r="F117" s="127"/>
      <c r="G117" s="127"/>
      <c r="H117" s="127"/>
      <c r="I117" s="127"/>
      <c r="J117" s="126"/>
      <c r="K117" s="126"/>
      <c r="L117" s="126"/>
      <c r="M117" s="126"/>
      <c r="N117" s="12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26"/>
      <c r="B118" s="126"/>
      <c r="C118" s="126"/>
      <c r="D118" s="127"/>
      <c r="E118" s="127"/>
      <c r="F118" s="127"/>
      <c r="G118" s="127"/>
      <c r="H118" s="127"/>
      <c r="I118" s="127"/>
      <c r="J118" s="126"/>
      <c r="K118" s="126"/>
      <c r="L118" s="126"/>
      <c r="M118" s="126"/>
      <c r="N118" s="12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26"/>
      <c r="B119" s="126"/>
      <c r="C119" s="126"/>
      <c r="D119" s="127"/>
      <c r="E119" s="127"/>
      <c r="F119" s="127"/>
      <c r="G119" s="127"/>
      <c r="H119" s="127"/>
      <c r="I119" s="127"/>
      <c r="J119" s="126"/>
      <c r="K119" s="126"/>
      <c r="L119" s="126"/>
      <c r="M119" s="126"/>
      <c r="N119" s="12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26"/>
      <c r="B120" s="126"/>
      <c r="C120" s="126"/>
      <c r="D120" s="127"/>
      <c r="E120" s="127"/>
      <c r="F120" s="127"/>
      <c r="G120" s="127"/>
      <c r="H120" s="127"/>
      <c r="I120" s="127"/>
      <c r="J120" s="126"/>
      <c r="K120" s="126"/>
      <c r="L120" s="126"/>
      <c r="M120" s="126"/>
      <c r="N120" s="12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26"/>
      <c r="B121" s="126"/>
      <c r="C121" s="126"/>
      <c r="D121" s="127"/>
      <c r="E121" s="127"/>
      <c r="F121" s="127"/>
      <c r="G121" s="127"/>
      <c r="H121" s="127"/>
      <c r="I121" s="127"/>
      <c r="J121" s="126"/>
      <c r="K121" s="126"/>
      <c r="L121" s="126"/>
      <c r="M121" s="126"/>
      <c r="N121" s="12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26"/>
      <c r="B122" s="126"/>
      <c r="C122" s="126"/>
      <c r="D122" s="127"/>
      <c r="E122" s="127"/>
      <c r="F122" s="127"/>
      <c r="G122" s="127"/>
      <c r="H122" s="127"/>
      <c r="I122" s="127"/>
      <c r="J122" s="126"/>
      <c r="K122" s="126"/>
      <c r="L122" s="126"/>
      <c r="M122" s="126"/>
      <c r="N122" s="12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26"/>
      <c r="B123" s="126"/>
      <c r="C123" s="126"/>
      <c r="D123" s="127"/>
      <c r="E123" s="127"/>
      <c r="F123" s="127"/>
      <c r="G123" s="127"/>
      <c r="H123" s="127"/>
      <c r="I123" s="127"/>
      <c r="J123" s="126"/>
      <c r="K123" s="126"/>
      <c r="L123" s="126"/>
      <c r="M123" s="126"/>
      <c r="N123" s="12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26"/>
      <c r="B124" s="126"/>
      <c r="C124" s="126"/>
      <c r="D124" s="127"/>
      <c r="E124" s="127"/>
      <c r="F124" s="127"/>
      <c r="G124" s="127"/>
      <c r="H124" s="127"/>
      <c r="I124" s="127"/>
      <c r="J124" s="126"/>
      <c r="K124" s="126"/>
      <c r="L124" s="126"/>
      <c r="M124" s="126"/>
      <c r="N124" s="12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26"/>
      <c r="B125" s="126"/>
      <c r="C125" s="126"/>
      <c r="D125" s="127"/>
      <c r="E125" s="127"/>
      <c r="F125" s="127"/>
      <c r="G125" s="127"/>
      <c r="H125" s="127"/>
      <c r="I125" s="127"/>
      <c r="J125" s="126"/>
      <c r="K125" s="126"/>
      <c r="L125" s="126"/>
      <c r="M125" s="126"/>
      <c r="N125" s="12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26"/>
      <c r="B126" s="126"/>
      <c r="C126" s="126"/>
      <c r="D126" s="127"/>
      <c r="E126" s="127"/>
      <c r="F126" s="127"/>
      <c r="G126" s="127"/>
      <c r="H126" s="127"/>
      <c r="I126" s="127"/>
      <c r="J126" s="126"/>
      <c r="K126" s="126"/>
      <c r="L126" s="126"/>
      <c r="M126" s="126"/>
      <c r="N126" s="12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26"/>
      <c r="B127" s="126"/>
      <c r="C127" s="126"/>
      <c r="D127" s="127"/>
      <c r="E127" s="127"/>
      <c r="F127" s="127"/>
      <c r="G127" s="127"/>
      <c r="H127" s="127"/>
      <c r="I127" s="127"/>
      <c r="J127" s="126"/>
      <c r="K127" s="126"/>
      <c r="L127" s="126"/>
      <c r="M127" s="126"/>
      <c r="N127" s="12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26"/>
      <c r="B128" s="126"/>
      <c r="C128" s="126"/>
      <c r="D128" s="127"/>
      <c r="E128" s="127"/>
      <c r="F128" s="127"/>
      <c r="G128" s="127"/>
      <c r="H128" s="127"/>
      <c r="I128" s="127"/>
      <c r="J128" s="126"/>
      <c r="K128" s="126"/>
      <c r="L128" s="126"/>
      <c r="M128" s="126"/>
      <c r="N128" s="12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26"/>
      <c r="B129" s="126"/>
      <c r="C129" s="126"/>
      <c r="D129" s="127"/>
      <c r="E129" s="127"/>
      <c r="F129" s="127"/>
      <c r="G129" s="127"/>
      <c r="H129" s="127"/>
      <c r="I129" s="127"/>
      <c r="J129" s="126"/>
      <c r="K129" s="126"/>
      <c r="L129" s="126"/>
      <c r="M129" s="126"/>
      <c r="N129" s="12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26"/>
      <c r="B130" s="126"/>
      <c r="C130" s="126"/>
      <c r="D130" s="127"/>
      <c r="E130" s="127"/>
      <c r="F130" s="127"/>
      <c r="G130" s="127"/>
      <c r="H130" s="127"/>
      <c r="I130" s="127"/>
      <c r="J130" s="126"/>
      <c r="K130" s="126"/>
      <c r="L130" s="126"/>
      <c r="M130" s="126"/>
      <c r="N130" s="12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6"/>
      <c r="B131" s="126"/>
      <c r="C131" s="126"/>
      <c r="D131" s="127"/>
      <c r="E131" s="127"/>
      <c r="F131" s="127"/>
      <c r="G131" s="127"/>
      <c r="H131" s="127"/>
      <c r="I131" s="127"/>
      <c r="J131" s="126"/>
      <c r="K131" s="126"/>
      <c r="L131" s="126"/>
      <c r="M131" s="126"/>
      <c r="N131" s="12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26"/>
      <c r="B132" s="126"/>
      <c r="C132" s="126"/>
      <c r="D132" s="127"/>
      <c r="E132" s="127"/>
      <c r="F132" s="127"/>
      <c r="G132" s="127"/>
      <c r="H132" s="127"/>
      <c r="I132" s="127"/>
      <c r="J132" s="126"/>
      <c r="K132" s="126"/>
      <c r="L132" s="126"/>
      <c r="M132" s="126"/>
      <c r="N132" s="12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26"/>
      <c r="B133" s="126"/>
      <c r="C133" s="126"/>
      <c r="D133" s="127"/>
      <c r="E133" s="127"/>
      <c r="F133" s="127"/>
      <c r="G133" s="127"/>
      <c r="H133" s="127"/>
      <c r="I133" s="127"/>
      <c r="J133" s="126"/>
      <c r="K133" s="126"/>
      <c r="L133" s="126"/>
      <c r="M133" s="126"/>
      <c r="N133" s="12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26"/>
      <c r="B134" s="126"/>
      <c r="C134" s="126"/>
      <c r="D134" s="127"/>
      <c r="E134" s="127"/>
      <c r="F134" s="127"/>
      <c r="G134" s="127"/>
      <c r="H134" s="127"/>
      <c r="I134" s="127"/>
      <c r="J134" s="126"/>
      <c r="K134" s="126"/>
      <c r="L134" s="126"/>
      <c r="M134" s="126"/>
      <c r="N134" s="12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26"/>
      <c r="B135" s="126"/>
      <c r="C135" s="126"/>
      <c r="D135" s="127"/>
      <c r="E135" s="127"/>
      <c r="F135" s="127"/>
      <c r="G135" s="127"/>
      <c r="H135" s="127"/>
      <c r="I135" s="127"/>
      <c r="J135" s="126"/>
      <c r="K135" s="126"/>
      <c r="L135" s="126"/>
      <c r="M135" s="126"/>
      <c r="N135" s="12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26"/>
      <c r="B136" s="126"/>
      <c r="C136" s="126"/>
      <c r="D136" s="127"/>
      <c r="E136" s="127"/>
      <c r="F136" s="127"/>
      <c r="G136" s="127"/>
      <c r="H136" s="127"/>
      <c r="I136" s="127"/>
      <c r="J136" s="126"/>
      <c r="K136" s="126"/>
      <c r="L136" s="126"/>
      <c r="M136" s="126"/>
      <c r="N136" s="12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6"/>
      <c r="B137" s="126"/>
      <c r="C137" s="126"/>
      <c r="D137" s="127"/>
      <c r="E137" s="127"/>
      <c r="F137" s="127"/>
      <c r="G137" s="127"/>
      <c r="H137" s="127"/>
      <c r="I137" s="127"/>
      <c r="J137" s="126"/>
      <c r="K137" s="126"/>
      <c r="L137" s="126"/>
      <c r="M137" s="126"/>
      <c r="N137" s="12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26"/>
      <c r="B138" s="126"/>
      <c r="C138" s="126"/>
      <c r="D138" s="127"/>
      <c r="E138" s="127"/>
      <c r="F138" s="127"/>
      <c r="G138" s="127"/>
      <c r="H138" s="127"/>
      <c r="I138" s="127"/>
      <c r="J138" s="126"/>
      <c r="K138" s="126"/>
      <c r="L138" s="126"/>
      <c r="M138" s="126"/>
      <c r="N138" s="12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26"/>
      <c r="B139" s="126"/>
      <c r="C139" s="126"/>
      <c r="D139" s="127"/>
      <c r="E139" s="127"/>
      <c r="F139" s="127"/>
      <c r="G139" s="127"/>
      <c r="H139" s="127"/>
      <c r="I139" s="127"/>
      <c r="J139" s="126"/>
      <c r="K139" s="126"/>
      <c r="L139" s="126"/>
      <c r="M139" s="126"/>
      <c r="N139" s="12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26"/>
      <c r="B140" s="126"/>
      <c r="C140" s="126"/>
      <c r="D140" s="127"/>
      <c r="E140" s="127"/>
      <c r="F140" s="127"/>
      <c r="G140" s="127"/>
      <c r="H140" s="127"/>
      <c r="I140" s="127"/>
      <c r="J140" s="126"/>
      <c r="K140" s="126"/>
      <c r="L140" s="126"/>
      <c r="M140" s="126"/>
      <c r="N140" s="12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26"/>
      <c r="B141" s="126"/>
      <c r="C141" s="126"/>
      <c r="D141" s="127"/>
      <c r="E141" s="127"/>
      <c r="F141" s="127"/>
      <c r="G141" s="127"/>
      <c r="H141" s="127"/>
      <c r="I141" s="127"/>
      <c r="J141" s="126"/>
      <c r="K141" s="126"/>
      <c r="L141" s="126"/>
      <c r="M141" s="126"/>
      <c r="N141" s="12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26"/>
      <c r="B142" s="126"/>
      <c r="C142" s="126"/>
      <c r="D142" s="127"/>
      <c r="E142" s="127"/>
      <c r="F142" s="127"/>
      <c r="G142" s="127"/>
      <c r="H142" s="127"/>
      <c r="I142" s="127"/>
      <c r="J142" s="126"/>
      <c r="K142" s="126"/>
      <c r="L142" s="126"/>
      <c r="M142" s="126"/>
      <c r="N142" s="12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26"/>
      <c r="B143" s="126"/>
      <c r="C143" s="126"/>
      <c r="D143" s="127"/>
      <c r="E143" s="127"/>
      <c r="F143" s="127"/>
      <c r="G143" s="127"/>
      <c r="H143" s="127"/>
      <c r="I143" s="127"/>
      <c r="J143" s="126"/>
      <c r="K143" s="126"/>
      <c r="L143" s="126"/>
      <c r="M143" s="126"/>
      <c r="N143" s="12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26"/>
      <c r="B144" s="126"/>
      <c r="C144" s="126"/>
      <c r="D144" s="127"/>
      <c r="E144" s="127"/>
      <c r="F144" s="127"/>
      <c r="G144" s="127"/>
      <c r="H144" s="127"/>
      <c r="I144" s="127"/>
      <c r="J144" s="126"/>
      <c r="K144" s="126"/>
      <c r="L144" s="126"/>
      <c r="M144" s="126"/>
      <c r="N144" s="12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26"/>
      <c r="B145" s="126"/>
      <c r="C145" s="126"/>
      <c r="D145" s="127"/>
      <c r="E145" s="127"/>
      <c r="F145" s="127"/>
      <c r="G145" s="127"/>
      <c r="H145" s="127"/>
      <c r="I145" s="127"/>
      <c r="J145" s="126"/>
      <c r="K145" s="126"/>
      <c r="L145" s="126"/>
      <c r="M145" s="126"/>
      <c r="N145" s="12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26"/>
      <c r="B146" s="126"/>
      <c r="C146" s="126"/>
      <c r="D146" s="127"/>
      <c r="E146" s="127"/>
      <c r="F146" s="127"/>
      <c r="G146" s="127"/>
      <c r="H146" s="127"/>
      <c r="I146" s="127"/>
      <c r="J146" s="126"/>
      <c r="K146" s="126"/>
      <c r="L146" s="126"/>
      <c r="M146" s="126"/>
      <c r="N146" s="12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26"/>
      <c r="B147" s="126"/>
      <c r="C147" s="126"/>
      <c r="D147" s="127"/>
      <c r="E147" s="127"/>
      <c r="F147" s="127"/>
      <c r="G147" s="127"/>
      <c r="H147" s="127"/>
      <c r="I147" s="127"/>
      <c r="J147" s="126"/>
      <c r="K147" s="126"/>
      <c r="L147" s="126"/>
      <c r="M147" s="126"/>
      <c r="N147" s="12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26"/>
      <c r="B148" s="126"/>
      <c r="C148" s="126"/>
      <c r="D148" s="127"/>
      <c r="E148" s="127"/>
      <c r="F148" s="127"/>
      <c r="G148" s="127"/>
      <c r="H148" s="127"/>
      <c r="I148" s="127"/>
      <c r="J148" s="126"/>
      <c r="K148" s="126"/>
      <c r="L148" s="126"/>
      <c r="M148" s="126"/>
      <c r="N148" s="12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26"/>
      <c r="B149" s="126"/>
      <c r="C149" s="126"/>
      <c r="D149" s="127"/>
      <c r="E149" s="127"/>
      <c r="F149" s="127"/>
      <c r="G149" s="127"/>
      <c r="H149" s="127"/>
      <c r="I149" s="127"/>
      <c r="J149" s="126"/>
      <c r="K149" s="126"/>
      <c r="L149" s="126"/>
      <c r="M149" s="126"/>
      <c r="N149" s="12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26"/>
      <c r="B150" s="126"/>
      <c r="C150" s="126"/>
      <c r="D150" s="127"/>
      <c r="E150" s="127"/>
      <c r="F150" s="127"/>
      <c r="G150" s="127"/>
      <c r="H150" s="127"/>
      <c r="I150" s="127"/>
      <c r="J150" s="126"/>
      <c r="K150" s="126"/>
      <c r="L150" s="126"/>
      <c r="M150" s="126"/>
      <c r="N150" s="12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26"/>
      <c r="B151" s="126"/>
      <c r="C151" s="126"/>
      <c r="D151" s="127"/>
      <c r="E151" s="127"/>
      <c r="F151" s="127"/>
      <c r="G151" s="127"/>
      <c r="H151" s="127"/>
      <c r="I151" s="127"/>
      <c r="J151" s="126"/>
      <c r="K151" s="126"/>
      <c r="L151" s="126"/>
      <c r="M151" s="126"/>
      <c r="N151" s="12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26"/>
      <c r="B152" s="126"/>
      <c r="C152" s="126"/>
      <c r="D152" s="127"/>
      <c r="E152" s="127"/>
      <c r="F152" s="127"/>
      <c r="G152" s="127"/>
      <c r="H152" s="127"/>
      <c r="I152" s="127"/>
      <c r="J152" s="126"/>
      <c r="K152" s="126"/>
      <c r="L152" s="126"/>
      <c r="M152" s="126"/>
      <c r="N152" s="12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26"/>
      <c r="B153" s="126"/>
      <c r="C153" s="126"/>
      <c r="D153" s="127"/>
      <c r="E153" s="127"/>
      <c r="F153" s="127"/>
      <c r="G153" s="127"/>
      <c r="H153" s="127"/>
      <c r="I153" s="127"/>
      <c r="J153" s="126"/>
      <c r="K153" s="126"/>
      <c r="L153" s="126"/>
      <c r="M153" s="126"/>
      <c r="N153" s="12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26"/>
      <c r="B154" s="126"/>
      <c r="C154" s="126"/>
      <c r="D154" s="127"/>
      <c r="E154" s="127"/>
      <c r="F154" s="127"/>
      <c r="G154" s="127"/>
      <c r="H154" s="127"/>
      <c r="I154" s="127"/>
      <c r="J154" s="126"/>
      <c r="K154" s="126"/>
      <c r="L154" s="126"/>
      <c r="M154" s="126"/>
      <c r="N154" s="12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26"/>
      <c r="B155" s="126"/>
      <c r="C155" s="126"/>
      <c r="D155" s="127"/>
      <c r="E155" s="127"/>
      <c r="F155" s="127"/>
      <c r="G155" s="127"/>
      <c r="H155" s="127"/>
      <c r="I155" s="127"/>
      <c r="J155" s="126"/>
      <c r="K155" s="126"/>
      <c r="L155" s="126"/>
      <c r="M155" s="126"/>
      <c r="N155" s="12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26"/>
      <c r="B156" s="126"/>
      <c r="C156" s="126"/>
      <c r="D156" s="127"/>
      <c r="E156" s="127"/>
      <c r="F156" s="127"/>
      <c r="G156" s="127"/>
      <c r="H156" s="127"/>
      <c r="I156" s="127"/>
      <c r="J156" s="126"/>
      <c r="K156" s="126"/>
      <c r="L156" s="126"/>
      <c r="M156" s="126"/>
      <c r="N156" s="12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26"/>
      <c r="B157" s="126"/>
      <c r="C157" s="126"/>
      <c r="D157" s="127"/>
      <c r="E157" s="127"/>
      <c r="F157" s="127"/>
      <c r="G157" s="127"/>
      <c r="H157" s="127"/>
      <c r="I157" s="127"/>
      <c r="J157" s="126"/>
      <c r="K157" s="126"/>
      <c r="L157" s="126"/>
      <c r="M157" s="126"/>
      <c r="N157" s="12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26"/>
      <c r="B158" s="126"/>
      <c r="C158" s="126"/>
      <c r="D158" s="127"/>
      <c r="E158" s="127"/>
      <c r="F158" s="127"/>
      <c r="G158" s="127"/>
      <c r="H158" s="127"/>
      <c r="I158" s="127"/>
      <c r="J158" s="126"/>
      <c r="K158" s="126"/>
      <c r="L158" s="126"/>
      <c r="M158" s="126"/>
      <c r="N158" s="12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26"/>
      <c r="B159" s="126"/>
      <c r="C159" s="126"/>
      <c r="D159" s="127"/>
      <c r="E159" s="127"/>
      <c r="F159" s="127"/>
      <c r="G159" s="127"/>
      <c r="H159" s="127"/>
      <c r="I159" s="127"/>
      <c r="J159" s="126"/>
      <c r="K159" s="126"/>
      <c r="L159" s="126"/>
      <c r="M159" s="126"/>
      <c r="N159" s="12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26"/>
      <c r="B160" s="126"/>
      <c r="C160" s="126"/>
      <c r="D160" s="127"/>
      <c r="E160" s="127"/>
      <c r="F160" s="127"/>
      <c r="G160" s="127"/>
      <c r="H160" s="127"/>
      <c r="I160" s="127"/>
      <c r="J160" s="126"/>
      <c r="K160" s="126"/>
      <c r="L160" s="126"/>
      <c r="M160" s="126"/>
      <c r="N160" s="1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26"/>
      <c r="B161" s="126"/>
      <c r="C161" s="126"/>
      <c r="D161" s="127"/>
      <c r="E161" s="127"/>
      <c r="F161" s="127"/>
      <c r="G161" s="127"/>
      <c r="H161" s="127"/>
      <c r="I161" s="127"/>
      <c r="J161" s="126"/>
      <c r="K161" s="126"/>
      <c r="L161" s="126"/>
      <c r="M161" s="126"/>
      <c r="N161" s="1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26"/>
      <c r="B162" s="126"/>
      <c r="C162" s="126"/>
      <c r="D162" s="127"/>
      <c r="E162" s="127"/>
      <c r="F162" s="127"/>
      <c r="G162" s="127"/>
      <c r="H162" s="127"/>
      <c r="I162" s="127"/>
      <c r="J162" s="126"/>
      <c r="K162" s="126"/>
      <c r="L162" s="126"/>
      <c r="M162" s="126"/>
      <c r="N162" s="12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26"/>
      <c r="B163" s="126"/>
      <c r="C163" s="126"/>
      <c r="D163" s="127"/>
      <c r="E163" s="127"/>
      <c r="F163" s="127"/>
      <c r="G163" s="127"/>
      <c r="H163" s="127"/>
      <c r="I163" s="127"/>
      <c r="J163" s="126"/>
      <c r="K163" s="126"/>
      <c r="L163" s="126"/>
      <c r="M163" s="126"/>
      <c r="N163" s="12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26"/>
      <c r="B164" s="126"/>
      <c r="C164" s="126"/>
      <c r="D164" s="127"/>
      <c r="E164" s="127"/>
      <c r="F164" s="127"/>
      <c r="G164" s="127"/>
      <c r="H164" s="127"/>
      <c r="I164" s="127"/>
      <c r="J164" s="126"/>
      <c r="K164" s="126"/>
      <c r="L164" s="126"/>
      <c r="M164" s="126"/>
      <c r="N164" s="12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26"/>
      <c r="B165" s="126"/>
      <c r="C165" s="126"/>
      <c r="D165" s="127"/>
      <c r="E165" s="127"/>
      <c r="F165" s="127"/>
      <c r="G165" s="127"/>
      <c r="H165" s="127"/>
      <c r="I165" s="127"/>
      <c r="J165" s="126"/>
      <c r="K165" s="126"/>
      <c r="L165" s="126"/>
      <c r="M165" s="126"/>
      <c r="N165" s="12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26"/>
      <c r="B166" s="126"/>
      <c r="C166" s="126"/>
      <c r="D166" s="127"/>
      <c r="E166" s="127"/>
      <c r="F166" s="127"/>
      <c r="G166" s="127"/>
      <c r="H166" s="127"/>
      <c r="I166" s="127"/>
      <c r="J166" s="126"/>
      <c r="K166" s="126"/>
      <c r="L166" s="126"/>
      <c r="M166" s="126"/>
      <c r="N166" s="12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26"/>
      <c r="B167" s="126"/>
      <c r="C167" s="126"/>
      <c r="D167" s="127"/>
      <c r="E167" s="127"/>
      <c r="F167" s="127"/>
      <c r="G167" s="127"/>
      <c r="H167" s="127"/>
      <c r="I167" s="127"/>
      <c r="J167" s="126"/>
      <c r="K167" s="126"/>
      <c r="L167" s="126"/>
      <c r="M167" s="126"/>
      <c r="N167" s="12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26"/>
      <c r="B168" s="126"/>
      <c r="C168" s="126"/>
      <c r="D168" s="127"/>
      <c r="E168" s="127"/>
      <c r="F168" s="127"/>
      <c r="G168" s="127"/>
      <c r="H168" s="127"/>
      <c r="I168" s="127"/>
      <c r="J168" s="126"/>
      <c r="K168" s="126"/>
      <c r="L168" s="126"/>
      <c r="M168" s="126"/>
      <c r="N168" s="12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26"/>
      <c r="B169" s="126"/>
      <c r="C169" s="126"/>
      <c r="D169" s="127"/>
      <c r="E169" s="127"/>
      <c r="F169" s="127"/>
      <c r="G169" s="127"/>
      <c r="H169" s="127"/>
      <c r="I169" s="127"/>
      <c r="J169" s="126"/>
      <c r="K169" s="126"/>
      <c r="L169" s="126"/>
      <c r="M169" s="126"/>
      <c r="N169" s="12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26"/>
      <c r="B170" s="126"/>
      <c r="C170" s="126"/>
      <c r="D170" s="127"/>
      <c r="E170" s="127"/>
      <c r="F170" s="127"/>
      <c r="G170" s="127"/>
      <c r="H170" s="127"/>
      <c r="I170" s="127"/>
      <c r="J170" s="126"/>
      <c r="K170" s="126"/>
      <c r="L170" s="126"/>
      <c r="M170" s="126"/>
      <c r="N170" s="12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26"/>
      <c r="B171" s="126"/>
      <c r="C171" s="126"/>
      <c r="D171" s="127"/>
      <c r="E171" s="127"/>
      <c r="F171" s="127"/>
      <c r="G171" s="127"/>
      <c r="H171" s="127"/>
      <c r="I171" s="127"/>
      <c r="J171" s="126"/>
      <c r="K171" s="126"/>
      <c r="L171" s="126"/>
      <c r="M171" s="126"/>
      <c r="N171" s="12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26"/>
      <c r="B172" s="126"/>
      <c r="C172" s="126"/>
      <c r="D172" s="127"/>
      <c r="E172" s="127"/>
      <c r="F172" s="127"/>
      <c r="G172" s="127"/>
      <c r="H172" s="127"/>
      <c r="I172" s="127"/>
      <c r="J172" s="126"/>
      <c r="K172" s="126"/>
      <c r="L172" s="126"/>
      <c r="M172" s="126"/>
      <c r="N172" s="12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26"/>
      <c r="B173" s="126"/>
      <c r="C173" s="126"/>
      <c r="D173" s="127"/>
      <c r="E173" s="127"/>
      <c r="F173" s="127"/>
      <c r="G173" s="127"/>
      <c r="H173" s="127"/>
      <c r="I173" s="127"/>
      <c r="J173" s="126"/>
      <c r="K173" s="126"/>
      <c r="L173" s="126"/>
      <c r="M173" s="126"/>
      <c r="N173" s="12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26"/>
      <c r="B174" s="126"/>
      <c r="C174" s="126"/>
      <c r="D174" s="127"/>
      <c r="E174" s="127"/>
      <c r="F174" s="127"/>
      <c r="G174" s="127"/>
      <c r="H174" s="127"/>
      <c r="I174" s="127"/>
      <c r="J174" s="126"/>
      <c r="K174" s="126"/>
      <c r="L174" s="126"/>
      <c r="M174" s="126"/>
      <c r="N174" s="12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26"/>
      <c r="B175" s="126"/>
      <c r="C175" s="126"/>
      <c r="D175" s="127"/>
      <c r="E175" s="127"/>
      <c r="F175" s="127"/>
      <c r="G175" s="127"/>
      <c r="H175" s="127"/>
      <c r="I175" s="127"/>
      <c r="J175" s="126"/>
      <c r="K175" s="126"/>
      <c r="L175" s="126"/>
      <c r="M175" s="126"/>
      <c r="N175" s="12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26"/>
      <c r="B176" s="126"/>
      <c r="C176" s="126"/>
      <c r="D176" s="127"/>
      <c r="E176" s="127"/>
      <c r="F176" s="127"/>
      <c r="G176" s="127"/>
      <c r="H176" s="127"/>
      <c r="I176" s="127"/>
      <c r="J176" s="126"/>
      <c r="K176" s="126"/>
      <c r="L176" s="126"/>
      <c r="M176" s="126"/>
      <c r="N176" s="12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26"/>
      <c r="B177" s="126"/>
      <c r="C177" s="126"/>
      <c r="D177" s="127"/>
      <c r="E177" s="127"/>
      <c r="F177" s="127"/>
      <c r="G177" s="127"/>
      <c r="H177" s="127"/>
      <c r="I177" s="127"/>
      <c r="J177" s="126"/>
      <c r="K177" s="126"/>
      <c r="L177" s="126"/>
      <c r="M177" s="126"/>
      <c r="N177" s="12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26"/>
      <c r="B178" s="126"/>
      <c r="C178" s="126"/>
      <c r="D178" s="127"/>
      <c r="E178" s="127"/>
      <c r="F178" s="127"/>
      <c r="G178" s="127"/>
      <c r="H178" s="127"/>
      <c r="I178" s="127"/>
      <c r="J178" s="126"/>
      <c r="K178" s="126"/>
      <c r="L178" s="126"/>
      <c r="M178" s="126"/>
      <c r="N178" s="12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26"/>
      <c r="B179" s="126"/>
      <c r="C179" s="126"/>
      <c r="D179" s="127"/>
      <c r="E179" s="127"/>
      <c r="F179" s="127"/>
      <c r="G179" s="127"/>
      <c r="H179" s="127"/>
      <c r="I179" s="127"/>
      <c r="J179" s="126"/>
      <c r="K179" s="126"/>
      <c r="L179" s="126"/>
      <c r="M179" s="126"/>
      <c r="N179" s="12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26"/>
      <c r="B180" s="126"/>
      <c r="C180" s="126"/>
      <c r="D180" s="127"/>
      <c r="E180" s="127"/>
      <c r="F180" s="127"/>
      <c r="G180" s="127"/>
      <c r="H180" s="127"/>
      <c r="I180" s="127"/>
      <c r="J180" s="126"/>
      <c r="K180" s="126"/>
      <c r="L180" s="126"/>
      <c r="M180" s="126"/>
      <c r="N180" s="12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26"/>
      <c r="B181" s="126"/>
      <c r="C181" s="126"/>
      <c r="D181" s="127"/>
      <c r="E181" s="127"/>
      <c r="F181" s="127"/>
      <c r="G181" s="127"/>
      <c r="H181" s="127"/>
      <c r="I181" s="127"/>
      <c r="J181" s="126"/>
      <c r="K181" s="126"/>
      <c r="L181" s="126"/>
      <c r="M181" s="126"/>
      <c r="N181" s="12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26"/>
      <c r="B182" s="126"/>
      <c r="C182" s="126"/>
      <c r="D182" s="127"/>
      <c r="E182" s="127"/>
      <c r="F182" s="127"/>
      <c r="G182" s="127"/>
      <c r="H182" s="127"/>
      <c r="I182" s="127"/>
      <c r="J182" s="126"/>
      <c r="K182" s="126"/>
      <c r="L182" s="126"/>
      <c r="M182" s="126"/>
      <c r="N182" s="12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26"/>
      <c r="B183" s="126"/>
      <c r="C183" s="126"/>
      <c r="D183" s="127"/>
      <c r="E183" s="127"/>
      <c r="F183" s="127"/>
      <c r="G183" s="127"/>
      <c r="H183" s="127"/>
      <c r="I183" s="127"/>
      <c r="J183" s="126"/>
      <c r="K183" s="126"/>
      <c r="L183" s="126"/>
      <c r="M183" s="126"/>
      <c r="N183" s="12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26"/>
      <c r="B184" s="126"/>
      <c r="C184" s="126"/>
      <c r="D184" s="127"/>
      <c r="E184" s="127"/>
      <c r="F184" s="127"/>
      <c r="G184" s="127"/>
      <c r="H184" s="127"/>
      <c r="I184" s="127"/>
      <c r="J184" s="126"/>
      <c r="K184" s="126"/>
      <c r="L184" s="126"/>
      <c r="M184" s="126"/>
      <c r="N184" s="12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26"/>
      <c r="B185" s="126"/>
      <c r="C185" s="126"/>
      <c r="D185" s="127"/>
      <c r="E185" s="127"/>
      <c r="F185" s="127"/>
      <c r="G185" s="127"/>
      <c r="H185" s="127"/>
      <c r="I185" s="127"/>
      <c r="J185" s="126"/>
      <c r="K185" s="126"/>
      <c r="L185" s="126"/>
      <c r="M185" s="126"/>
      <c r="N185" s="12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26"/>
      <c r="B186" s="126"/>
      <c r="C186" s="126"/>
      <c r="D186" s="127"/>
      <c r="E186" s="127"/>
      <c r="F186" s="127"/>
      <c r="G186" s="127"/>
      <c r="H186" s="127"/>
      <c r="I186" s="127"/>
      <c r="J186" s="126"/>
      <c r="K186" s="126"/>
      <c r="L186" s="126"/>
      <c r="M186" s="126"/>
      <c r="N186" s="12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26"/>
      <c r="B187" s="126"/>
      <c r="C187" s="126"/>
      <c r="D187" s="127"/>
      <c r="E187" s="127"/>
      <c r="F187" s="127"/>
      <c r="G187" s="127"/>
      <c r="H187" s="127"/>
      <c r="I187" s="127"/>
      <c r="J187" s="126"/>
      <c r="K187" s="126"/>
      <c r="L187" s="126"/>
      <c r="M187" s="126"/>
      <c r="N187" s="12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26"/>
      <c r="B188" s="126"/>
      <c r="C188" s="126"/>
      <c r="D188" s="127"/>
      <c r="E188" s="127"/>
      <c r="F188" s="127"/>
      <c r="G188" s="127"/>
      <c r="H188" s="127"/>
      <c r="I188" s="127"/>
      <c r="J188" s="126"/>
      <c r="K188" s="126"/>
      <c r="L188" s="126"/>
      <c r="M188" s="126"/>
      <c r="N188" s="12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26"/>
      <c r="B189" s="126"/>
      <c r="C189" s="126"/>
      <c r="D189" s="127"/>
      <c r="E189" s="127"/>
      <c r="F189" s="127"/>
      <c r="G189" s="127"/>
      <c r="H189" s="127"/>
      <c r="I189" s="127"/>
      <c r="J189" s="126"/>
      <c r="K189" s="126"/>
      <c r="L189" s="126"/>
      <c r="M189" s="126"/>
      <c r="N189" s="12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26"/>
      <c r="B190" s="126"/>
      <c r="C190" s="126"/>
      <c r="D190" s="127"/>
      <c r="E190" s="127"/>
      <c r="F190" s="127"/>
      <c r="G190" s="127"/>
      <c r="H190" s="127"/>
      <c r="I190" s="127"/>
      <c r="J190" s="126"/>
      <c r="K190" s="126"/>
      <c r="L190" s="126"/>
      <c r="M190" s="126"/>
      <c r="N190" s="12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26"/>
      <c r="B191" s="126"/>
      <c r="C191" s="126"/>
      <c r="D191" s="127"/>
      <c r="E191" s="127"/>
      <c r="F191" s="127"/>
      <c r="G191" s="127"/>
      <c r="H191" s="127"/>
      <c r="I191" s="127"/>
      <c r="J191" s="126"/>
      <c r="K191" s="126"/>
      <c r="L191" s="126"/>
      <c r="M191" s="126"/>
      <c r="N191" s="12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26"/>
      <c r="B192" s="126"/>
      <c r="C192" s="126"/>
      <c r="D192" s="127"/>
      <c r="E192" s="127"/>
      <c r="F192" s="127"/>
      <c r="G192" s="127"/>
      <c r="H192" s="127"/>
      <c r="I192" s="127"/>
      <c r="J192" s="126"/>
      <c r="K192" s="126"/>
      <c r="L192" s="126"/>
      <c r="M192" s="126"/>
      <c r="N192" s="12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26"/>
      <c r="B193" s="126"/>
      <c r="C193" s="126"/>
      <c r="D193" s="127"/>
      <c r="E193" s="127"/>
      <c r="F193" s="127"/>
      <c r="G193" s="127"/>
      <c r="H193" s="127"/>
      <c r="I193" s="127"/>
      <c r="J193" s="126"/>
      <c r="K193" s="126"/>
      <c r="L193" s="126"/>
      <c r="M193" s="126"/>
      <c r="N193" s="12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26"/>
      <c r="B194" s="126"/>
      <c r="C194" s="126"/>
      <c r="D194" s="127"/>
      <c r="E194" s="127"/>
      <c r="F194" s="127"/>
      <c r="G194" s="127"/>
      <c r="H194" s="127"/>
      <c r="I194" s="127"/>
      <c r="J194" s="126"/>
      <c r="K194" s="126"/>
      <c r="L194" s="126"/>
      <c r="M194" s="126"/>
      <c r="N194" s="12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26"/>
      <c r="B195" s="126"/>
      <c r="C195" s="126"/>
      <c r="D195" s="127"/>
      <c r="E195" s="127"/>
      <c r="F195" s="127"/>
      <c r="G195" s="127"/>
      <c r="H195" s="127"/>
      <c r="I195" s="127"/>
      <c r="J195" s="126"/>
      <c r="K195" s="126"/>
      <c r="L195" s="126"/>
      <c r="M195" s="126"/>
      <c r="N195" s="12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26"/>
      <c r="B196" s="126"/>
      <c r="C196" s="126"/>
      <c r="D196" s="127"/>
      <c r="E196" s="127"/>
      <c r="F196" s="127"/>
      <c r="G196" s="127"/>
      <c r="H196" s="127"/>
      <c r="I196" s="127"/>
      <c r="J196" s="126"/>
      <c r="K196" s="126"/>
      <c r="L196" s="126"/>
      <c r="M196" s="126"/>
      <c r="N196" s="12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26"/>
      <c r="B197" s="126"/>
      <c r="C197" s="126"/>
      <c r="D197" s="127"/>
      <c r="E197" s="127"/>
      <c r="F197" s="127"/>
      <c r="G197" s="127"/>
      <c r="H197" s="127"/>
      <c r="I197" s="127"/>
      <c r="J197" s="126"/>
      <c r="K197" s="126"/>
      <c r="L197" s="126"/>
      <c r="M197" s="126"/>
      <c r="N197" s="12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26"/>
      <c r="B198" s="126"/>
      <c r="C198" s="126"/>
      <c r="D198" s="127"/>
      <c r="E198" s="127"/>
      <c r="F198" s="127"/>
      <c r="G198" s="127"/>
      <c r="H198" s="127"/>
      <c r="I198" s="127"/>
      <c r="J198" s="126"/>
      <c r="K198" s="126"/>
      <c r="L198" s="126"/>
      <c r="M198" s="126"/>
      <c r="N198" s="12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26"/>
      <c r="B199" s="126"/>
      <c r="C199" s="126"/>
      <c r="D199" s="127"/>
      <c r="E199" s="127"/>
      <c r="F199" s="127"/>
      <c r="G199" s="127"/>
      <c r="H199" s="127"/>
      <c r="I199" s="127"/>
      <c r="J199" s="126"/>
      <c r="K199" s="126"/>
      <c r="L199" s="126"/>
      <c r="M199" s="126"/>
      <c r="N199" s="12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26"/>
      <c r="B200" s="126"/>
      <c r="C200" s="126"/>
      <c r="D200" s="127"/>
      <c r="E200" s="127"/>
      <c r="F200" s="127"/>
      <c r="G200" s="127"/>
      <c r="H200" s="127"/>
      <c r="I200" s="127"/>
      <c r="J200" s="126"/>
      <c r="K200" s="126"/>
      <c r="L200" s="126"/>
      <c r="M200" s="126"/>
      <c r="N200" s="12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26"/>
      <c r="B201" s="126"/>
      <c r="C201" s="126"/>
      <c r="D201" s="127"/>
      <c r="E201" s="127"/>
      <c r="F201" s="127"/>
      <c r="G201" s="127"/>
      <c r="H201" s="127"/>
      <c r="I201" s="127"/>
      <c r="J201" s="126"/>
      <c r="K201" s="126"/>
      <c r="L201" s="126"/>
      <c r="M201" s="126"/>
      <c r="N201" s="12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26"/>
      <c r="B202" s="126"/>
      <c r="C202" s="126"/>
      <c r="D202" s="127"/>
      <c r="E202" s="127"/>
      <c r="F202" s="127"/>
      <c r="G202" s="127"/>
      <c r="H202" s="127"/>
      <c r="I202" s="127"/>
      <c r="J202" s="126"/>
      <c r="K202" s="126"/>
      <c r="L202" s="126"/>
      <c r="M202" s="126"/>
      <c r="N202" s="12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26"/>
      <c r="B203" s="126"/>
      <c r="C203" s="126"/>
      <c r="D203" s="127"/>
      <c r="E203" s="127"/>
      <c r="F203" s="127"/>
      <c r="G203" s="127"/>
      <c r="H203" s="127"/>
      <c r="I203" s="127"/>
      <c r="J203" s="126"/>
      <c r="K203" s="126"/>
      <c r="L203" s="126"/>
      <c r="M203" s="126"/>
      <c r="N203" s="12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26"/>
      <c r="B204" s="126"/>
      <c r="C204" s="126"/>
      <c r="D204" s="127"/>
      <c r="E204" s="127"/>
      <c r="F204" s="127"/>
      <c r="G204" s="127"/>
      <c r="H204" s="127"/>
      <c r="I204" s="127"/>
      <c r="J204" s="126"/>
      <c r="K204" s="126"/>
      <c r="L204" s="126"/>
      <c r="M204" s="126"/>
      <c r="N204" s="12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26"/>
      <c r="B205" s="126"/>
      <c r="C205" s="126"/>
      <c r="D205" s="127"/>
      <c r="E205" s="127"/>
      <c r="F205" s="127"/>
      <c r="G205" s="127"/>
      <c r="H205" s="127"/>
      <c r="I205" s="127"/>
      <c r="J205" s="126"/>
      <c r="K205" s="126"/>
      <c r="L205" s="126"/>
      <c r="M205" s="126"/>
      <c r="N205" s="12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26"/>
      <c r="B206" s="126"/>
      <c r="C206" s="126"/>
      <c r="D206" s="127"/>
      <c r="E206" s="127"/>
      <c r="F206" s="127"/>
      <c r="G206" s="127"/>
      <c r="H206" s="127"/>
      <c r="I206" s="127"/>
      <c r="J206" s="126"/>
      <c r="K206" s="126"/>
      <c r="L206" s="126"/>
      <c r="M206" s="126"/>
      <c r="N206" s="12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26"/>
      <c r="B207" s="126"/>
      <c r="C207" s="126"/>
      <c r="D207" s="127"/>
      <c r="E207" s="127"/>
      <c r="F207" s="127"/>
      <c r="G207" s="127"/>
      <c r="H207" s="127"/>
      <c r="I207" s="127"/>
      <c r="J207" s="126"/>
      <c r="K207" s="126"/>
      <c r="L207" s="126"/>
      <c r="M207" s="126"/>
      <c r="N207" s="12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26"/>
      <c r="B208" s="126"/>
      <c r="C208" s="126"/>
      <c r="D208" s="127"/>
      <c r="E208" s="127"/>
      <c r="F208" s="127"/>
      <c r="G208" s="127"/>
      <c r="H208" s="127"/>
      <c r="I208" s="127"/>
      <c r="J208" s="126"/>
      <c r="K208" s="126"/>
      <c r="L208" s="126"/>
      <c r="M208" s="126"/>
      <c r="N208" s="12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26"/>
      <c r="B209" s="126"/>
      <c r="C209" s="126"/>
      <c r="D209" s="127"/>
      <c r="E209" s="127"/>
      <c r="F209" s="127"/>
      <c r="G209" s="127"/>
      <c r="H209" s="127"/>
      <c r="I209" s="127"/>
      <c r="J209" s="126"/>
      <c r="K209" s="126"/>
      <c r="L209" s="126"/>
      <c r="M209" s="126"/>
      <c r="N209" s="12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26"/>
      <c r="B210" s="126"/>
      <c r="C210" s="126"/>
      <c r="D210" s="127"/>
      <c r="E210" s="127"/>
      <c r="F210" s="127"/>
      <c r="G210" s="127"/>
      <c r="H210" s="127"/>
      <c r="I210" s="127"/>
      <c r="J210" s="126"/>
      <c r="K210" s="126"/>
      <c r="L210" s="126"/>
      <c r="M210" s="126"/>
      <c r="N210" s="12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26"/>
      <c r="B211" s="126"/>
      <c r="C211" s="126"/>
      <c r="D211" s="127"/>
      <c r="E211" s="127"/>
      <c r="F211" s="127"/>
      <c r="G211" s="127"/>
      <c r="H211" s="127"/>
      <c r="I211" s="127"/>
      <c r="J211" s="126"/>
      <c r="K211" s="126"/>
      <c r="L211" s="126"/>
      <c r="M211" s="126"/>
      <c r="N211" s="12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26"/>
      <c r="B212" s="126"/>
      <c r="C212" s="126"/>
      <c r="D212" s="127"/>
      <c r="E212" s="127"/>
      <c r="F212" s="127"/>
      <c r="G212" s="127"/>
      <c r="H212" s="127"/>
      <c r="I212" s="127"/>
      <c r="J212" s="126"/>
      <c r="K212" s="126"/>
      <c r="L212" s="126"/>
      <c r="M212" s="126"/>
      <c r="N212" s="12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26"/>
      <c r="B213" s="126"/>
      <c r="C213" s="126"/>
      <c r="D213" s="127"/>
      <c r="E213" s="127"/>
      <c r="F213" s="127"/>
      <c r="G213" s="127"/>
      <c r="H213" s="127"/>
      <c r="I213" s="127"/>
      <c r="J213" s="126"/>
      <c r="K213" s="126"/>
      <c r="L213" s="126"/>
      <c r="M213" s="126"/>
      <c r="N213" s="12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26"/>
      <c r="B214" s="126"/>
      <c r="C214" s="126"/>
      <c r="D214" s="127"/>
      <c r="E214" s="127"/>
      <c r="F214" s="127"/>
      <c r="G214" s="127"/>
      <c r="H214" s="127"/>
      <c r="I214" s="127"/>
      <c r="J214" s="126"/>
      <c r="K214" s="126"/>
      <c r="L214" s="126"/>
      <c r="M214" s="126"/>
      <c r="N214" s="12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26"/>
      <c r="B215" s="126"/>
      <c r="C215" s="126"/>
      <c r="D215" s="127"/>
      <c r="E215" s="127"/>
      <c r="F215" s="127"/>
      <c r="G215" s="127"/>
      <c r="H215" s="127"/>
      <c r="I215" s="127"/>
      <c r="J215" s="126"/>
      <c r="K215" s="126"/>
      <c r="L215" s="126"/>
      <c r="M215" s="126"/>
      <c r="N215" s="12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26"/>
      <c r="B216" s="126"/>
      <c r="C216" s="126"/>
      <c r="D216" s="127"/>
      <c r="E216" s="127"/>
      <c r="F216" s="127"/>
      <c r="G216" s="127"/>
      <c r="H216" s="127"/>
      <c r="I216" s="127"/>
      <c r="J216" s="126"/>
      <c r="K216" s="126"/>
      <c r="L216" s="126"/>
      <c r="M216" s="126"/>
      <c r="N216" s="12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26"/>
      <c r="B217" s="126"/>
      <c r="C217" s="126"/>
      <c r="D217" s="127"/>
      <c r="E217" s="127"/>
      <c r="F217" s="127"/>
      <c r="G217" s="127"/>
      <c r="H217" s="127"/>
      <c r="I217" s="127"/>
      <c r="J217" s="126"/>
      <c r="K217" s="126"/>
      <c r="L217" s="126"/>
      <c r="M217" s="126"/>
      <c r="N217" s="12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26"/>
      <c r="B218" s="126"/>
      <c r="C218" s="126"/>
      <c r="D218" s="127"/>
      <c r="E218" s="127"/>
      <c r="F218" s="127"/>
      <c r="G218" s="127"/>
      <c r="H218" s="127"/>
      <c r="I218" s="127"/>
      <c r="J218" s="126"/>
      <c r="K218" s="126"/>
      <c r="L218" s="126"/>
      <c r="M218" s="126"/>
      <c r="N218" s="12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26"/>
      <c r="B219" s="126"/>
      <c r="C219" s="126"/>
      <c r="D219" s="127"/>
      <c r="E219" s="127"/>
      <c r="F219" s="127"/>
      <c r="G219" s="127"/>
      <c r="H219" s="127"/>
      <c r="I219" s="127"/>
      <c r="J219" s="126"/>
      <c r="K219" s="126"/>
      <c r="L219" s="126"/>
      <c r="M219" s="126"/>
      <c r="N219" s="12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26"/>
      <c r="B220" s="126"/>
      <c r="C220" s="126"/>
      <c r="D220" s="127"/>
      <c r="E220" s="127"/>
      <c r="F220" s="127"/>
      <c r="G220" s="127"/>
      <c r="H220" s="127"/>
      <c r="I220" s="127"/>
      <c r="J220" s="126"/>
      <c r="K220" s="126"/>
      <c r="L220" s="126"/>
      <c r="M220" s="126"/>
      <c r="N220" s="12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26"/>
      <c r="B221" s="126"/>
      <c r="C221" s="126"/>
      <c r="D221" s="127"/>
      <c r="E221" s="127"/>
      <c r="F221" s="127"/>
      <c r="G221" s="127"/>
      <c r="H221" s="127"/>
      <c r="I221" s="127"/>
      <c r="J221" s="126"/>
      <c r="K221" s="126"/>
      <c r="L221" s="126"/>
      <c r="M221" s="126"/>
      <c r="N221" s="12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26"/>
      <c r="B222" s="126"/>
      <c r="C222" s="126"/>
      <c r="D222" s="127"/>
      <c r="E222" s="127"/>
      <c r="F222" s="127"/>
      <c r="G222" s="127"/>
      <c r="H222" s="127"/>
      <c r="I222" s="127"/>
      <c r="J222" s="126"/>
      <c r="K222" s="126"/>
      <c r="L222" s="126"/>
      <c r="M222" s="126"/>
      <c r="N222" s="12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26"/>
      <c r="B223" s="126"/>
      <c r="C223" s="126"/>
      <c r="D223" s="127"/>
      <c r="E223" s="127"/>
      <c r="F223" s="127"/>
      <c r="G223" s="127"/>
      <c r="H223" s="127"/>
      <c r="I223" s="127"/>
      <c r="J223" s="126"/>
      <c r="K223" s="126"/>
      <c r="L223" s="126"/>
      <c r="M223" s="126"/>
      <c r="N223" s="12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26"/>
      <c r="B224" s="126"/>
      <c r="C224" s="126"/>
      <c r="D224" s="127"/>
      <c r="E224" s="127"/>
      <c r="F224" s="127"/>
      <c r="G224" s="127"/>
      <c r="H224" s="127"/>
      <c r="I224" s="127"/>
      <c r="J224" s="126"/>
      <c r="K224" s="126"/>
      <c r="L224" s="126"/>
      <c r="M224" s="126"/>
      <c r="N224" s="12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26"/>
      <c r="B225" s="126"/>
      <c r="C225" s="126"/>
      <c r="D225" s="127"/>
      <c r="E225" s="127"/>
      <c r="F225" s="127"/>
      <c r="G225" s="127"/>
      <c r="H225" s="127"/>
      <c r="I225" s="127"/>
      <c r="J225" s="126"/>
      <c r="K225" s="126"/>
      <c r="L225" s="126"/>
      <c r="M225" s="126"/>
      <c r="N225" s="12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26"/>
      <c r="B226" s="126"/>
      <c r="C226" s="126"/>
      <c r="D226" s="127"/>
      <c r="E226" s="127"/>
      <c r="F226" s="127"/>
      <c r="G226" s="127"/>
      <c r="H226" s="127"/>
      <c r="I226" s="127"/>
      <c r="J226" s="126"/>
      <c r="K226" s="126"/>
      <c r="L226" s="126"/>
      <c r="M226" s="126"/>
      <c r="N226" s="12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26"/>
      <c r="B227" s="126"/>
      <c r="C227" s="126"/>
      <c r="D227" s="127"/>
      <c r="E227" s="127"/>
      <c r="F227" s="127"/>
      <c r="G227" s="127"/>
      <c r="H227" s="127"/>
      <c r="I227" s="127"/>
      <c r="J227" s="126"/>
      <c r="K227" s="126"/>
      <c r="L227" s="126"/>
      <c r="M227" s="126"/>
      <c r="N227" s="12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26"/>
      <c r="B228" s="126"/>
      <c r="C228" s="126"/>
      <c r="D228" s="127"/>
      <c r="E228" s="127"/>
      <c r="F228" s="127"/>
      <c r="G228" s="127"/>
      <c r="H228" s="127"/>
      <c r="I228" s="127"/>
      <c r="J228" s="126"/>
      <c r="K228" s="126"/>
      <c r="L228" s="126"/>
      <c r="M228" s="126"/>
      <c r="N228" s="12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26"/>
      <c r="B229" s="126"/>
      <c r="C229" s="126"/>
      <c r="D229" s="127"/>
      <c r="E229" s="127"/>
      <c r="F229" s="127"/>
      <c r="G229" s="127"/>
      <c r="H229" s="127"/>
      <c r="I229" s="127"/>
      <c r="J229" s="126"/>
      <c r="K229" s="126"/>
      <c r="L229" s="126"/>
      <c r="M229" s="126"/>
      <c r="N229" s="12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26"/>
      <c r="B230" s="126"/>
      <c r="C230" s="126"/>
      <c r="D230" s="127"/>
      <c r="E230" s="127"/>
      <c r="F230" s="127"/>
      <c r="G230" s="127"/>
      <c r="H230" s="127"/>
      <c r="I230" s="127"/>
      <c r="J230" s="126"/>
      <c r="K230" s="126"/>
      <c r="L230" s="126"/>
      <c r="M230" s="126"/>
      <c r="N230" s="12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26"/>
      <c r="B231" s="126"/>
      <c r="C231" s="126"/>
      <c r="D231" s="127"/>
      <c r="E231" s="127"/>
      <c r="F231" s="127"/>
      <c r="G231" s="127"/>
      <c r="H231" s="127"/>
      <c r="I231" s="127"/>
      <c r="J231" s="126"/>
      <c r="K231" s="126"/>
      <c r="L231" s="126"/>
      <c r="M231" s="126"/>
      <c r="N231" s="12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26"/>
      <c r="B232" s="126"/>
      <c r="C232" s="126"/>
      <c r="D232" s="127"/>
      <c r="E232" s="127"/>
      <c r="F232" s="127"/>
      <c r="G232" s="127"/>
      <c r="H232" s="127"/>
      <c r="I232" s="127"/>
      <c r="J232" s="126"/>
      <c r="K232" s="126"/>
      <c r="L232" s="126"/>
      <c r="M232" s="126"/>
      <c r="N232" s="12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26"/>
      <c r="B233" s="126"/>
      <c r="C233" s="126"/>
      <c r="D233" s="127"/>
      <c r="E233" s="127"/>
      <c r="F233" s="127"/>
      <c r="G233" s="127"/>
      <c r="H233" s="127"/>
      <c r="I233" s="127"/>
      <c r="J233" s="126"/>
      <c r="K233" s="126"/>
      <c r="L233" s="126"/>
      <c r="M233" s="126"/>
      <c r="N233" s="12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26"/>
      <c r="B234" s="126"/>
      <c r="C234" s="126"/>
      <c r="D234" s="127"/>
      <c r="E234" s="127"/>
      <c r="F234" s="127"/>
      <c r="G234" s="127"/>
      <c r="H234" s="127"/>
      <c r="I234" s="127"/>
      <c r="J234" s="126"/>
      <c r="K234" s="126"/>
      <c r="L234" s="126"/>
      <c r="M234" s="126"/>
      <c r="N234" s="12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26"/>
      <c r="B235" s="126"/>
      <c r="C235" s="126"/>
      <c r="D235" s="127"/>
      <c r="E235" s="127"/>
      <c r="F235" s="127"/>
      <c r="G235" s="127"/>
      <c r="H235" s="127"/>
      <c r="I235" s="127"/>
      <c r="J235" s="126"/>
      <c r="K235" s="126"/>
      <c r="L235" s="126"/>
      <c r="M235" s="126"/>
      <c r="N235" s="12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26"/>
      <c r="B236" s="126"/>
      <c r="C236" s="126"/>
      <c r="D236" s="127"/>
      <c r="E236" s="127"/>
      <c r="F236" s="127"/>
      <c r="G236" s="127"/>
      <c r="H236" s="127"/>
      <c r="I236" s="127"/>
      <c r="J236" s="126"/>
      <c r="K236" s="126"/>
      <c r="L236" s="126"/>
      <c r="M236" s="126"/>
      <c r="N236" s="12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26"/>
      <c r="B237" s="126"/>
      <c r="C237" s="126"/>
      <c r="D237" s="127"/>
      <c r="E237" s="127"/>
      <c r="F237" s="127"/>
      <c r="G237" s="127"/>
      <c r="H237" s="127"/>
      <c r="I237" s="127"/>
      <c r="J237" s="126"/>
      <c r="K237" s="126"/>
      <c r="L237" s="126"/>
      <c r="M237" s="126"/>
      <c r="N237" s="12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26"/>
      <c r="B238" s="126"/>
      <c r="C238" s="126"/>
      <c r="D238" s="127"/>
      <c r="E238" s="127"/>
      <c r="F238" s="127"/>
      <c r="G238" s="127"/>
      <c r="H238" s="127"/>
      <c r="I238" s="127"/>
      <c r="J238" s="126"/>
      <c r="K238" s="126"/>
      <c r="L238" s="126"/>
      <c r="M238" s="126"/>
      <c r="N238" s="12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26"/>
      <c r="B239" s="126"/>
      <c r="C239" s="126"/>
      <c r="D239" s="127"/>
      <c r="E239" s="127"/>
      <c r="F239" s="127"/>
      <c r="G239" s="127"/>
      <c r="H239" s="127"/>
      <c r="I239" s="127"/>
      <c r="J239" s="126"/>
      <c r="K239" s="126"/>
      <c r="L239" s="126"/>
      <c r="M239" s="126"/>
      <c r="N239" s="12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26"/>
      <c r="B240" s="126"/>
      <c r="C240" s="126"/>
      <c r="D240" s="127"/>
      <c r="E240" s="127"/>
      <c r="F240" s="127"/>
      <c r="G240" s="127"/>
      <c r="H240" s="127"/>
      <c r="I240" s="127"/>
      <c r="J240" s="126"/>
      <c r="K240" s="126"/>
      <c r="L240" s="126"/>
      <c r="M240" s="126"/>
      <c r="N240" s="12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26"/>
      <c r="B241" s="126"/>
      <c r="C241" s="126"/>
      <c r="D241" s="127"/>
      <c r="E241" s="127"/>
      <c r="F241" s="127"/>
      <c r="G241" s="127"/>
      <c r="H241" s="127"/>
      <c r="I241" s="127"/>
      <c r="J241" s="126"/>
      <c r="K241" s="126"/>
      <c r="L241" s="126"/>
      <c r="M241" s="126"/>
      <c r="N241" s="12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26"/>
      <c r="B242" s="126"/>
      <c r="C242" s="126"/>
      <c r="D242" s="127"/>
      <c r="E242" s="127"/>
      <c r="F242" s="127"/>
      <c r="G242" s="127"/>
      <c r="H242" s="127"/>
      <c r="I242" s="127"/>
      <c r="J242" s="126"/>
      <c r="K242" s="126"/>
      <c r="L242" s="126"/>
      <c r="M242" s="126"/>
      <c r="N242" s="12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26"/>
      <c r="B243" s="126"/>
      <c r="C243" s="126"/>
      <c r="D243" s="127"/>
      <c r="E243" s="127"/>
      <c r="F243" s="127"/>
      <c r="G243" s="127"/>
      <c r="H243" s="127"/>
      <c r="I243" s="127"/>
      <c r="J243" s="126"/>
      <c r="K243" s="126"/>
      <c r="L243" s="126"/>
      <c r="M243" s="126"/>
      <c r="N243" s="12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26"/>
      <c r="B244" s="126"/>
      <c r="C244" s="126"/>
      <c r="D244" s="127"/>
      <c r="E244" s="127"/>
      <c r="F244" s="127"/>
      <c r="G244" s="127"/>
      <c r="H244" s="127"/>
      <c r="I244" s="127"/>
      <c r="J244" s="126"/>
      <c r="K244" s="126"/>
      <c r="L244" s="126"/>
      <c r="M244" s="126"/>
      <c r="N244" s="12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26"/>
      <c r="B245" s="126"/>
      <c r="C245" s="126"/>
      <c r="D245" s="127"/>
      <c r="E245" s="127"/>
      <c r="F245" s="127"/>
      <c r="G245" s="127"/>
      <c r="H245" s="127"/>
      <c r="I245" s="127"/>
      <c r="J245" s="126"/>
      <c r="K245" s="126"/>
      <c r="L245" s="126"/>
      <c r="M245" s="126"/>
      <c r="N245" s="12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26"/>
      <c r="B246" s="126"/>
      <c r="C246" s="126"/>
      <c r="D246" s="127"/>
      <c r="E246" s="127"/>
      <c r="F246" s="127"/>
      <c r="G246" s="127"/>
      <c r="H246" s="127"/>
      <c r="I246" s="127"/>
      <c r="J246" s="126"/>
      <c r="K246" s="126"/>
      <c r="L246" s="126"/>
      <c r="M246" s="126"/>
      <c r="N246" s="12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26"/>
      <c r="B247" s="126"/>
      <c r="C247" s="126"/>
      <c r="D247" s="127"/>
      <c r="E247" s="127"/>
      <c r="F247" s="127"/>
      <c r="G247" s="127"/>
      <c r="H247" s="127"/>
      <c r="I247" s="127"/>
      <c r="J247" s="126"/>
      <c r="K247" s="126"/>
      <c r="L247" s="126"/>
      <c r="M247" s="126"/>
      <c r="N247" s="12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26"/>
      <c r="B248" s="126"/>
      <c r="C248" s="126"/>
      <c r="D248" s="127"/>
      <c r="E248" s="127"/>
      <c r="F248" s="127"/>
      <c r="G248" s="127"/>
      <c r="H248" s="127"/>
      <c r="I248" s="127"/>
      <c r="J248" s="126"/>
      <c r="K248" s="126"/>
      <c r="L248" s="126"/>
      <c r="M248" s="126"/>
      <c r="N248" s="12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26"/>
      <c r="B249" s="126"/>
      <c r="C249" s="126"/>
      <c r="D249" s="127"/>
      <c r="E249" s="127"/>
      <c r="F249" s="127"/>
      <c r="G249" s="127"/>
      <c r="H249" s="127"/>
      <c r="I249" s="127"/>
      <c r="J249" s="126"/>
      <c r="K249" s="126"/>
      <c r="L249" s="126"/>
      <c r="M249" s="126"/>
      <c r="N249" s="12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26"/>
      <c r="B250" s="126"/>
      <c r="C250" s="126"/>
      <c r="D250" s="127"/>
      <c r="E250" s="127"/>
      <c r="F250" s="127"/>
      <c r="G250" s="127"/>
      <c r="H250" s="127"/>
      <c r="I250" s="127"/>
      <c r="J250" s="126"/>
      <c r="K250" s="126"/>
      <c r="L250" s="126"/>
      <c r="M250" s="126"/>
      <c r="N250" s="12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26"/>
      <c r="B251" s="126"/>
      <c r="C251" s="126"/>
      <c r="D251" s="127"/>
      <c r="E251" s="127"/>
      <c r="F251" s="127"/>
      <c r="G251" s="127"/>
      <c r="H251" s="127"/>
      <c r="I251" s="127"/>
      <c r="J251" s="126"/>
      <c r="K251" s="126"/>
      <c r="L251" s="126"/>
      <c r="M251" s="126"/>
      <c r="N251" s="12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26"/>
      <c r="B252" s="126"/>
      <c r="C252" s="126"/>
      <c r="D252" s="127"/>
      <c r="E252" s="127"/>
      <c r="F252" s="127"/>
      <c r="G252" s="127"/>
      <c r="H252" s="127"/>
      <c r="I252" s="127"/>
      <c r="J252" s="126"/>
      <c r="K252" s="126"/>
      <c r="L252" s="126"/>
      <c r="M252" s="126"/>
      <c r="N252" s="12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26"/>
      <c r="B253" s="126"/>
      <c r="C253" s="126"/>
      <c r="D253" s="127"/>
      <c r="E253" s="127"/>
      <c r="F253" s="127"/>
      <c r="G253" s="127"/>
      <c r="H253" s="127"/>
      <c r="I253" s="127"/>
      <c r="J253" s="126"/>
      <c r="K253" s="126"/>
      <c r="L253" s="126"/>
      <c r="M253" s="126"/>
      <c r="N253" s="12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26"/>
      <c r="B254" s="126"/>
      <c r="C254" s="126"/>
      <c r="D254" s="127"/>
      <c r="E254" s="127"/>
      <c r="F254" s="127"/>
      <c r="G254" s="127"/>
      <c r="H254" s="127"/>
      <c r="I254" s="127"/>
      <c r="J254" s="126"/>
      <c r="K254" s="126"/>
      <c r="L254" s="126"/>
      <c r="M254" s="126"/>
      <c r="N254" s="12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26"/>
      <c r="B255" s="126"/>
      <c r="C255" s="126"/>
      <c r="D255" s="127"/>
      <c r="E255" s="127"/>
      <c r="F255" s="127"/>
      <c r="G255" s="127"/>
      <c r="H255" s="127"/>
      <c r="I255" s="127"/>
      <c r="J255" s="126"/>
      <c r="K255" s="126"/>
      <c r="L255" s="126"/>
      <c r="M255" s="126"/>
      <c r="N255" s="12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26"/>
      <c r="B256" s="126"/>
      <c r="C256" s="126"/>
      <c r="D256" s="127"/>
      <c r="E256" s="127"/>
      <c r="F256" s="127"/>
      <c r="G256" s="127"/>
      <c r="H256" s="127"/>
      <c r="I256" s="127"/>
      <c r="J256" s="126"/>
      <c r="K256" s="126"/>
      <c r="L256" s="126"/>
      <c r="M256" s="126"/>
      <c r="N256" s="12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26"/>
      <c r="B257" s="126"/>
      <c r="C257" s="126"/>
      <c r="D257" s="127"/>
      <c r="E257" s="127"/>
      <c r="F257" s="127"/>
      <c r="G257" s="127"/>
      <c r="H257" s="127"/>
      <c r="I257" s="127"/>
      <c r="J257" s="126"/>
      <c r="K257" s="126"/>
      <c r="L257" s="126"/>
      <c r="M257" s="126"/>
      <c r="N257" s="12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26"/>
      <c r="B258" s="126"/>
      <c r="C258" s="126"/>
      <c r="D258" s="127"/>
      <c r="E258" s="127"/>
      <c r="F258" s="127"/>
      <c r="G258" s="127"/>
      <c r="H258" s="127"/>
      <c r="I258" s="127"/>
      <c r="J258" s="126"/>
      <c r="K258" s="126"/>
      <c r="L258" s="126"/>
      <c r="M258" s="126"/>
      <c r="N258" s="12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26"/>
      <c r="B259" s="126"/>
      <c r="C259" s="126"/>
      <c r="D259" s="127"/>
      <c r="E259" s="127"/>
      <c r="F259" s="127"/>
      <c r="G259" s="127"/>
      <c r="H259" s="127"/>
      <c r="I259" s="127"/>
      <c r="J259" s="126"/>
      <c r="K259" s="126"/>
      <c r="L259" s="126"/>
      <c r="M259" s="126"/>
      <c r="N259" s="12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26"/>
      <c r="B260" s="126"/>
      <c r="C260" s="126"/>
      <c r="D260" s="127"/>
      <c r="E260" s="127"/>
      <c r="F260" s="127"/>
      <c r="G260" s="127"/>
      <c r="H260" s="127"/>
      <c r="I260" s="127"/>
      <c r="J260" s="126"/>
      <c r="K260" s="126"/>
      <c r="L260" s="126"/>
      <c r="M260" s="126"/>
      <c r="N260" s="12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26"/>
      <c r="B261" s="126"/>
      <c r="C261" s="126"/>
      <c r="D261" s="127"/>
      <c r="E261" s="127"/>
      <c r="F261" s="127"/>
      <c r="G261" s="127"/>
      <c r="H261" s="127"/>
      <c r="I261" s="127"/>
      <c r="J261" s="126"/>
      <c r="K261" s="126"/>
      <c r="L261" s="126"/>
      <c r="M261" s="126"/>
      <c r="N261" s="12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26"/>
      <c r="B262" s="126"/>
      <c r="C262" s="126"/>
      <c r="D262" s="127"/>
      <c r="E262" s="127"/>
      <c r="F262" s="127"/>
      <c r="G262" s="127"/>
      <c r="H262" s="127"/>
      <c r="I262" s="127"/>
      <c r="J262" s="126"/>
      <c r="K262" s="126"/>
      <c r="L262" s="126"/>
      <c r="M262" s="126"/>
      <c r="N262" s="12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26"/>
      <c r="B263" s="126"/>
      <c r="C263" s="126"/>
      <c r="D263" s="127"/>
      <c r="E263" s="127"/>
      <c r="F263" s="127"/>
      <c r="G263" s="127"/>
      <c r="H263" s="127"/>
      <c r="I263" s="127"/>
      <c r="J263" s="126"/>
      <c r="K263" s="126"/>
      <c r="L263" s="126"/>
      <c r="M263" s="126"/>
      <c r="N263" s="12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26"/>
      <c r="B264" s="126"/>
      <c r="C264" s="126"/>
      <c r="D264" s="127"/>
      <c r="E264" s="127"/>
      <c r="F264" s="127"/>
      <c r="G264" s="127"/>
      <c r="H264" s="127"/>
      <c r="I264" s="127"/>
      <c r="J264" s="126"/>
      <c r="K264" s="126"/>
      <c r="L264" s="126"/>
      <c r="M264" s="126"/>
      <c r="N264" s="12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26"/>
      <c r="B265" s="126"/>
      <c r="C265" s="126"/>
      <c r="D265" s="127"/>
      <c r="E265" s="127"/>
      <c r="F265" s="127"/>
      <c r="G265" s="127"/>
      <c r="H265" s="127"/>
      <c r="I265" s="127"/>
      <c r="J265" s="126"/>
      <c r="K265" s="126"/>
      <c r="L265" s="126"/>
      <c r="M265" s="126"/>
      <c r="N265" s="12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26"/>
      <c r="B266" s="126"/>
      <c r="C266" s="126"/>
      <c r="D266" s="127"/>
      <c r="E266" s="127"/>
      <c r="F266" s="127"/>
      <c r="G266" s="127"/>
      <c r="H266" s="127"/>
      <c r="I266" s="127"/>
      <c r="J266" s="126"/>
      <c r="K266" s="126"/>
      <c r="L266" s="126"/>
      <c r="M266" s="126"/>
      <c r="N266" s="12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26"/>
      <c r="B267" s="126"/>
      <c r="C267" s="126"/>
      <c r="D267" s="127"/>
      <c r="E267" s="127"/>
      <c r="F267" s="127"/>
      <c r="G267" s="127"/>
      <c r="H267" s="127"/>
      <c r="I267" s="127"/>
      <c r="J267" s="126"/>
      <c r="K267" s="126"/>
      <c r="L267" s="126"/>
      <c r="M267" s="126"/>
      <c r="N267" s="12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26"/>
      <c r="B268" s="126"/>
      <c r="C268" s="126"/>
      <c r="D268" s="127"/>
      <c r="E268" s="127"/>
      <c r="F268" s="127"/>
      <c r="G268" s="127"/>
      <c r="H268" s="127"/>
      <c r="I268" s="127"/>
      <c r="J268" s="126"/>
      <c r="K268" s="126"/>
      <c r="L268" s="126"/>
      <c r="M268" s="126"/>
      <c r="N268" s="12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26"/>
      <c r="B269" s="126"/>
      <c r="C269" s="126"/>
      <c r="D269" s="127"/>
      <c r="E269" s="127"/>
      <c r="F269" s="127"/>
      <c r="G269" s="127"/>
      <c r="H269" s="127"/>
      <c r="I269" s="127"/>
      <c r="J269" s="126"/>
      <c r="K269" s="126"/>
      <c r="L269" s="126"/>
      <c r="M269" s="126"/>
      <c r="N269" s="12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26"/>
      <c r="B270" s="126"/>
      <c r="C270" s="126"/>
      <c r="D270" s="127"/>
      <c r="E270" s="127"/>
      <c r="F270" s="127"/>
      <c r="G270" s="127"/>
      <c r="H270" s="127"/>
      <c r="I270" s="127"/>
      <c r="J270" s="126"/>
      <c r="K270" s="126"/>
      <c r="L270" s="126"/>
      <c r="M270" s="126"/>
      <c r="N270" s="12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26"/>
      <c r="B271" s="126"/>
      <c r="C271" s="126"/>
      <c r="D271" s="127"/>
      <c r="E271" s="127"/>
      <c r="F271" s="127"/>
      <c r="G271" s="127"/>
      <c r="H271" s="127"/>
      <c r="I271" s="127"/>
      <c r="J271" s="126"/>
      <c r="K271" s="126"/>
      <c r="L271" s="126"/>
      <c r="M271" s="126"/>
      <c r="N271" s="12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26"/>
      <c r="B272" s="126"/>
      <c r="C272" s="126"/>
      <c r="D272" s="127"/>
      <c r="E272" s="127"/>
      <c r="F272" s="127"/>
      <c r="G272" s="127"/>
      <c r="H272" s="127"/>
      <c r="I272" s="127"/>
      <c r="J272" s="126"/>
      <c r="K272" s="126"/>
      <c r="L272" s="126"/>
      <c r="M272" s="126"/>
      <c r="N272" s="12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26"/>
      <c r="B273" s="126"/>
      <c r="C273" s="126"/>
      <c r="D273" s="127"/>
      <c r="E273" s="127"/>
      <c r="F273" s="127"/>
      <c r="G273" s="127"/>
      <c r="H273" s="127"/>
      <c r="I273" s="127"/>
      <c r="J273" s="126"/>
      <c r="K273" s="126"/>
      <c r="L273" s="126"/>
      <c r="M273" s="126"/>
      <c r="N273" s="12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26"/>
      <c r="B274" s="126"/>
      <c r="C274" s="126"/>
      <c r="D274" s="127"/>
      <c r="E274" s="127"/>
      <c r="F274" s="127"/>
      <c r="G274" s="127"/>
      <c r="H274" s="127"/>
      <c r="I274" s="127"/>
      <c r="J274" s="126"/>
      <c r="K274" s="126"/>
      <c r="L274" s="126"/>
      <c r="M274" s="126"/>
      <c r="N274" s="12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26"/>
      <c r="B275" s="126"/>
      <c r="C275" s="126"/>
      <c r="D275" s="127"/>
      <c r="E275" s="127"/>
      <c r="F275" s="127"/>
      <c r="G275" s="127"/>
      <c r="H275" s="127"/>
      <c r="I275" s="127"/>
      <c r="J275" s="126"/>
      <c r="K275" s="126"/>
      <c r="L275" s="126"/>
      <c r="M275" s="126"/>
      <c r="N275" s="12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26"/>
      <c r="B276" s="126"/>
      <c r="C276" s="126"/>
      <c r="D276" s="127"/>
      <c r="E276" s="127"/>
      <c r="F276" s="127"/>
      <c r="G276" s="127"/>
      <c r="H276" s="127"/>
      <c r="I276" s="127"/>
      <c r="J276" s="126"/>
      <c r="K276" s="126"/>
      <c r="L276" s="126"/>
      <c r="M276" s="126"/>
      <c r="N276" s="12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26"/>
      <c r="B277" s="126"/>
      <c r="C277" s="126"/>
      <c r="D277" s="127"/>
      <c r="E277" s="127"/>
      <c r="F277" s="127"/>
      <c r="G277" s="127"/>
      <c r="H277" s="127"/>
      <c r="I277" s="127"/>
      <c r="J277" s="126"/>
      <c r="K277" s="126"/>
      <c r="L277" s="126"/>
      <c r="M277" s="126"/>
      <c r="N277" s="12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26"/>
      <c r="B278" s="126"/>
      <c r="C278" s="126"/>
      <c r="D278" s="127"/>
      <c r="E278" s="127"/>
      <c r="F278" s="127"/>
      <c r="G278" s="127"/>
      <c r="H278" s="127"/>
      <c r="I278" s="127"/>
      <c r="J278" s="126"/>
      <c r="K278" s="126"/>
      <c r="L278" s="126"/>
      <c r="M278" s="126"/>
      <c r="N278" s="12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26"/>
      <c r="B279" s="126"/>
      <c r="C279" s="126"/>
      <c r="D279" s="127"/>
      <c r="E279" s="127"/>
      <c r="F279" s="127"/>
      <c r="G279" s="127"/>
      <c r="H279" s="127"/>
      <c r="I279" s="127"/>
      <c r="J279" s="126"/>
      <c r="K279" s="126"/>
      <c r="L279" s="126"/>
      <c r="M279" s="126"/>
      <c r="N279" s="12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26"/>
      <c r="B280" s="126"/>
      <c r="C280" s="126"/>
      <c r="D280" s="127"/>
      <c r="E280" s="127"/>
      <c r="F280" s="127"/>
      <c r="G280" s="127"/>
      <c r="H280" s="127"/>
      <c r="I280" s="127"/>
      <c r="J280" s="126"/>
      <c r="K280" s="126"/>
      <c r="L280" s="126"/>
      <c r="M280" s="126"/>
      <c r="N280" s="12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26"/>
      <c r="B281" s="126"/>
      <c r="C281" s="126"/>
      <c r="D281" s="127"/>
      <c r="E281" s="127"/>
      <c r="F281" s="127"/>
      <c r="G281" s="127"/>
      <c r="H281" s="127"/>
      <c r="I281" s="127"/>
      <c r="J281" s="126"/>
      <c r="K281" s="126"/>
      <c r="L281" s="126"/>
      <c r="M281" s="126"/>
      <c r="N281" s="12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26"/>
      <c r="B282" s="126"/>
      <c r="C282" s="126"/>
      <c r="D282" s="127"/>
      <c r="E282" s="127"/>
      <c r="F282" s="127"/>
      <c r="G282" s="127"/>
      <c r="H282" s="127"/>
      <c r="I282" s="127"/>
      <c r="J282" s="126"/>
      <c r="K282" s="126"/>
      <c r="L282" s="126"/>
      <c r="M282" s="126"/>
      <c r="N282" s="12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26"/>
      <c r="B283" s="126"/>
      <c r="C283" s="126"/>
      <c r="D283" s="127"/>
      <c r="E283" s="127"/>
      <c r="F283" s="127"/>
      <c r="G283" s="127"/>
      <c r="H283" s="127"/>
      <c r="I283" s="127"/>
      <c r="J283" s="126"/>
      <c r="K283" s="126"/>
      <c r="L283" s="126"/>
      <c r="M283" s="126"/>
      <c r="N283" s="12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26"/>
      <c r="B284" s="126"/>
      <c r="C284" s="126"/>
      <c r="D284" s="127"/>
      <c r="E284" s="127"/>
      <c r="F284" s="127"/>
      <c r="G284" s="127"/>
      <c r="H284" s="127"/>
      <c r="I284" s="127"/>
      <c r="J284" s="126"/>
      <c r="K284" s="126"/>
      <c r="L284" s="126"/>
      <c r="M284" s="126"/>
      <c r="N284" s="12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26"/>
      <c r="B285" s="126"/>
      <c r="C285" s="126"/>
      <c r="D285" s="127"/>
      <c r="E285" s="127"/>
      <c r="F285" s="127"/>
      <c r="G285" s="127"/>
      <c r="H285" s="127"/>
      <c r="I285" s="127"/>
      <c r="J285" s="126"/>
      <c r="K285" s="126"/>
      <c r="L285" s="126"/>
      <c r="M285" s="126"/>
      <c r="N285" s="12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26"/>
      <c r="B286" s="126"/>
      <c r="C286" s="126"/>
      <c r="D286" s="127"/>
      <c r="E286" s="127"/>
      <c r="F286" s="127"/>
      <c r="G286" s="127"/>
      <c r="H286" s="127"/>
      <c r="I286" s="127"/>
      <c r="J286" s="126"/>
      <c r="K286" s="126"/>
      <c r="L286" s="126"/>
      <c r="M286" s="126"/>
      <c r="N286" s="12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26"/>
      <c r="B287" s="126"/>
      <c r="C287" s="126"/>
      <c r="D287" s="127"/>
      <c r="E287" s="127"/>
      <c r="F287" s="127"/>
      <c r="G287" s="127"/>
      <c r="H287" s="127"/>
      <c r="I287" s="127"/>
      <c r="J287" s="126"/>
      <c r="K287" s="126"/>
      <c r="L287" s="126"/>
      <c r="M287" s="126"/>
      <c r="N287" s="12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26"/>
      <c r="B288" s="126"/>
      <c r="C288" s="126"/>
      <c r="D288" s="127"/>
      <c r="E288" s="127"/>
      <c r="F288" s="127"/>
      <c r="G288" s="127"/>
      <c r="H288" s="127"/>
      <c r="I288" s="127"/>
      <c r="J288" s="126"/>
      <c r="K288" s="126"/>
      <c r="L288" s="126"/>
      <c r="M288" s="126"/>
      <c r="N288" s="12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26"/>
      <c r="B289" s="126"/>
      <c r="C289" s="126"/>
      <c r="D289" s="127"/>
      <c r="E289" s="127"/>
      <c r="F289" s="127"/>
      <c r="G289" s="127"/>
      <c r="H289" s="127"/>
      <c r="I289" s="127"/>
      <c r="J289" s="126"/>
      <c r="K289" s="126"/>
      <c r="L289" s="126"/>
      <c r="M289" s="126"/>
      <c r="N289" s="12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26"/>
      <c r="B290" s="126"/>
      <c r="C290" s="126"/>
      <c r="D290" s="127"/>
      <c r="E290" s="127"/>
      <c r="F290" s="127"/>
      <c r="G290" s="127"/>
      <c r="H290" s="127"/>
      <c r="I290" s="127"/>
      <c r="J290" s="126"/>
      <c r="K290" s="126"/>
      <c r="L290" s="126"/>
      <c r="M290" s="126"/>
      <c r="N290" s="12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26"/>
      <c r="B291" s="126"/>
      <c r="C291" s="126"/>
      <c r="D291" s="127"/>
      <c r="E291" s="127"/>
      <c r="F291" s="127"/>
      <c r="G291" s="127"/>
      <c r="H291" s="127"/>
      <c r="I291" s="127"/>
      <c r="J291" s="126"/>
      <c r="K291" s="126"/>
      <c r="L291" s="126"/>
      <c r="M291" s="126"/>
      <c r="N291" s="12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26"/>
      <c r="B292" s="126"/>
      <c r="C292" s="126"/>
      <c r="D292" s="127"/>
      <c r="E292" s="127"/>
      <c r="F292" s="127"/>
      <c r="G292" s="127"/>
      <c r="H292" s="127"/>
      <c r="I292" s="127"/>
      <c r="J292" s="126"/>
      <c r="K292" s="126"/>
      <c r="L292" s="126"/>
      <c r="M292" s="126"/>
      <c r="N292" s="12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26"/>
      <c r="B293" s="126"/>
      <c r="C293" s="126"/>
      <c r="D293" s="127"/>
      <c r="E293" s="127"/>
      <c r="F293" s="127"/>
      <c r="G293" s="127"/>
      <c r="H293" s="127"/>
      <c r="I293" s="127"/>
      <c r="J293" s="126"/>
      <c r="K293" s="126"/>
      <c r="L293" s="126"/>
      <c r="M293" s="126"/>
      <c r="N293" s="12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26"/>
      <c r="B294" s="126"/>
      <c r="C294" s="126"/>
      <c r="D294" s="127"/>
      <c r="E294" s="127"/>
      <c r="F294" s="127"/>
      <c r="G294" s="127"/>
      <c r="H294" s="127"/>
      <c r="I294" s="127"/>
      <c r="J294" s="126"/>
      <c r="K294" s="126"/>
      <c r="L294" s="126"/>
      <c r="M294" s="126"/>
      <c r="N294" s="12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26"/>
      <c r="B295" s="126"/>
      <c r="C295" s="126"/>
      <c r="D295" s="127"/>
      <c r="E295" s="127"/>
      <c r="F295" s="127"/>
      <c r="G295" s="127"/>
      <c r="H295" s="127"/>
      <c r="I295" s="127"/>
      <c r="J295" s="126"/>
      <c r="K295" s="126"/>
      <c r="L295" s="126"/>
      <c r="M295" s="126"/>
      <c r="N295" s="12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26"/>
      <c r="B296" s="126"/>
      <c r="C296" s="126"/>
      <c r="D296" s="127"/>
      <c r="E296" s="127"/>
      <c r="F296" s="127"/>
      <c r="G296" s="127"/>
      <c r="H296" s="127"/>
      <c r="I296" s="127"/>
      <c r="J296" s="126"/>
      <c r="K296" s="126"/>
      <c r="L296" s="126"/>
      <c r="M296" s="126"/>
      <c r="N296" s="12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26"/>
      <c r="B297" s="126"/>
      <c r="C297" s="126"/>
      <c r="D297" s="127"/>
      <c r="E297" s="127"/>
      <c r="F297" s="127"/>
      <c r="G297" s="127"/>
      <c r="H297" s="127"/>
      <c r="I297" s="127"/>
      <c r="J297" s="126"/>
      <c r="K297" s="126"/>
      <c r="L297" s="126"/>
      <c r="M297" s="126"/>
      <c r="N297" s="12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26"/>
      <c r="B298" s="126"/>
      <c r="C298" s="126"/>
      <c r="D298" s="127"/>
      <c r="E298" s="127"/>
      <c r="F298" s="127"/>
      <c r="G298" s="127"/>
      <c r="H298" s="127"/>
      <c r="I298" s="127"/>
      <c r="J298" s="126"/>
      <c r="K298" s="126"/>
      <c r="L298" s="126"/>
      <c r="M298" s="126"/>
      <c r="N298" s="12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1181102362204722" bottom="0.47244094488188981" header="0" footer="0"/>
  <pageSetup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PL 01</vt:lpstr>
      <vt:lpstr>PL 02</vt:lpstr>
      <vt:lpstr>TUMO RONG (1)</vt:lpstr>
      <vt:lpstr>LONG LEO(2)</vt:lpstr>
      <vt:lpstr>ĐĂK CHUM 1(3)</vt:lpstr>
      <vt:lpstr>ĐĂK CHUM II(4)</vt:lpstr>
      <vt:lpstr>TU CẤP(5)</vt:lpstr>
      <vt:lpstr>ĐĂK KA(6)</vt:lpstr>
      <vt:lpstr>VĂN SANG(7)</vt:lpstr>
      <vt:lpstr>ĐĂK NEANG(8)</vt:lpstr>
      <vt:lpstr>NGỌC LEANG(9)</vt:lpstr>
      <vt:lpstr>ĐĂK SIÊNG(10)</vt:lpstr>
      <vt:lpstr>KON TUN(11)</vt:lpstr>
      <vt:lpstr>MÔ PẢ(12)</vt:lpstr>
      <vt:lpstr>TY TU(13)</vt:lpstr>
      <vt:lpstr>KON LING(14)</vt:lpstr>
      <vt:lpstr>ĐĂK PƠ TRANG(15)</vt:lpstr>
      <vt:lpstr>KON PIA(16)</vt:lpstr>
      <vt:lpstr>ĐĂK HÀ(17)</vt:lpstr>
      <vt:lpstr>'PL 01'!Print_Titles</vt:lpstr>
      <vt:lpstr>'PL 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PVHUNG</dc:creator>
  <cp:lastModifiedBy>HP</cp:lastModifiedBy>
  <cp:lastPrinted>2026-07-16T09:01:03Z</cp:lastPrinted>
  <dcterms:created xsi:type="dcterms:W3CDTF">2012-09-01T04:07:06Z</dcterms:created>
  <dcterms:modified xsi:type="dcterms:W3CDTF">2026-07-16T09:01:06Z</dcterms:modified>
</cp:coreProperties>
</file>